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8. Август\"/>
    </mc:Choice>
  </mc:AlternateContent>
  <xr:revisionPtr revIDLastSave="0" documentId="13_ncr:1_{5D6E9196-8CC8-4116-AC13-92D28608D300}" xr6:coauthVersionLast="47" xr6:coauthVersionMax="47" xr10:uidLastSave="{00000000-0000-0000-0000-000000000000}"/>
  <bookViews>
    <workbookView xWindow="28680" yWindow="-120" windowWidth="29040" windowHeight="15840" xr2:uid="{3E510340-1955-4932-829B-3BF6C87DFC53}"/>
  </bookViews>
  <sheets>
    <sheet name="2023 год" sheetId="1" r:id="rId1"/>
    <sheet name="1416" sheetId="2" r:id="rId2"/>
    <sheet name="1512 вич" sheetId="3" r:id="rId3"/>
    <sheet name="1512 туб" sheetId="4" r:id="rId4"/>
    <sheet name="1688" sheetId="5" r:id="rId5"/>
    <sheet name="545" sheetId="6" r:id="rId6"/>
  </sheets>
  <externalReferences>
    <externalReference r:id="rId7"/>
  </externalReferences>
  <definedNames>
    <definedName name="_xlnm._FilterDatabase" localSheetId="1" hidden="1">'1416'!$A$2:$BD$49</definedName>
    <definedName name="_xlnm._FilterDatabase" localSheetId="2" hidden="1">'1512 вич'!$A$2:$BD$49</definedName>
    <definedName name="_xlnm._FilterDatabase" localSheetId="3" hidden="1">'1512 туб'!$A$2:$BD$49</definedName>
    <definedName name="_xlnm._FilterDatabase" localSheetId="4" hidden="1">'1688'!$A$2:$BD$49</definedName>
    <definedName name="_xlnm._FilterDatabase" localSheetId="0" hidden="1">'2023 год'!$A$2:$BD$843</definedName>
    <definedName name="_xlnm._FilterDatabase" localSheetId="5" hidden="1">'545'!$A$2:$BD$49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0" i="5" l="1"/>
  <c r="L50" i="5"/>
  <c r="K50" i="5"/>
  <c r="J50" i="5"/>
  <c r="J51" i="5" s="1"/>
  <c r="AH49" i="5"/>
  <c r="AC49" i="5"/>
  <c r="X49" i="5"/>
  <c r="W49" i="5" s="1"/>
  <c r="AN49" i="5" s="1"/>
  <c r="AO49" i="5" s="1"/>
  <c r="L49" i="5"/>
  <c r="M49" i="5" s="1"/>
  <c r="AH48" i="5"/>
  <c r="AC48" i="5"/>
  <c r="X48" i="5"/>
  <c r="W48" i="5" s="1"/>
  <c r="AN48" i="5" s="1"/>
  <c r="AO48" i="5" s="1"/>
  <c r="L48" i="5"/>
  <c r="M48" i="5" s="1"/>
  <c r="U48" i="5" s="1"/>
  <c r="AH47" i="5"/>
  <c r="AC47" i="5"/>
  <c r="X47" i="5"/>
  <c r="W47" i="5" s="1"/>
  <c r="AN47" i="5" s="1"/>
  <c r="AO47" i="5" s="1"/>
  <c r="L47" i="5"/>
  <c r="M47" i="5" s="1"/>
  <c r="AH46" i="5"/>
  <c r="AC46" i="5"/>
  <c r="X46" i="5"/>
  <c r="L46" i="5"/>
  <c r="M46" i="5" s="1"/>
  <c r="AH45" i="5"/>
  <c r="AC45" i="5"/>
  <c r="X45" i="5"/>
  <c r="W45" i="5" s="1"/>
  <c r="AN45" i="5" s="1"/>
  <c r="AO45" i="5" s="1"/>
  <c r="L45" i="5"/>
  <c r="M45" i="5" s="1"/>
  <c r="AH44" i="5"/>
  <c r="AC44" i="5"/>
  <c r="X44" i="5"/>
  <c r="W44" i="5" s="1"/>
  <c r="AN44" i="5" s="1"/>
  <c r="AO44" i="5" s="1"/>
  <c r="M44" i="5"/>
  <c r="L44" i="5"/>
  <c r="AH43" i="5"/>
  <c r="AC43" i="5"/>
  <c r="X43" i="5"/>
  <c r="L43" i="5"/>
  <c r="M43" i="5" s="1"/>
  <c r="AH42" i="5"/>
  <c r="AC42" i="5"/>
  <c r="X42" i="5"/>
  <c r="L42" i="5"/>
  <c r="M42" i="5" s="1"/>
  <c r="AH41" i="5"/>
  <c r="AC41" i="5"/>
  <c r="X41" i="5"/>
  <c r="L41" i="5"/>
  <c r="M41" i="5" s="1"/>
  <c r="AH40" i="5"/>
  <c r="AC40" i="5"/>
  <c r="X40" i="5"/>
  <c r="L40" i="5"/>
  <c r="M40" i="5" s="1"/>
  <c r="AH39" i="5"/>
  <c r="AC39" i="5"/>
  <c r="W39" i="5" s="1"/>
  <c r="AN39" i="5" s="1"/>
  <c r="AO39" i="5" s="1"/>
  <c r="X39" i="5"/>
  <c r="L39" i="5"/>
  <c r="M39" i="5" s="1"/>
  <c r="AH38" i="5"/>
  <c r="AC38" i="5"/>
  <c r="X38" i="5"/>
  <c r="L38" i="5"/>
  <c r="M38" i="5" s="1"/>
  <c r="AH37" i="5"/>
  <c r="AC37" i="5"/>
  <c r="X37" i="5"/>
  <c r="L37" i="5"/>
  <c r="M37" i="5" s="1"/>
  <c r="M50" i="4"/>
  <c r="L50" i="4"/>
  <c r="K50" i="4"/>
  <c r="J50" i="4"/>
  <c r="J51" i="4" s="1"/>
  <c r="K844" i="1"/>
  <c r="J844" i="1"/>
  <c r="J845" i="1" s="1"/>
  <c r="AH843" i="1"/>
  <c r="AC843" i="1"/>
  <c r="X843" i="1"/>
  <c r="L843" i="1"/>
  <c r="AH842" i="1"/>
  <c r="AC842" i="1"/>
  <c r="X842" i="1"/>
  <c r="L842" i="1"/>
  <c r="M842" i="1" s="1"/>
  <c r="AH841" i="1"/>
  <c r="AC841" i="1"/>
  <c r="X841" i="1"/>
  <c r="L841" i="1"/>
  <c r="M841" i="1" s="1"/>
  <c r="AH840" i="1"/>
  <c r="AC840" i="1"/>
  <c r="X840" i="1"/>
  <c r="L840" i="1"/>
  <c r="M840" i="1" s="1"/>
  <c r="AH839" i="1"/>
  <c r="AC839" i="1"/>
  <c r="X839" i="1"/>
  <c r="L839" i="1"/>
  <c r="M839" i="1" s="1"/>
  <c r="AH838" i="1"/>
  <c r="AC838" i="1"/>
  <c r="X838" i="1"/>
  <c r="L838" i="1"/>
  <c r="M838" i="1" s="1"/>
  <c r="AH837" i="1"/>
  <c r="AC837" i="1"/>
  <c r="X837" i="1"/>
  <c r="L837" i="1"/>
  <c r="M837" i="1" s="1"/>
  <c r="AH836" i="1"/>
  <c r="AC836" i="1"/>
  <c r="X836" i="1"/>
  <c r="L836" i="1"/>
  <c r="M836" i="1" s="1"/>
  <c r="AH835" i="1"/>
  <c r="AC835" i="1"/>
  <c r="X835" i="1"/>
  <c r="L835" i="1"/>
  <c r="M835" i="1" s="1"/>
  <c r="AH834" i="1"/>
  <c r="AC834" i="1"/>
  <c r="X834" i="1"/>
  <c r="L834" i="1"/>
  <c r="M834" i="1" s="1"/>
  <c r="AH833" i="1"/>
  <c r="AC833" i="1"/>
  <c r="X833" i="1"/>
  <c r="L833" i="1"/>
  <c r="M833" i="1" s="1"/>
  <c r="AH832" i="1"/>
  <c r="AC832" i="1"/>
  <c r="X832" i="1"/>
  <c r="L832" i="1"/>
  <c r="M832" i="1" s="1"/>
  <c r="AH831" i="1"/>
  <c r="AC831" i="1"/>
  <c r="X831" i="1"/>
  <c r="L831" i="1"/>
  <c r="M831" i="1" s="1"/>
  <c r="AH830" i="1"/>
  <c r="AC830" i="1"/>
  <c r="X830" i="1"/>
  <c r="L830" i="1"/>
  <c r="M830" i="1" s="1"/>
  <c r="AH829" i="1"/>
  <c r="AC829" i="1"/>
  <c r="X829" i="1"/>
  <c r="L829" i="1"/>
  <c r="M829" i="1" s="1"/>
  <c r="AH828" i="1"/>
  <c r="AC828" i="1"/>
  <c r="X828" i="1"/>
  <c r="L828" i="1"/>
  <c r="M828" i="1" s="1"/>
  <c r="AH827" i="1"/>
  <c r="AC827" i="1"/>
  <c r="X827" i="1"/>
  <c r="L827" i="1"/>
  <c r="M827" i="1" s="1"/>
  <c r="AH826" i="1"/>
  <c r="AC826" i="1"/>
  <c r="X826" i="1"/>
  <c r="L826" i="1"/>
  <c r="M826" i="1" s="1"/>
  <c r="AH825" i="1"/>
  <c r="AC825" i="1"/>
  <c r="X825" i="1"/>
  <c r="L825" i="1"/>
  <c r="M825" i="1" s="1"/>
  <c r="AH824" i="1"/>
  <c r="AC824" i="1"/>
  <c r="X824" i="1"/>
  <c r="L824" i="1"/>
  <c r="M824" i="1" s="1"/>
  <c r="AH823" i="1"/>
  <c r="AC823" i="1"/>
  <c r="X823" i="1"/>
  <c r="L823" i="1"/>
  <c r="M823" i="1" s="1"/>
  <c r="AH822" i="1"/>
  <c r="AC822" i="1"/>
  <c r="X822" i="1"/>
  <c r="L822" i="1"/>
  <c r="M822" i="1" s="1"/>
  <c r="AH821" i="1"/>
  <c r="AC821" i="1"/>
  <c r="X821" i="1"/>
  <c r="L821" i="1"/>
  <c r="M821" i="1" s="1"/>
  <c r="AH820" i="1"/>
  <c r="AC820" i="1"/>
  <c r="X820" i="1"/>
  <c r="L820" i="1"/>
  <c r="M820" i="1" s="1"/>
  <c r="AH819" i="1"/>
  <c r="AC819" i="1"/>
  <c r="X819" i="1"/>
  <c r="L819" i="1"/>
  <c r="M819" i="1" s="1"/>
  <c r="AH818" i="1"/>
  <c r="AC818" i="1"/>
  <c r="X818" i="1"/>
  <c r="L818" i="1"/>
  <c r="M818" i="1" s="1"/>
  <c r="AH817" i="1"/>
  <c r="AC817" i="1"/>
  <c r="X817" i="1"/>
  <c r="L817" i="1"/>
  <c r="M817" i="1" s="1"/>
  <c r="AH816" i="1"/>
  <c r="AC816" i="1"/>
  <c r="X816" i="1"/>
  <c r="L816" i="1"/>
  <c r="AH815" i="1"/>
  <c r="AC815" i="1"/>
  <c r="X815" i="1"/>
  <c r="L815" i="1"/>
  <c r="AH814" i="1"/>
  <c r="AC814" i="1"/>
  <c r="X814" i="1"/>
  <c r="L814" i="1"/>
  <c r="AH813" i="1"/>
  <c r="AC813" i="1"/>
  <c r="X813" i="1"/>
  <c r="L813" i="1"/>
  <c r="AH812" i="1"/>
  <c r="AC812" i="1"/>
  <c r="X812" i="1"/>
  <c r="L812" i="1"/>
  <c r="AH811" i="1"/>
  <c r="AC811" i="1"/>
  <c r="X811" i="1"/>
  <c r="M811" i="1"/>
  <c r="L811" i="1"/>
  <c r="AH810" i="1"/>
  <c r="AC810" i="1"/>
  <c r="X810" i="1"/>
  <c r="L810" i="1"/>
  <c r="AH809" i="1"/>
  <c r="AC809" i="1"/>
  <c r="X809" i="1"/>
  <c r="L809" i="1"/>
  <c r="AH808" i="1"/>
  <c r="AC808" i="1"/>
  <c r="X808" i="1"/>
  <c r="L808" i="1"/>
  <c r="AH807" i="1"/>
  <c r="AC807" i="1"/>
  <c r="X807" i="1"/>
  <c r="L807" i="1"/>
  <c r="AH806" i="1"/>
  <c r="AC806" i="1"/>
  <c r="X806" i="1"/>
  <c r="L806" i="1"/>
  <c r="AH805" i="1"/>
  <c r="AC805" i="1"/>
  <c r="X805" i="1"/>
  <c r="L805" i="1"/>
  <c r="AH804" i="1"/>
  <c r="AC804" i="1"/>
  <c r="X804" i="1"/>
  <c r="L804" i="1"/>
  <c r="M804" i="1" s="1"/>
  <c r="AH803" i="1"/>
  <c r="AC803" i="1"/>
  <c r="X803" i="1"/>
  <c r="M803" i="1"/>
  <c r="L803" i="1"/>
  <c r="AH802" i="1"/>
  <c r="AC802" i="1"/>
  <c r="X802" i="1"/>
  <c r="L802" i="1"/>
  <c r="AH801" i="1"/>
  <c r="AC801" i="1"/>
  <c r="X801" i="1"/>
  <c r="L801" i="1"/>
  <c r="AH800" i="1"/>
  <c r="AC800" i="1"/>
  <c r="X800" i="1"/>
  <c r="L800" i="1"/>
  <c r="AH799" i="1"/>
  <c r="AC799" i="1"/>
  <c r="X799" i="1"/>
  <c r="L799" i="1"/>
  <c r="AH798" i="1"/>
  <c r="AC798" i="1"/>
  <c r="X798" i="1"/>
  <c r="L798" i="1"/>
  <c r="M798" i="1" s="1"/>
  <c r="AH797" i="1"/>
  <c r="AC797" i="1"/>
  <c r="X797" i="1"/>
  <c r="L797" i="1"/>
  <c r="AH796" i="1"/>
  <c r="AC796" i="1"/>
  <c r="X796" i="1"/>
  <c r="L796" i="1"/>
  <c r="M796" i="1" s="1"/>
  <c r="AH795" i="1"/>
  <c r="AC795" i="1"/>
  <c r="X795" i="1"/>
  <c r="L795" i="1"/>
  <c r="AH794" i="1"/>
  <c r="AC794" i="1"/>
  <c r="X794" i="1"/>
  <c r="L794" i="1"/>
  <c r="M794" i="1" s="1"/>
  <c r="AH793" i="1"/>
  <c r="AC793" i="1"/>
  <c r="X793" i="1"/>
  <c r="L793" i="1"/>
  <c r="AH792" i="1"/>
  <c r="AC792" i="1"/>
  <c r="X792" i="1"/>
  <c r="L792" i="1"/>
  <c r="M792" i="1" s="1"/>
  <c r="AH791" i="1"/>
  <c r="AC791" i="1"/>
  <c r="X791" i="1"/>
  <c r="L791" i="1"/>
  <c r="AH790" i="1"/>
  <c r="AC790" i="1"/>
  <c r="X790" i="1"/>
  <c r="L790" i="1"/>
  <c r="M790" i="1" s="1"/>
  <c r="AH789" i="1"/>
  <c r="AC789" i="1"/>
  <c r="X789" i="1"/>
  <c r="L789" i="1"/>
  <c r="AH788" i="1"/>
  <c r="AC788" i="1"/>
  <c r="X788" i="1"/>
  <c r="L788" i="1"/>
  <c r="M788" i="1" s="1"/>
  <c r="AH787" i="1"/>
  <c r="AC787" i="1"/>
  <c r="X787" i="1"/>
  <c r="L787" i="1"/>
  <c r="AH786" i="1"/>
  <c r="AC786" i="1"/>
  <c r="X786" i="1"/>
  <c r="L786" i="1"/>
  <c r="M786" i="1" s="1"/>
  <c r="AH785" i="1"/>
  <c r="AC785" i="1"/>
  <c r="X785" i="1"/>
  <c r="L785" i="1"/>
  <c r="AH784" i="1"/>
  <c r="AC784" i="1"/>
  <c r="X784" i="1"/>
  <c r="L784" i="1"/>
  <c r="AH783" i="1"/>
  <c r="AC783" i="1"/>
  <c r="X783" i="1"/>
  <c r="L783" i="1"/>
  <c r="AH782" i="1"/>
  <c r="AC782" i="1"/>
  <c r="X782" i="1"/>
  <c r="L782" i="1"/>
  <c r="AH781" i="1"/>
  <c r="AC781" i="1"/>
  <c r="X781" i="1"/>
  <c r="L781" i="1"/>
  <c r="M781" i="1" s="1"/>
  <c r="AH780" i="1"/>
  <c r="AC780" i="1"/>
  <c r="X780" i="1"/>
  <c r="L780" i="1"/>
  <c r="AH779" i="1"/>
  <c r="AC779" i="1"/>
  <c r="X779" i="1"/>
  <c r="L779" i="1"/>
  <c r="AH778" i="1"/>
  <c r="AC778" i="1"/>
  <c r="X778" i="1"/>
  <c r="L778" i="1"/>
  <c r="AH777" i="1"/>
  <c r="AC777" i="1"/>
  <c r="X777" i="1"/>
  <c r="L777" i="1"/>
  <c r="AH776" i="1"/>
  <c r="AC776" i="1"/>
  <c r="X776" i="1"/>
  <c r="L776" i="1"/>
  <c r="AH775" i="1"/>
  <c r="AC775" i="1"/>
  <c r="X775" i="1"/>
  <c r="L775" i="1"/>
  <c r="AH774" i="1"/>
  <c r="AC774" i="1"/>
  <c r="X774" i="1"/>
  <c r="L774" i="1"/>
  <c r="AH773" i="1"/>
  <c r="AC773" i="1"/>
  <c r="X773" i="1"/>
  <c r="L773" i="1"/>
  <c r="AH772" i="1"/>
  <c r="AC772" i="1"/>
  <c r="X772" i="1"/>
  <c r="L772" i="1"/>
  <c r="AH771" i="1"/>
  <c r="AC771" i="1"/>
  <c r="X771" i="1"/>
  <c r="L771" i="1"/>
  <c r="M771" i="1" s="1"/>
  <c r="AH770" i="1"/>
  <c r="AC770" i="1"/>
  <c r="X770" i="1"/>
  <c r="L770" i="1"/>
  <c r="AH769" i="1"/>
  <c r="AC769" i="1"/>
  <c r="X769" i="1"/>
  <c r="L769" i="1"/>
  <c r="AH768" i="1"/>
  <c r="AC768" i="1"/>
  <c r="X768" i="1"/>
  <c r="L768" i="1"/>
  <c r="AH767" i="1"/>
  <c r="AC767" i="1"/>
  <c r="X767" i="1"/>
  <c r="L767" i="1"/>
  <c r="AH766" i="1"/>
  <c r="AC766" i="1"/>
  <c r="X766" i="1"/>
  <c r="L766" i="1"/>
  <c r="AH765" i="1"/>
  <c r="AC765" i="1"/>
  <c r="X765" i="1"/>
  <c r="L765" i="1"/>
  <c r="AH764" i="1"/>
  <c r="AC764" i="1"/>
  <c r="X764" i="1"/>
  <c r="L764" i="1"/>
  <c r="AH763" i="1"/>
  <c r="AC763" i="1"/>
  <c r="X763" i="1"/>
  <c r="L763" i="1"/>
  <c r="AH762" i="1"/>
  <c r="AC762" i="1"/>
  <c r="X762" i="1"/>
  <c r="L762" i="1"/>
  <c r="AH761" i="1"/>
  <c r="AC761" i="1"/>
  <c r="X761" i="1"/>
  <c r="L761" i="1"/>
  <c r="AH760" i="1"/>
  <c r="AC760" i="1"/>
  <c r="X760" i="1"/>
  <c r="L760" i="1"/>
  <c r="M760" i="1" s="1"/>
  <c r="AH759" i="1"/>
  <c r="AC759" i="1"/>
  <c r="X759" i="1"/>
  <c r="L759" i="1"/>
  <c r="M759" i="1" s="1"/>
  <c r="AH758" i="1"/>
  <c r="AC758" i="1"/>
  <c r="X758" i="1"/>
  <c r="L758" i="1"/>
  <c r="M758" i="1" s="1"/>
  <c r="AH757" i="1"/>
  <c r="AC757" i="1"/>
  <c r="X757" i="1"/>
  <c r="L757" i="1"/>
  <c r="M757" i="1" s="1"/>
  <c r="AH756" i="1"/>
  <c r="AC756" i="1"/>
  <c r="X756" i="1"/>
  <c r="L756" i="1"/>
  <c r="M756" i="1" s="1"/>
  <c r="AH755" i="1"/>
  <c r="AC755" i="1"/>
  <c r="X755" i="1"/>
  <c r="L755" i="1"/>
  <c r="AH754" i="1"/>
  <c r="AC754" i="1"/>
  <c r="X754" i="1"/>
  <c r="L754" i="1"/>
  <c r="M754" i="1" s="1"/>
  <c r="AH753" i="1"/>
  <c r="AC753" i="1"/>
  <c r="X753" i="1"/>
  <c r="L753" i="1"/>
  <c r="M753" i="1" s="1"/>
  <c r="AH752" i="1"/>
  <c r="AC752" i="1"/>
  <c r="X752" i="1"/>
  <c r="L752" i="1"/>
  <c r="M752" i="1" s="1"/>
  <c r="AH751" i="1"/>
  <c r="AC751" i="1"/>
  <c r="X751" i="1"/>
  <c r="L751" i="1"/>
  <c r="AH750" i="1"/>
  <c r="AC750" i="1"/>
  <c r="X750" i="1"/>
  <c r="L750" i="1"/>
  <c r="AH749" i="1"/>
  <c r="AC749" i="1"/>
  <c r="X749" i="1"/>
  <c r="L749" i="1"/>
  <c r="AH748" i="1"/>
  <c r="AC748" i="1"/>
  <c r="X748" i="1"/>
  <c r="L748" i="1"/>
  <c r="AH747" i="1"/>
  <c r="AC747" i="1"/>
  <c r="X747" i="1"/>
  <c r="L747" i="1"/>
  <c r="AH746" i="1"/>
  <c r="AC746" i="1"/>
  <c r="X746" i="1"/>
  <c r="L746" i="1"/>
  <c r="AH745" i="1"/>
  <c r="AC745" i="1"/>
  <c r="X745" i="1"/>
  <c r="L745" i="1"/>
  <c r="AH744" i="1"/>
  <c r="AC744" i="1"/>
  <c r="X744" i="1"/>
  <c r="L744" i="1"/>
  <c r="AH743" i="1"/>
  <c r="AC743" i="1"/>
  <c r="X743" i="1"/>
  <c r="L743" i="1"/>
  <c r="AH742" i="1"/>
  <c r="AC742" i="1"/>
  <c r="X742" i="1"/>
  <c r="L742" i="1"/>
  <c r="AH741" i="1"/>
  <c r="AC741" i="1"/>
  <c r="X741" i="1"/>
  <c r="L741" i="1"/>
  <c r="AH740" i="1"/>
  <c r="AC740" i="1"/>
  <c r="X740" i="1"/>
  <c r="L740" i="1"/>
  <c r="AH739" i="1"/>
  <c r="AC739" i="1"/>
  <c r="X739" i="1"/>
  <c r="L739" i="1"/>
  <c r="M739" i="1" s="1"/>
  <c r="AH738" i="1"/>
  <c r="AC738" i="1"/>
  <c r="X738" i="1"/>
  <c r="L738" i="1"/>
  <c r="M738" i="1" s="1"/>
  <c r="AH737" i="1"/>
  <c r="AC737" i="1"/>
  <c r="X737" i="1"/>
  <c r="L737" i="1"/>
  <c r="M737" i="1" s="1"/>
  <c r="AH736" i="1"/>
  <c r="AC736" i="1"/>
  <c r="X736" i="1"/>
  <c r="L736" i="1"/>
  <c r="AH735" i="1"/>
  <c r="AC735" i="1"/>
  <c r="X735" i="1"/>
  <c r="L735" i="1"/>
  <c r="AH734" i="1"/>
  <c r="AC734" i="1"/>
  <c r="X734" i="1"/>
  <c r="L734" i="1"/>
  <c r="AH733" i="1"/>
  <c r="AC733" i="1"/>
  <c r="X733" i="1"/>
  <c r="L733" i="1"/>
  <c r="AH732" i="1"/>
  <c r="AC732" i="1"/>
  <c r="X732" i="1"/>
  <c r="L732" i="1"/>
  <c r="M732" i="1" s="1"/>
  <c r="AH731" i="1"/>
  <c r="AC731" i="1"/>
  <c r="X731" i="1"/>
  <c r="L731" i="1"/>
  <c r="M731" i="1" s="1"/>
  <c r="AH730" i="1"/>
  <c r="AC730" i="1"/>
  <c r="X730" i="1"/>
  <c r="L730" i="1"/>
  <c r="M730" i="1" s="1"/>
  <c r="AH729" i="1"/>
  <c r="AC729" i="1"/>
  <c r="X729" i="1"/>
  <c r="L729" i="1"/>
  <c r="M729" i="1" s="1"/>
  <c r="AH728" i="1"/>
  <c r="AC728" i="1"/>
  <c r="X728" i="1"/>
  <c r="L728" i="1"/>
  <c r="AH727" i="1"/>
  <c r="AC727" i="1"/>
  <c r="X727" i="1"/>
  <c r="L727" i="1"/>
  <c r="AH726" i="1"/>
  <c r="AC726" i="1"/>
  <c r="X726" i="1"/>
  <c r="L726" i="1"/>
  <c r="AH725" i="1"/>
  <c r="AC725" i="1"/>
  <c r="X725" i="1"/>
  <c r="L725" i="1"/>
  <c r="AH724" i="1"/>
  <c r="AC724" i="1"/>
  <c r="X724" i="1"/>
  <c r="L724" i="1"/>
  <c r="AH723" i="1"/>
  <c r="AC723" i="1"/>
  <c r="X723" i="1"/>
  <c r="L723" i="1"/>
  <c r="AH722" i="1"/>
  <c r="AC722" i="1"/>
  <c r="X722" i="1"/>
  <c r="L722" i="1"/>
  <c r="AH721" i="1"/>
  <c r="AC721" i="1"/>
  <c r="X721" i="1"/>
  <c r="L721" i="1"/>
  <c r="AH720" i="1"/>
  <c r="AC720" i="1"/>
  <c r="X720" i="1"/>
  <c r="L720" i="1"/>
  <c r="AH719" i="1"/>
  <c r="AC719" i="1"/>
  <c r="X719" i="1"/>
  <c r="L719" i="1"/>
  <c r="AH718" i="1"/>
  <c r="AC718" i="1"/>
  <c r="X718" i="1"/>
  <c r="L718" i="1"/>
  <c r="AH717" i="1"/>
  <c r="AC717" i="1"/>
  <c r="X717" i="1"/>
  <c r="L717" i="1"/>
  <c r="AH716" i="1"/>
  <c r="AC716" i="1"/>
  <c r="X716" i="1"/>
  <c r="L716" i="1"/>
  <c r="AH715" i="1"/>
  <c r="AC715" i="1"/>
  <c r="X715" i="1"/>
  <c r="L715" i="1"/>
  <c r="AH714" i="1"/>
  <c r="AC714" i="1"/>
  <c r="X714" i="1"/>
  <c r="L714" i="1"/>
  <c r="AH713" i="1"/>
  <c r="AC713" i="1"/>
  <c r="X713" i="1"/>
  <c r="L713" i="1"/>
  <c r="AH712" i="1"/>
  <c r="AC712" i="1"/>
  <c r="X712" i="1"/>
  <c r="L712" i="1"/>
  <c r="AH711" i="1"/>
  <c r="AC711" i="1"/>
  <c r="X711" i="1"/>
  <c r="L711" i="1"/>
  <c r="AH710" i="1"/>
  <c r="AC710" i="1"/>
  <c r="X710" i="1"/>
  <c r="L710" i="1"/>
  <c r="AH709" i="1"/>
  <c r="AC709" i="1"/>
  <c r="X709" i="1"/>
  <c r="L709" i="1"/>
  <c r="M709" i="1" s="1"/>
  <c r="AH708" i="1"/>
  <c r="AC708" i="1"/>
  <c r="X708" i="1"/>
  <c r="L708" i="1"/>
  <c r="M708" i="1" s="1"/>
  <c r="AH707" i="1"/>
  <c r="AC707" i="1"/>
  <c r="X707" i="1"/>
  <c r="L707" i="1"/>
  <c r="M707" i="1" s="1"/>
  <c r="AH706" i="1"/>
  <c r="AC706" i="1"/>
  <c r="X706" i="1"/>
  <c r="L706" i="1"/>
  <c r="M706" i="1" s="1"/>
  <c r="AH705" i="1"/>
  <c r="AC705" i="1"/>
  <c r="X705" i="1"/>
  <c r="L705" i="1"/>
  <c r="AH704" i="1"/>
  <c r="AC704" i="1"/>
  <c r="X704" i="1"/>
  <c r="L704" i="1"/>
  <c r="AH703" i="1"/>
  <c r="AC703" i="1"/>
  <c r="X703" i="1"/>
  <c r="L703" i="1"/>
  <c r="AH702" i="1"/>
  <c r="AC702" i="1"/>
  <c r="X702" i="1"/>
  <c r="L702" i="1"/>
  <c r="AH701" i="1"/>
  <c r="AC701" i="1"/>
  <c r="X701" i="1"/>
  <c r="L701" i="1"/>
  <c r="AH700" i="1"/>
  <c r="AC700" i="1"/>
  <c r="X700" i="1"/>
  <c r="L700" i="1"/>
  <c r="AH699" i="1"/>
  <c r="AC699" i="1"/>
  <c r="X699" i="1"/>
  <c r="L699" i="1"/>
  <c r="AH698" i="1"/>
  <c r="AC698" i="1"/>
  <c r="X698" i="1"/>
  <c r="L698" i="1"/>
  <c r="AH697" i="1"/>
  <c r="AC697" i="1"/>
  <c r="X697" i="1"/>
  <c r="L697" i="1"/>
  <c r="AH696" i="1"/>
  <c r="AC696" i="1"/>
  <c r="X696" i="1"/>
  <c r="L696" i="1"/>
  <c r="AH695" i="1"/>
  <c r="AC695" i="1"/>
  <c r="X695" i="1"/>
  <c r="L695" i="1"/>
  <c r="AH694" i="1"/>
  <c r="AC694" i="1"/>
  <c r="X694" i="1"/>
  <c r="L694" i="1"/>
  <c r="AH693" i="1"/>
  <c r="AC693" i="1"/>
  <c r="X693" i="1"/>
  <c r="L693" i="1"/>
  <c r="AH692" i="1"/>
  <c r="AC692" i="1"/>
  <c r="X692" i="1"/>
  <c r="L692" i="1"/>
  <c r="AH691" i="1"/>
  <c r="AC691" i="1"/>
  <c r="X691" i="1"/>
  <c r="L691" i="1"/>
  <c r="AH690" i="1"/>
  <c r="AC690" i="1"/>
  <c r="X690" i="1"/>
  <c r="L690" i="1"/>
  <c r="AH689" i="1"/>
  <c r="AC689" i="1"/>
  <c r="X689" i="1"/>
  <c r="L689" i="1"/>
  <c r="AH688" i="1"/>
  <c r="AC688" i="1"/>
  <c r="X688" i="1"/>
  <c r="L688" i="1"/>
  <c r="AH687" i="1"/>
  <c r="AC687" i="1"/>
  <c r="X687" i="1"/>
  <c r="L687" i="1"/>
  <c r="AH686" i="1"/>
  <c r="AC686" i="1"/>
  <c r="X686" i="1"/>
  <c r="L686" i="1"/>
  <c r="AH685" i="1"/>
  <c r="AC685" i="1"/>
  <c r="L685" i="1"/>
  <c r="AH684" i="1"/>
  <c r="AC684" i="1"/>
  <c r="L684" i="1"/>
  <c r="AH683" i="1"/>
  <c r="AC683" i="1"/>
  <c r="L683" i="1"/>
  <c r="M683" i="1" s="1"/>
  <c r="AH682" i="1"/>
  <c r="AC682" i="1"/>
  <c r="X682" i="1"/>
  <c r="L682" i="1"/>
  <c r="M682" i="1" s="1"/>
  <c r="AH681" i="1"/>
  <c r="AC681" i="1"/>
  <c r="X681" i="1"/>
  <c r="L681" i="1"/>
  <c r="M681" i="1" s="1"/>
  <c r="AH680" i="1"/>
  <c r="AC680" i="1"/>
  <c r="L680" i="1"/>
  <c r="M680" i="1" s="1"/>
  <c r="AH679" i="1"/>
  <c r="AC679" i="1"/>
  <c r="L679" i="1"/>
  <c r="M679" i="1" s="1"/>
  <c r="AH678" i="1"/>
  <c r="AC678" i="1"/>
  <c r="L678" i="1"/>
  <c r="AH677" i="1"/>
  <c r="AC677" i="1"/>
  <c r="L677" i="1"/>
  <c r="AH676" i="1"/>
  <c r="AC676" i="1"/>
  <c r="L676" i="1"/>
  <c r="AH675" i="1"/>
  <c r="AC675" i="1"/>
  <c r="L675" i="1"/>
  <c r="M675" i="1" s="1"/>
  <c r="AH674" i="1"/>
  <c r="AC674" i="1"/>
  <c r="X674" i="1"/>
  <c r="L674" i="1"/>
  <c r="AH673" i="1"/>
  <c r="AC673" i="1"/>
  <c r="L673" i="1"/>
  <c r="M673" i="1" s="1"/>
  <c r="AH672" i="1"/>
  <c r="AC672" i="1"/>
  <c r="X672" i="1"/>
  <c r="L672" i="1"/>
  <c r="AH671" i="1"/>
  <c r="W671" i="1" s="1"/>
  <c r="AN671" i="1" s="1"/>
  <c r="AO671" i="1" s="1"/>
  <c r="L671" i="1"/>
  <c r="AH670" i="1"/>
  <c r="AC670" i="1"/>
  <c r="X670" i="1"/>
  <c r="L670" i="1"/>
  <c r="AH669" i="1"/>
  <c r="AC669" i="1"/>
  <c r="L669" i="1"/>
  <c r="AH668" i="1"/>
  <c r="AC668" i="1"/>
  <c r="X668" i="1"/>
  <c r="L668" i="1"/>
  <c r="AH667" i="1"/>
  <c r="AC667" i="1"/>
  <c r="L667" i="1"/>
  <c r="AH666" i="1"/>
  <c r="AC666" i="1"/>
  <c r="X666" i="1"/>
  <c r="M666" i="1"/>
  <c r="AH665" i="1"/>
  <c r="AC665" i="1"/>
  <c r="X665" i="1"/>
  <c r="L665" i="1"/>
  <c r="M665" i="1" s="1"/>
  <c r="AH664" i="1"/>
  <c r="AC664" i="1"/>
  <c r="L664" i="1"/>
  <c r="M664" i="1" s="1"/>
  <c r="AH663" i="1"/>
  <c r="AC663" i="1"/>
  <c r="X663" i="1"/>
  <c r="M663" i="1"/>
  <c r="AH662" i="1"/>
  <c r="AC662" i="1"/>
  <c r="L662" i="1"/>
  <c r="M662" i="1" s="1"/>
  <c r="AH661" i="1"/>
  <c r="AC661" i="1"/>
  <c r="X661" i="1"/>
  <c r="L661" i="1"/>
  <c r="AH660" i="1"/>
  <c r="AC660" i="1"/>
  <c r="X660" i="1"/>
  <c r="M660" i="1"/>
  <c r="AH659" i="1"/>
  <c r="AC659" i="1"/>
  <c r="X659" i="1"/>
  <c r="L659" i="1"/>
  <c r="AH658" i="1"/>
  <c r="AC658" i="1"/>
  <c r="L658" i="1"/>
  <c r="AH657" i="1"/>
  <c r="AC657" i="1"/>
  <c r="L657" i="1"/>
  <c r="M657" i="1" s="1"/>
  <c r="AH656" i="1"/>
  <c r="AC656" i="1"/>
  <c r="L656" i="1"/>
  <c r="AH655" i="1"/>
  <c r="AC655" i="1"/>
  <c r="L655" i="1"/>
  <c r="AH654" i="1"/>
  <c r="AC654" i="1"/>
  <c r="L654" i="1"/>
  <c r="AH653" i="1"/>
  <c r="AC653" i="1"/>
  <c r="L653" i="1"/>
  <c r="AH652" i="1"/>
  <c r="AC652" i="1"/>
  <c r="X652" i="1"/>
  <c r="L652" i="1"/>
  <c r="AH651" i="1"/>
  <c r="AC651" i="1"/>
  <c r="L651" i="1"/>
  <c r="AH650" i="1"/>
  <c r="AC650" i="1"/>
  <c r="L650" i="1"/>
  <c r="AH649" i="1"/>
  <c r="AC649" i="1"/>
  <c r="X649" i="1"/>
  <c r="L649" i="1"/>
  <c r="AH648" i="1"/>
  <c r="AC648" i="1"/>
  <c r="L648" i="1"/>
  <c r="AH647" i="1"/>
  <c r="AC647" i="1"/>
  <c r="X647" i="1"/>
  <c r="L647" i="1"/>
  <c r="AH646" i="1"/>
  <c r="AC646" i="1"/>
  <c r="L646" i="1"/>
  <c r="M646" i="1" s="1"/>
  <c r="AH645" i="1"/>
  <c r="AC645" i="1"/>
  <c r="L645" i="1"/>
  <c r="AH644" i="1"/>
  <c r="AC644" i="1"/>
  <c r="X644" i="1"/>
  <c r="L644" i="1"/>
  <c r="M644" i="1" s="1"/>
  <c r="AH643" i="1"/>
  <c r="AC643" i="1"/>
  <c r="X643" i="1"/>
  <c r="L643" i="1"/>
  <c r="M643" i="1" s="1"/>
  <c r="AH642" i="1"/>
  <c r="AC642" i="1"/>
  <c r="X642" i="1"/>
  <c r="L642" i="1"/>
  <c r="M642" i="1" s="1"/>
  <c r="AH641" i="1"/>
  <c r="AC641" i="1"/>
  <c r="X641" i="1"/>
  <c r="L641" i="1"/>
  <c r="AH640" i="1"/>
  <c r="AC640" i="1"/>
  <c r="X640" i="1"/>
  <c r="L640" i="1"/>
  <c r="M640" i="1" s="1"/>
  <c r="AH639" i="1"/>
  <c r="AC639" i="1"/>
  <c r="X639" i="1"/>
  <c r="L639" i="1"/>
  <c r="AH638" i="1"/>
  <c r="AC638" i="1"/>
  <c r="X638" i="1"/>
  <c r="L638" i="1"/>
  <c r="M638" i="1" s="1"/>
  <c r="AH637" i="1"/>
  <c r="AC637" i="1"/>
  <c r="AA637" i="1"/>
  <c r="X637" i="1" s="1"/>
  <c r="M637" i="1"/>
  <c r="AH636" i="1"/>
  <c r="AC636" i="1"/>
  <c r="X636" i="1"/>
  <c r="L636" i="1"/>
  <c r="AH635" i="1"/>
  <c r="AC635" i="1"/>
  <c r="L635" i="1"/>
  <c r="AH634" i="1"/>
  <c r="AC634" i="1"/>
  <c r="L634" i="1"/>
  <c r="M634" i="1" s="1"/>
  <c r="AH633" i="1"/>
  <c r="AC633" i="1"/>
  <c r="X633" i="1"/>
  <c r="L633" i="1"/>
  <c r="M633" i="1" s="1"/>
  <c r="AH632" i="1"/>
  <c r="AC632" i="1"/>
  <c r="L632" i="1"/>
  <c r="AH631" i="1"/>
  <c r="AC631" i="1"/>
  <c r="X631" i="1"/>
  <c r="M631" i="1"/>
  <c r="AH630" i="1"/>
  <c r="AC630" i="1"/>
  <c r="L630" i="1"/>
  <c r="M630" i="1" s="1"/>
  <c r="AH629" i="1"/>
  <c r="AC629" i="1"/>
  <c r="X629" i="1"/>
  <c r="L629" i="1"/>
  <c r="M629" i="1" s="1"/>
  <c r="AH628" i="1"/>
  <c r="AC628" i="1"/>
  <c r="L628" i="1"/>
  <c r="M628" i="1" s="1"/>
  <c r="AH627" i="1"/>
  <c r="AC627" i="1"/>
  <c r="L627" i="1"/>
  <c r="AH626" i="1"/>
  <c r="AC626" i="1"/>
  <c r="L626" i="1"/>
  <c r="AH625" i="1"/>
  <c r="AC625" i="1"/>
  <c r="X625" i="1"/>
  <c r="M625" i="1"/>
  <c r="AH624" i="1"/>
  <c r="AC624" i="1"/>
  <c r="X624" i="1"/>
  <c r="M624" i="1"/>
  <c r="AH623" i="1"/>
  <c r="AC623" i="1"/>
  <c r="L623" i="1"/>
  <c r="M623" i="1" s="1"/>
  <c r="AH622" i="1"/>
  <c r="AC622" i="1"/>
  <c r="X622" i="1"/>
  <c r="L622" i="1"/>
  <c r="AH621" i="1"/>
  <c r="AC621" i="1"/>
  <c r="L621" i="1"/>
  <c r="AH620" i="1"/>
  <c r="AC620" i="1"/>
  <c r="X620" i="1"/>
  <c r="L620" i="1"/>
  <c r="M620" i="1" s="1"/>
  <c r="AH619" i="1"/>
  <c r="AC619" i="1"/>
  <c r="X619" i="1"/>
  <c r="L619" i="1"/>
  <c r="M619" i="1" s="1"/>
  <c r="AH618" i="1"/>
  <c r="AC618" i="1"/>
  <c r="X618" i="1"/>
  <c r="L618" i="1"/>
  <c r="AH617" i="1"/>
  <c r="AC617" i="1"/>
  <c r="X617" i="1"/>
  <c r="L617" i="1"/>
  <c r="AH616" i="1"/>
  <c r="AC616" i="1"/>
  <c r="X616" i="1"/>
  <c r="L616" i="1"/>
  <c r="AH615" i="1"/>
  <c r="AC615" i="1"/>
  <c r="X615" i="1"/>
  <c r="L615" i="1"/>
  <c r="AH614" i="1"/>
  <c r="W614" i="1" s="1"/>
  <c r="AN614" i="1" s="1"/>
  <c r="AO614" i="1" s="1"/>
  <c r="L614" i="1"/>
  <c r="M614" i="1" s="1"/>
  <c r="AH613" i="1"/>
  <c r="AC613" i="1"/>
  <c r="X613" i="1"/>
  <c r="L613" i="1"/>
  <c r="M613" i="1" s="1"/>
  <c r="AH612" i="1"/>
  <c r="AC612" i="1"/>
  <c r="X612" i="1"/>
  <c r="L612" i="1"/>
  <c r="M612" i="1" s="1"/>
  <c r="AH611" i="1"/>
  <c r="AC611" i="1"/>
  <c r="X611" i="1"/>
  <c r="M611" i="1"/>
  <c r="AH610" i="1"/>
  <c r="AC610" i="1"/>
  <c r="X610" i="1"/>
  <c r="L610" i="1"/>
  <c r="AH609" i="1"/>
  <c r="AC609" i="1"/>
  <c r="X609" i="1"/>
  <c r="M609" i="1"/>
  <c r="AH608" i="1"/>
  <c r="AC608" i="1"/>
  <c r="X608" i="1"/>
  <c r="L608" i="1"/>
  <c r="AH607" i="1"/>
  <c r="AC607" i="1"/>
  <c r="X607" i="1"/>
  <c r="M607" i="1"/>
  <c r="AH606" i="1"/>
  <c r="AC606" i="1"/>
  <c r="X606" i="1"/>
  <c r="L606" i="1"/>
  <c r="AH605" i="1"/>
  <c r="AC605" i="1"/>
  <c r="X605" i="1"/>
  <c r="L605" i="1"/>
  <c r="AH604" i="1"/>
  <c r="AC604" i="1"/>
  <c r="X604" i="1"/>
  <c r="L604" i="1"/>
  <c r="M604" i="1" s="1"/>
  <c r="AH603" i="1"/>
  <c r="AC603" i="1"/>
  <c r="X603" i="1"/>
  <c r="L603" i="1"/>
  <c r="M603" i="1" s="1"/>
  <c r="AH602" i="1"/>
  <c r="AC602" i="1"/>
  <c r="X602" i="1"/>
  <c r="L602" i="1"/>
  <c r="M602" i="1" s="1"/>
  <c r="AH601" i="1"/>
  <c r="AC601" i="1"/>
  <c r="X601" i="1"/>
  <c r="L601" i="1"/>
  <c r="AH600" i="1"/>
  <c r="AC600" i="1"/>
  <c r="X600" i="1"/>
  <c r="L600" i="1"/>
  <c r="M600" i="1" s="1"/>
  <c r="AH599" i="1"/>
  <c r="AC599" i="1"/>
  <c r="X599" i="1"/>
  <c r="L599" i="1"/>
  <c r="AH598" i="1"/>
  <c r="AC598" i="1"/>
  <c r="X598" i="1"/>
  <c r="M598" i="1"/>
  <c r="AH597" i="1"/>
  <c r="AC597" i="1"/>
  <c r="L597" i="1"/>
  <c r="AH596" i="1"/>
  <c r="AC596" i="1"/>
  <c r="L596" i="1"/>
  <c r="AH595" i="1"/>
  <c r="AC595" i="1"/>
  <c r="L595" i="1"/>
  <c r="AH594" i="1"/>
  <c r="AC594" i="1"/>
  <c r="L594" i="1"/>
  <c r="M594" i="1" s="1"/>
  <c r="AH593" i="1"/>
  <c r="AC593" i="1"/>
  <c r="L593" i="1"/>
  <c r="M593" i="1" s="1"/>
  <c r="AH592" i="1"/>
  <c r="AC592" i="1"/>
  <c r="X592" i="1"/>
  <c r="L592" i="1"/>
  <c r="M592" i="1" s="1"/>
  <c r="AH591" i="1"/>
  <c r="AC591" i="1"/>
  <c r="L591" i="1"/>
  <c r="M591" i="1" s="1"/>
  <c r="AH590" i="1"/>
  <c r="AC590" i="1"/>
  <c r="L590" i="1"/>
  <c r="M590" i="1" s="1"/>
  <c r="AH589" i="1"/>
  <c r="AC589" i="1"/>
  <c r="X589" i="1"/>
  <c r="M589" i="1"/>
  <c r="AH588" i="1"/>
  <c r="AC588" i="1"/>
  <c r="L588" i="1"/>
  <c r="AH587" i="1"/>
  <c r="AC587" i="1"/>
  <c r="L587" i="1"/>
  <c r="AH586" i="1"/>
  <c r="AC586" i="1"/>
  <c r="L586" i="1"/>
  <c r="AH585" i="1"/>
  <c r="AC585" i="1"/>
  <c r="L585" i="1"/>
  <c r="AH584" i="1"/>
  <c r="AC584" i="1"/>
  <c r="L584" i="1"/>
  <c r="M584" i="1" s="1"/>
  <c r="AH583" i="1"/>
  <c r="AC583" i="1"/>
  <c r="L583" i="1"/>
  <c r="AH582" i="1"/>
  <c r="AC582" i="1"/>
  <c r="L582" i="1"/>
  <c r="AH581" i="1"/>
  <c r="AC581" i="1"/>
  <c r="L581" i="1"/>
  <c r="AH580" i="1"/>
  <c r="AC580" i="1"/>
  <c r="L580" i="1"/>
  <c r="AH579" i="1"/>
  <c r="AC579" i="1"/>
  <c r="L579" i="1"/>
  <c r="M579" i="1" s="1"/>
  <c r="AH578" i="1"/>
  <c r="AC578" i="1"/>
  <c r="L578" i="1"/>
  <c r="AH577" i="1"/>
  <c r="AC577" i="1"/>
  <c r="L577" i="1"/>
  <c r="AM576" i="1"/>
  <c r="AC576" i="1"/>
  <c r="W576" i="1" s="1"/>
  <c r="L576" i="1"/>
  <c r="M576" i="1" s="1"/>
  <c r="AM575" i="1"/>
  <c r="AC575" i="1"/>
  <c r="W575" i="1" s="1"/>
  <c r="L575" i="1"/>
  <c r="M575" i="1" s="1"/>
  <c r="AM574" i="1"/>
  <c r="AC574" i="1"/>
  <c r="W574" i="1" s="1"/>
  <c r="L574" i="1"/>
  <c r="M574" i="1" s="1"/>
  <c r="AM573" i="1"/>
  <c r="AC573" i="1"/>
  <c r="W573" i="1" s="1"/>
  <c r="L573" i="1"/>
  <c r="M573" i="1" s="1"/>
  <c r="AM572" i="1"/>
  <c r="AC572" i="1"/>
  <c r="W572" i="1" s="1"/>
  <c r="L572" i="1"/>
  <c r="M572" i="1" s="1"/>
  <c r="AM571" i="1"/>
  <c r="AC571" i="1"/>
  <c r="W571" i="1" s="1"/>
  <c r="AN571" i="1" s="1"/>
  <c r="AO571" i="1" s="1"/>
  <c r="L571" i="1"/>
  <c r="M571" i="1" s="1"/>
  <c r="AC570" i="1"/>
  <c r="W570" i="1" s="1"/>
  <c r="L570" i="1"/>
  <c r="AC569" i="1"/>
  <c r="W569" i="1" s="1"/>
  <c r="L569" i="1"/>
  <c r="M569" i="1" s="1"/>
  <c r="AC568" i="1"/>
  <c r="W568" i="1" s="1"/>
  <c r="L568" i="1"/>
  <c r="AC564" i="1"/>
  <c r="W564" i="1" s="1"/>
  <c r="L564" i="1"/>
  <c r="AC562" i="1"/>
  <c r="W562" i="1" s="1"/>
  <c r="W561" i="1"/>
  <c r="AN561" i="1" s="1"/>
  <c r="AO561" i="1" s="1"/>
  <c r="L561" i="1"/>
  <c r="M561" i="1" s="1"/>
  <c r="AC560" i="1"/>
  <c r="W560" i="1" s="1"/>
  <c r="AN560" i="1" s="1"/>
  <c r="AO560" i="1" s="1"/>
  <c r="L560" i="1"/>
  <c r="AC559" i="1"/>
  <c r="W559" i="1" s="1"/>
  <c r="AN559" i="1" s="1"/>
  <c r="AO559" i="1" s="1"/>
  <c r="L559" i="1"/>
  <c r="AC558" i="1"/>
  <c r="W558" i="1" s="1"/>
  <c r="AN558" i="1" s="1"/>
  <c r="AO558" i="1" s="1"/>
  <c r="L558" i="1"/>
  <c r="M558" i="1" s="1"/>
  <c r="AC557" i="1"/>
  <c r="W557" i="1" s="1"/>
  <c r="AN557" i="1" s="1"/>
  <c r="AO557" i="1" s="1"/>
  <c r="L557" i="1"/>
  <c r="AH556" i="1"/>
  <c r="W556" i="1" s="1"/>
  <c r="AN556" i="1" s="1"/>
  <c r="AO556" i="1" s="1"/>
  <c r="M556" i="1"/>
  <c r="AH555" i="1"/>
  <c r="AC555" i="1"/>
  <c r="X555" i="1"/>
  <c r="L555" i="1"/>
  <c r="M555" i="1" s="1"/>
  <c r="AH554" i="1"/>
  <c r="AC554" i="1"/>
  <c r="X554" i="1"/>
  <c r="L554" i="1"/>
  <c r="M554" i="1" s="1"/>
  <c r="AH553" i="1"/>
  <c r="AC553" i="1"/>
  <c r="L553" i="1"/>
  <c r="AH552" i="1"/>
  <c r="AC552" i="1"/>
  <c r="L552" i="1"/>
  <c r="M552" i="1" s="1"/>
  <c r="AH551" i="1"/>
  <c r="AC551" i="1"/>
  <c r="L551" i="1"/>
  <c r="AH550" i="1"/>
  <c r="AC550" i="1"/>
  <c r="X550" i="1"/>
  <c r="L550" i="1"/>
  <c r="M550" i="1" s="1"/>
  <c r="AH549" i="1"/>
  <c r="AC549" i="1"/>
  <c r="L549" i="1"/>
  <c r="M549" i="1" s="1"/>
  <c r="AH548" i="1"/>
  <c r="AC548" i="1"/>
  <c r="L548" i="1"/>
  <c r="M548" i="1" s="1"/>
  <c r="AH547" i="1"/>
  <c r="AC547" i="1"/>
  <c r="X547" i="1"/>
  <c r="L547" i="1"/>
  <c r="AH546" i="1"/>
  <c r="AC546" i="1"/>
  <c r="X546" i="1"/>
  <c r="L546" i="1"/>
  <c r="AH545" i="1"/>
  <c r="AC545" i="1"/>
  <c r="L545" i="1"/>
  <c r="AH544" i="1"/>
  <c r="AC544" i="1"/>
  <c r="X544" i="1"/>
  <c r="L544" i="1"/>
  <c r="M544" i="1" s="1"/>
  <c r="AH543" i="1"/>
  <c r="AC543" i="1"/>
  <c r="AA543" i="1"/>
  <c r="X543" i="1" s="1"/>
  <c r="M543" i="1"/>
  <c r="AH542" i="1"/>
  <c r="AC542" i="1"/>
  <c r="L542" i="1"/>
  <c r="M542" i="1" s="1"/>
  <c r="AH541" i="1"/>
  <c r="AC541" i="1"/>
  <c r="L541" i="1"/>
  <c r="M541" i="1" s="1"/>
  <c r="AN540" i="1"/>
  <c r="AO540" i="1" s="1"/>
  <c r="AH540" i="1"/>
  <c r="AC540" i="1"/>
  <c r="X540" i="1"/>
  <c r="L540" i="1"/>
  <c r="AH539" i="1"/>
  <c r="AC539" i="1"/>
  <c r="X539" i="1"/>
  <c r="L539" i="1"/>
  <c r="M539" i="1" s="1"/>
  <c r="AH538" i="1"/>
  <c r="AC538" i="1"/>
  <c r="X538" i="1"/>
  <c r="L538" i="1"/>
  <c r="M538" i="1" s="1"/>
  <c r="AH537" i="1"/>
  <c r="AC537" i="1"/>
  <c r="X537" i="1"/>
  <c r="L537" i="1"/>
  <c r="AH536" i="1"/>
  <c r="AC536" i="1"/>
  <c r="X536" i="1"/>
  <c r="L536" i="1"/>
  <c r="AH535" i="1"/>
  <c r="AC535" i="1"/>
  <c r="X535" i="1"/>
  <c r="M535" i="1"/>
  <c r="AH534" i="1"/>
  <c r="AC534" i="1"/>
  <c r="X534" i="1"/>
  <c r="L534" i="1"/>
  <c r="M534" i="1" s="1"/>
  <c r="AH533" i="1"/>
  <c r="AC533" i="1"/>
  <c r="X533" i="1"/>
  <c r="M533" i="1"/>
  <c r="AH532" i="1"/>
  <c r="AC532" i="1"/>
  <c r="X532" i="1"/>
  <c r="L532" i="1"/>
  <c r="AH531" i="1"/>
  <c r="AC531" i="1"/>
  <c r="X531" i="1"/>
  <c r="M531" i="1"/>
  <c r="AN530" i="1"/>
  <c r="AO530" i="1" s="1"/>
  <c r="AH530" i="1"/>
  <c r="AC530" i="1"/>
  <c r="L530" i="1"/>
  <c r="AH529" i="1"/>
  <c r="AC529" i="1"/>
  <c r="X529" i="1"/>
  <c r="L529" i="1"/>
  <c r="AH528" i="1"/>
  <c r="AC528" i="1"/>
  <c r="L528" i="1"/>
  <c r="AH527" i="1"/>
  <c r="AC527" i="1"/>
  <c r="L527" i="1"/>
  <c r="M527" i="1" s="1"/>
  <c r="AH526" i="1"/>
  <c r="AC526" i="1"/>
  <c r="L526" i="1"/>
  <c r="AH525" i="1"/>
  <c r="AD525" i="1"/>
  <c r="AC525" i="1" s="1"/>
  <c r="X525" i="1"/>
  <c r="M525" i="1"/>
  <c r="AH524" i="1"/>
  <c r="AC524" i="1"/>
  <c r="L524" i="1"/>
  <c r="M524" i="1" s="1"/>
  <c r="AH523" i="1"/>
  <c r="AC523" i="1"/>
  <c r="X523" i="1"/>
  <c r="L523" i="1"/>
  <c r="M523" i="1" s="1"/>
  <c r="AH522" i="1"/>
  <c r="AC522" i="1"/>
  <c r="AA522" i="1"/>
  <c r="M522" i="1"/>
  <c r="AH521" i="1"/>
  <c r="AC521" i="1"/>
  <c r="X521" i="1"/>
  <c r="L521" i="1"/>
  <c r="M521" i="1" s="1"/>
  <c r="AH520" i="1"/>
  <c r="AC520" i="1"/>
  <c r="X520" i="1"/>
  <c r="L520" i="1"/>
  <c r="AH519" i="1"/>
  <c r="AC519" i="1"/>
  <c r="L519" i="1"/>
  <c r="M519" i="1" s="1"/>
  <c r="AH518" i="1"/>
  <c r="AC518" i="1"/>
  <c r="X518" i="1"/>
  <c r="L518" i="1"/>
  <c r="M518" i="1" s="1"/>
  <c r="AH517" i="1"/>
  <c r="AC517" i="1"/>
  <c r="X517" i="1"/>
  <c r="L517" i="1"/>
  <c r="M517" i="1" s="1"/>
  <c r="AH516" i="1"/>
  <c r="AC516" i="1"/>
  <c r="X516" i="1"/>
  <c r="L516" i="1"/>
  <c r="AH515" i="1"/>
  <c r="AD515" i="1"/>
  <c r="AC515" i="1" s="1"/>
  <c r="X515" i="1"/>
  <c r="M515" i="1"/>
  <c r="AH514" i="1"/>
  <c r="AC514" i="1"/>
  <c r="X514" i="1"/>
  <c r="L514" i="1"/>
  <c r="M514" i="1" s="1"/>
  <c r="W513" i="1"/>
  <c r="AN513" i="1" s="1"/>
  <c r="AO513" i="1" s="1"/>
  <c r="L513" i="1"/>
  <c r="AH512" i="1"/>
  <c r="AC512" i="1"/>
  <c r="X512" i="1"/>
  <c r="L512" i="1"/>
  <c r="AH511" i="1"/>
  <c r="AC511" i="1"/>
  <c r="X511" i="1"/>
  <c r="M511" i="1"/>
  <c r="AH510" i="1"/>
  <c r="AC510" i="1"/>
  <c r="X510" i="1"/>
  <c r="L510" i="1"/>
  <c r="M510" i="1" s="1"/>
  <c r="AH509" i="1"/>
  <c r="AC509" i="1"/>
  <c r="L509" i="1"/>
  <c r="AH508" i="1"/>
  <c r="AC508" i="1"/>
  <c r="X508" i="1"/>
  <c r="L508" i="1"/>
  <c r="M508" i="1" s="1"/>
  <c r="AH507" i="1"/>
  <c r="AC507" i="1"/>
  <c r="X507" i="1"/>
  <c r="L507" i="1"/>
  <c r="M507" i="1" s="1"/>
  <c r="AH506" i="1"/>
  <c r="AC506" i="1"/>
  <c r="X506" i="1"/>
  <c r="M506" i="1"/>
  <c r="AH505" i="1"/>
  <c r="AC505" i="1"/>
  <c r="X505" i="1"/>
  <c r="L505" i="1"/>
  <c r="AH504" i="1"/>
  <c r="AC504" i="1"/>
  <c r="X504" i="1"/>
  <c r="L504" i="1"/>
  <c r="AH503" i="1"/>
  <c r="AC503" i="1"/>
  <c r="X503" i="1"/>
  <c r="L503" i="1"/>
  <c r="M503" i="1" s="1"/>
  <c r="AH502" i="1"/>
  <c r="AC502" i="1"/>
  <c r="L502" i="1"/>
  <c r="AH501" i="1"/>
  <c r="AC501" i="1"/>
  <c r="X501" i="1"/>
  <c r="L501" i="1"/>
  <c r="AH500" i="1"/>
  <c r="AC500" i="1"/>
  <c r="X500" i="1"/>
  <c r="L500" i="1"/>
  <c r="M500" i="1" s="1"/>
  <c r="AH499" i="1"/>
  <c r="AD499" i="1"/>
  <c r="AC499" i="1" s="1"/>
  <c r="X499" i="1"/>
  <c r="M499" i="1"/>
  <c r="AH498" i="1"/>
  <c r="AC498" i="1"/>
  <c r="X498" i="1"/>
  <c r="L498" i="1"/>
  <c r="M498" i="1" s="1"/>
  <c r="AH497" i="1"/>
  <c r="AC497" i="1"/>
  <c r="X497" i="1"/>
  <c r="L497" i="1"/>
  <c r="AH496" i="1"/>
  <c r="AC496" i="1"/>
  <c r="X496" i="1"/>
  <c r="L496" i="1"/>
  <c r="M496" i="1" s="1"/>
  <c r="AH495" i="1"/>
  <c r="AC495" i="1"/>
  <c r="X495" i="1"/>
  <c r="M495" i="1"/>
  <c r="AH494" i="1"/>
  <c r="AD494" i="1"/>
  <c r="AC494" i="1" s="1"/>
  <c r="X494" i="1"/>
  <c r="M494" i="1"/>
  <c r="AH493" i="1"/>
  <c r="AC493" i="1"/>
  <c r="X493" i="1"/>
  <c r="L493" i="1"/>
  <c r="M493" i="1" s="1"/>
  <c r="AH492" i="1"/>
  <c r="AC492" i="1"/>
  <c r="X492" i="1"/>
  <c r="M492" i="1"/>
  <c r="AH491" i="1"/>
  <c r="AC491" i="1"/>
  <c r="X491" i="1"/>
  <c r="L491" i="1"/>
  <c r="M491" i="1" s="1"/>
  <c r="AH490" i="1"/>
  <c r="AC490" i="1"/>
  <c r="X490" i="1"/>
  <c r="L490" i="1"/>
  <c r="M490" i="1" s="1"/>
  <c r="AH489" i="1"/>
  <c r="AC489" i="1"/>
  <c r="Y489" i="1"/>
  <c r="X489" i="1" s="1"/>
  <c r="M489" i="1"/>
  <c r="AH488" i="1"/>
  <c r="AC488" i="1"/>
  <c r="X488" i="1"/>
  <c r="L488" i="1"/>
  <c r="AH487" i="1"/>
  <c r="AC487" i="1"/>
  <c r="X487" i="1"/>
  <c r="L487" i="1"/>
  <c r="M487" i="1" s="1"/>
  <c r="AN486" i="1"/>
  <c r="AO486" i="1" s="1"/>
  <c r="AH486" i="1"/>
  <c r="AC486" i="1"/>
  <c r="M486" i="1"/>
  <c r="U486" i="1" s="1"/>
  <c r="AH485" i="1"/>
  <c r="AC485" i="1"/>
  <c r="M485" i="1"/>
  <c r="AH484" i="1"/>
  <c r="AC484" i="1"/>
  <c r="X484" i="1"/>
  <c r="L484" i="1"/>
  <c r="AH483" i="1"/>
  <c r="AC483" i="1"/>
  <c r="X483" i="1"/>
  <c r="L483" i="1"/>
  <c r="AH482" i="1"/>
  <c r="AC482" i="1"/>
  <c r="X482" i="1"/>
  <c r="L482" i="1"/>
  <c r="AH481" i="1"/>
  <c r="AC481" i="1"/>
  <c r="X481" i="1"/>
  <c r="L481" i="1"/>
  <c r="AH480" i="1"/>
  <c r="AC480" i="1"/>
  <c r="M480" i="1"/>
  <c r="AH479" i="1"/>
  <c r="AC479" i="1"/>
  <c r="X479" i="1"/>
  <c r="L479" i="1"/>
  <c r="AH478" i="1"/>
  <c r="AC478" i="1"/>
  <c r="X478" i="1"/>
  <c r="L478" i="1"/>
  <c r="AH477" i="1"/>
  <c r="AC477" i="1"/>
  <c r="X477" i="1"/>
  <c r="L477" i="1"/>
  <c r="M477" i="1" s="1"/>
  <c r="AH476" i="1"/>
  <c r="AD476" i="1"/>
  <c r="X476" i="1"/>
  <c r="M476" i="1"/>
  <c r="W475" i="1"/>
  <c r="AN475" i="1" s="1"/>
  <c r="AO475" i="1" s="1"/>
  <c r="L475" i="1"/>
  <c r="M475" i="1" s="1"/>
  <c r="X474" i="1"/>
  <c r="W474" i="1" s="1"/>
  <c r="AN474" i="1" s="1"/>
  <c r="AO474" i="1" s="1"/>
  <c r="L474" i="1"/>
  <c r="M474" i="1" s="1"/>
  <c r="X473" i="1"/>
  <c r="W473" i="1" s="1"/>
  <c r="AN473" i="1" s="1"/>
  <c r="AO473" i="1" s="1"/>
  <c r="L473" i="1"/>
  <c r="M473" i="1" s="1"/>
  <c r="X472" i="1"/>
  <c r="W472" i="1" s="1"/>
  <c r="L472" i="1"/>
  <c r="AM471" i="1"/>
  <c r="X471" i="1"/>
  <c r="W471" i="1" s="1"/>
  <c r="AN471" i="1" s="1"/>
  <c r="AO471" i="1" s="1"/>
  <c r="L471" i="1"/>
  <c r="M471" i="1" s="1"/>
  <c r="AM470" i="1"/>
  <c r="X470" i="1"/>
  <c r="W470" i="1" s="1"/>
  <c r="L470" i="1"/>
  <c r="AD469" i="1"/>
  <c r="AC469" i="1" s="1"/>
  <c r="X469" i="1"/>
  <c r="M469" i="1"/>
  <c r="X468" i="1"/>
  <c r="W468" i="1" s="1"/>
  <c r="AN468" i="1" s="1"/>
  <c r="AO468" i="1" s="1"/>
  <c r="L468" i="1"/>
  <c r="X467" i="1"/>
  <c r="W467" i="1" s="1"/>
  <c r="AN467" i="1" s="1"/>
  <c r="AO467" i="1" s="1"/>
  <c r="L467" i="1"/>
  <c r="X466" i="1"/>
  <c r="W466" i="1" s="1"/>
  <c r="L466" i="1"/>
  <c r="M466" i="1" s="1"/>
  <c r="AC465" i="1"/>
  <c r="X465" i="1"/>
  <c r="L465" i="1"/>
  <c r="X464" i="1"/>
  <c r="W464" i="1" s="1"/>
  <c r="L464" i="1"/>
  <c r="M464" i="1" s="1"/>
  <c r="X463" i="1"/>
  <c r="W463" i="1" s="1"/>
  <c r="AN463" i="1" s="1"/>
  <c r="AO463" i="1" s="1"/>
  <c r="L463" i="1"/>
  <c r="X462" i="1"/>
  <c r="W462" i="1" s="1"/>
  <c r="AN462" i="1" s="1"/>
  <c r="AO462" i="1" s="1"/>
  <c r="L462" i="1"/>
  <c r="W461" i="1"/>
  <c r="L461" i="1"/>
  <c r="M461" i="1" s="1"/>
  <c r="X460" i="1"/>
  <c r="W460" i="1" s="1"/>
  <c r="AN460" i="1" s="1"/>
  <c r="AO460" i="1" s="1"/>
  <c r="L460" i="1"/>
  <c r="X459" i="1"/>
  <c r="W459" i="1" s="1"/>
  <c r="AN459" i="1" s="1"/>
  <c r="AO459" i="1" s="1"/>
  <c r="L459" i="1"/>
  <c r="X458" i="1"/>
  <c r="W458" i="1" s="1"/>
  <c r="L458" i="1"/>
  <c r="M458" i="1" s="1"/>
  <c r="W457" i="1"/>
  <c r="AN457" i="1" s="1"/>
  <c r="AO457" i="1" s="1"/>
  <c r="L457" i="1"/>
  <c r="AC456" i="1"/>
  <c r="X456" i="1"/>
  <c r="L456" i="1"/>
  <c r="X455" i="1"/>
  <c r="W455" i="1" s="1"/>
  <c r="L455" i="1"/>
  <c r="M455" i="1" s="1"/>
  <c r="W454" i="1"/>
  <c r="AN454" i="1" s="1"/>
  <c r="AO454" i="1" s="1"/>
  <c r="M454" i="1"/>
  <c r="X453" i="1"/>
  <c r="W453" i="1" s="1"/>
  <c r="AN453" i="1" s="1"/>
  <c r="AO453" i="1" s="1"/>
  <c r="L453" i="1"/>
  <c r="AC452" i="1"/>
  <c r="X452" i="1"/>
  <c r="L452" i="1"/>
  <c r="W451" i="1"/>
  <c r="AN451" i="1" s="1"/>
  <c r="AO451" i="1" s="1"/>
  <c r="L451" i="1"/>
  <c r="M451" i="1" s="1"/>
  <c r="AC450" i="1"/>
  <c r="X450" i="1"/>
  <c r="L450" i="1"/>
  <c r="X449" i="1"/>
  <c r="W449" i="1" s="1"/>
  <c r="L449" i="1"/>
  <c r="M449" i="1" s="1"/>
  <c r="AC448" i="1"/>
  <c r="X448" i="1"/>
  <c r="L448" i="1"/>
  <c r="X447" i="1"/>
  <c r="W447" i="1" s="1"/>
  <c r="AN447" i="1" s="1"/>
  <c r="AO447" i="1" s="1"/>
  <c r="L447" i="1"/>
  <c r="M447" i="1" s="1"/>
  <c r="AC446" i="1"/>
  <c r="X446" i="1"/>
  <c r="L446" i="1"/>
  <c r="X445" i="1"/>
  <c r="W445" i="1" s="1"/>
  <c r="AN445" i="1" s="1"/>
  <c r="AO445" i="1" s="1"/>
  <c r="L445" i="1"/>
  <c r="M445" i="1" s="1"/>
  <c r="AD444" i="1"/>
  <c r="AC444" i="1" s="1"/>
  <c r="X444" i="1"/>
  <c r="M444" i="1"/>
  <c r="X443" i="1"/>
  <c r="M443" i="1"/>
  <c r="X442" i="1"/>
  <c r="W442" i="1" s="1"/>
  <c r="U442" i="1" s="1"/>
  <c r="L442" i="1"/>
  <c r="AC441" i="1"/>
  <c r="X441" i="1"/>
  <c r="L441" i="1"/>
  <c r="X440" i="1"/>
  <c r="L440" i="1"/>
  <c r="M440" i="1" s="1"/>
  <c r="AA439" i="1"/>
  <c r="M439" i="1"/>
  <c r="W438" i="1"/>
  <c r="AN438" i="1" s="1"/>
  <c r="AO438" i="1" s="1"/>
  <c r="L438" i="1"/>
  <c r="W437" i="1"/>
  <c r="AN437" i="1" s="1"/>
  <c r="AO437" i="1" s="1"/>
  <c r="L437" i="1"/>
  <c r="M437" i="1" s="1"/>
  <c r="X436" i="1"/>
  <c r="W436" i="1" s="1"/>
  <c r="AN436" i="1" s="1"/>
  <c r="AO436" i="1" s="1"/>
  <c r="L436" i="1"/>
  <c r="M436" i="1" s="1"/>
  <c r="W435" i="1"/>
  <c r="AN435" i="1" s="1"/>
  <c r="AO435" i="1" s="1"/>
  <c r="L435" i="1"/>
  <c r="X434" i="1"/>
  <c r="W434" i="1" s="1"/>
  <c r="AN434" i="1" s="1"/>
  <c r="AO434" i="1" s="1"/>
  <c r="M434" i="1"/>
  <c r="W433" i="1"/>
  <c r="AN433" i="1" s="1"/>
  <c r="AO433" i="1" s="1"/>
  <c r="L433" i="1"/>
  <c r="M433" i="1" s="1"/>
  <c r="W432" i="1"/>
  <c r="AN432" i="1" s="1"/>
  <c r="AO432" i="1" s="1"/>
  <c r="L432" i="1"/>
  <c r="W431" i="1"/>
  <c r="AN431" i="1" s="1"/>
  <c r="AO431" i="1" s="1"/>
  <c r="L431" i="1"/>
  <c r="M431" i="1" s="1"/>
  <c r="W430" i="1"/>
  <c r="AN430" i="1" s="1"/>
  <c r="AO430" i="1" s="1"/>
  <c r="L430" i="1"/>
  <c r="M430" i="1" s="1"/>
  <c r="W429" i="1"/>
  <c r="AN429" i="1" s="1"/>
  <c r="AO429" i="1" s="1"/>
  <c r="L429" i="1"/>
  <c r="W428" i="1"/>
  <c r="AN428" i="1" s="1"/>
  <c r="AO428" i="1" s="1"/>
  <c r="L428" i="1"/>
  <c r="M428" i="1" s="1"/>
  <c r="W427" i="1"/>
  <c r="AN427" i="1" s="1"/>
  <c r="AO427" i="1" s="1"/>
  <c r="M427" i="1"/>
  <c r="W426" i="1"/>
  <c r="AN426" i="1" s="1"/>
  <c r="AO426" i="1" s="1"/>
  <c r="L426" i="1"/>
  <c r="W425" i="1"/>
  <c r="AN425" i="1" s="1"/>
  <c r="AO425" i="1" s="1"/>
  <c r="L425" i="1"/>
  <c r="M425" i="1" s="1"/>
  <c r="W424" i="1"/>
  <c r="AN424" i="1" s="1"/>
  <c r="AO424" i="1" s="1"/>
  <c r="L424" i="1"/>
  <c r="W423" i="1"/>
  <c r="AN423" i="1" s="1"/>
  <c r="AO423" i="1" s="1"/>
  <c r="M423" i="1"/>
  <c r="W422" i="1"/>
  <c r="AN422" i="1" s="1"/>
  <c r="AO422" i="1" s="1"/>
  <c r="M422" i="1"/>
  <c r="W421" i="1"/>
  <c r="AN421" i="1" s="1"/>
  <c r="AO421" i="1" s="1"/>
  <c r="L421" i="1"/>
  <c r="AC420" i="1"/>
  <c r="W420" i="1" s="1"/>
  <c r="M420" i="1"/>
  <c r="W419" i="1"/>
  <c r="AN419" i="1" s="1"/>
  <c r="AO419" i="1" s="1"/>
  <c r="L419" i="1"/>
  <c r="AH418" i="1"/>
  <c r="W418" i="1" s="1"/>
  <c r="AN418" i="1" s="1"/>
  <c r="AO418" i="1" s="1"/>
  <c r="M418" i="1"/>
  <c r="X417" i="1"/>
  <c r="W417" i="1" s="1"/>
  <c r="AN417" i="1" s="1"/>
  <c r="AO417" i="1" s="1"/>
  <c r="M417" i="1"/>
  <c r="W416" i="1"/>
  <c r="AN416" i="1" s="1"/>
  <c r="AO416" i="1" s="1"/>
  <c r="L416" i="1"/>
  <c r="M416" i="1" s="1"/>
  <c r="AC415" i="1"/>
  <c r="W415" i="1" s="1"/>
  <c r="AN415" i="1" s="1"/>
  <c r="AO415" i="1" s="1"/>
  <c r="M415" i="1"/>
  <c r="AC414" i="1"/>
  <c r="W414" i="1" s="1"/>
  <c r="AN414" i="1" s="1"/>
  <c r="AO414" i="1" s="1"/>
  <c r="M414" i="1"/>
  <c r="W413" i="1"/>
  <c r="AN413" i="1" s="1"/>
  <c r="AO413" i="1" s="1"/>
  <c r="L413" i="1"/>
  <c r="M413" i="1" s="1"/>
  <c r="W412" i="1"/>
  <c r="AN412" i="1" s="1"/>
  <c r="AO412" i="1" s="1"/>
  <c r="L412" i="1"/>
  <c r="W411" i="1"/>
  <c r="AN411" i="1" s="1"/>
  <c r="AO411" i="1" s="1"/>
  <c r="L411" i="1"/>
  <c r="AC410" i="1"/>
  <c r="W410" i="1" s="1"/>
  <c r="AN410" i="1" s="1"/>
  <c r="AO410" i="1" s="1"/>
  <c r="M410" i="1"/>
  <c r="W409" i="1"/>
  <c r="AN409" i="1" s="1"/>
  <c r="AO409" i="1" s="1"/>
  <c r="L409" i="1"/>
  <c r="M409" i="1" s="1"/>
  <c r="W408" i="1"/>
  <c r="AN408" i="1" s="1"/>
  <c r="AO408" i="1" s="1"/>
  <c r="L408" i="1"/>
  <c r="W407" i="1"/>
  <c r="AN407" i="1" s="1"/>
  <c r="AO407" i="1" s="1"/>
  <c r="L407" i="1"/>
  <c r="M407" i="1" s="1"/>
  <c r="W406" i="1"/>
  <c r="AN406" i="1" s="1"/>
  <c r="AO406" i="1" s="1"/>
  <c r="L406" i="1"/>
  <c r="W405" i="1"/>
  <c r="AN405" i="1" s="1"/>
  <c r="AO405" i="1" s="1"/>
  <c r="L405" i="1"/>
  <c r="W404" i="1"/>
  <c r="AN404" i="1" s="1"/>
  <c r="AO404" i="1" s="1"/>
  <c r="L404" i="1"/>
  <c r="M404" i="1" s="1"/>
  <c r="W403" i="1"/>
  <c r="AN403" i="1" s="1"/>
  <c r="AO403" i="1" s="1"/>
  <c r="M403" i="1"/>
  <c r="W402" i="1"/>
  <c r="W401" i="1"/>
  <c r="AN401" i="1" s="1"/>
  <c r="AO401" i="1" s="1"/>
  <c r="L401" i="1"/>
  <c r="W400" i="1"/>
  <c r="AN400" i="1" s="1"/>
  <c r="AO400" i="1" s="1"/>
  <c r="L400" i="1"/>
  <c r="M400" i="1" s="1"/>
  <c r="AC399" i="1"/>
  <c r="W399" i="1" s="1"/>
  <c r="AN399" i="1" s="1"/>
  <c r="AO399" i="1" s="1"/>
  <c r="M399" i="1"/>
  <c r="W398" i="1"/>
  <c r="AN398" i="1" s="1"/>
  <c r="AO398" i="1" s="1"/>
  <c r="L398" i="1"/>
  <c r="M398" i="1" s="1"/>
  <c r="W397" i="1"/>
  <c r="AN397" i="1" s="1"/>
  <c r="AO397" i="1" s="1"/>
  <c r="L397" i="1"/>
  <c r="M397" i="1" s="1"/>
  <c r="W396" i="1"/>
  <c r="AN396" i="1" s="1"/>
  <c r="AO396" i="1" s="1"/>
  <c r="L396" i="1"/>
  <c r="M396" i="1" s="1"/>
  <c r="W395" i="1"/>
  <c r="AN395" i="1" s="1"/>
  <c r="AO395" i="1" s="1"/>
  <c r="L395" i="1"/>
  <c r="M395" i="1" s="1"/>
  <c r="W394" i="1"/>
  <c r="AN394" i="1" s="1"/>
  <c r="AO394" i="1" s="1"/>
  <c r="L394" i="1"/>
  <c r="M394" i="1" s="1"/>
  <c r="W393" i="1"/>
  <c r="AN393" i="1" s="1"/>
  <c r="AO393" i="1" s="1"/>
  <c r="L393" i="1"/>
  <c r="W392" i="1"/>
  <c r="AN392" i="1" s="1"/>
  <c r="AO392" i="1" s="1"/>
  <c r="L392" i="1"/>
  <c r="W391" i="1"/>
  <c r="AN391" i="1" s="1"/>
  <c r="AO391" i="1" s="1"/>
  <c r="M391" i="1"/>
  <c r="W390" i="1"/>
  <c r="AN390" i="1" s="1"/>
  <c r="AO390" i="1" s="1"/>
  <c r="L390" i="1"/>
  <c r="W389" i="1"/>
  <c r="AN389" i="1" s="1"/>
  <c r="AO389" i="1" s="1"/>
  <c r="M389" i="1"/>
  <c r="W388" i="1"/>
  <c r="AN388" i="1" s="1"/>
  <c r="AO388" i="1" s="1"/>
  <c r="L388" i="1"/>
  <c r="M388" i="1" s="1"/>
  <c r="W387" i="1"/>
  <c r="AN387" i="1" s="1"/>
  <c r="AO387" i="1" s="1"/>
  <c r="L387" i="1"/>
  <c r="W386" i="1"/>
  <c r="L386" i="1"/>
  <c r="W385" i="1"/>
  <c r="AN385" i="1" s="1"/>
  <c r="AO385" i="1" s="1"/>
  <c r="L385" i="1"/>
  <c r="W384" i="1"/>
  <c r="AN384" i="1" s="1"/>
  <c r="AO384" i="1" s="1"/>
  <c r="L384" i="1"/>
  <c r="M384" i="1" s="1"/>
  <c r="W383" i="1"/>
  <c r="AN383" i="1" s="1"/>
  <c r="AO383" i="1" s="1"/>
  <c r="L383" i="1"/>
  <c r="M383" i="1" s="1"/>
  <c r="W382" i="1"/>
  <c r="AN382" i="1" s="1"/>
  <c r="AO382" i="1" s="1"/>
  <c r="L382" i="1"/>
  <c r="W381" i="1"/>
  <c r="L381" i="1"/>
  <c r="M381" i="1" s="1"/>
  <c r="W380" i="1"/>
  <c r="AN380" i="1" s="1"/>
  <c r="AO380" i="1" s="1"/>
  <c r="L380" i="1"/>
  <c r="M380" i="1" s="1"/>
  <c r="W379" i="1"/>
  <c r="AN379" i="1" s="1"/>
  <c r="AO379" i="1" s="1"/>
  <c r="L379" i="1"/>
  <c r="X378" i="1"/>
  <c r="W378" i="1" s="1"/>
  <c r="AN378" i="1" s="1"/>
  <c r="AO378" i="1" s="1"/>
  <c r="M378" i="1"/>
  <c r="W377" i="1"/>
  <c r="AN377" i="1" s="1"/>
  <c r="AO377" i="1" s="1"/>
  <c r="L377" i="1"/>
  <c r="M377" i="1" s="1"/>
  <c r="W376" i="1"/>
  <c r="AN376" i="1" s="1"/>
  <c r="AO376" i="1" s="1"/>
  <c r="L376" i="1"/>
  <c r="W375" i="1"/>
  <c r="AN375" i="1" s="1"/>
  <c r="AO375" i="1" s="1"/>
  <c r="L375" i="1"/>
  <c r="M375" i="1" s="1"/>
  <c r="W374" i="1"/>
  <c r="AN374" i="1" s="1"/>
  <c r="AO374" i="1" s="1"/>
  <c r="M374" i="1"/>
  <c r="W373" i="1"/>
  <c r="M373" i="1"/>
  <c r="AC372" i="1"/>
  <c r="W372" i="1" s="1"/>
  <c r="M372" i="1"/>
  <c r="W371" i="1"/>
  <c r="AN371" i="1" s="1"/>
  <c r="AO371" i="1" s="1"/>
  <c r="L371" i="1"/>
  <c r="M371" i="1" s="1"/>
  <c r="X370" i="1"/>
  <c r="W370" i="1" s="1"/>
  <c r="AN370" i="1" s="1"/>
  <c r="AO370" i="1" s="1"/>
  <c r="M370" i="1"/>
  <c r="W369" i="1"/>
  <c r="AN369" i="1" s="1"/>
  <c r="AO369" i="1" s="1"/>
  <c r="L369" i="1"/>
  <c r="W368" i="1"/>
  <c r="AN368" i="1" s="1"/>
  <c r="AO368" i="1" s="1"/>
  <c r="L368" i="1"/>
  <c r="M368" i="1" s="1"/>
  <c r="W367" i="1"/>
  <c r="AN367" i="1" s="1"/>
  <c r="AO367" i="1" s="1"/>
  <c r="M367" i="1"/>
  <c r="W366" i="1"/>
  <c r="AN366" i="1" s="1"/>
  <c r="AO366" i="1" s="1"/>
  <c r="L366" i="1"/>
  <c r="W365" i="1"/>
  <c r="AN365" i="1" s="1"/>
  <c r="AO365" i="1" s="1"/>
  <c r="L365" i="1"/>
  <c r="AN364" i="1"/>
  <c r="AO364" i="1" s="1"/>
  <c r="M364" i="1"/>
  <c r="U364" i="1" s="1"/>
  <c r="W363" i="1"/>
  <c r="AN363" i="1" s="1"/>
  <c r="AO363" i="1" s="1"/>
  <c r="L363" i="1"/>
  <c r="M363" i="1" s="1"/>
  <c r="W362" i="1"/>
  <c r="AN362" i="1" s="1"/>
  <c r="AO362" i="1" s="1"/>
  <c r="L362" i="1"/>
  <c r="W361" i="1"/>
  <c r="AN361" i="1" s="1"/>
  <c r="AO361" i="1" s="1"/>
  <c r="L361" i="1"/>
  <c r="M361" i="1" s="1"/>
  <c r="W360" i="1"/>
  <c r="AN360" i="1" s="1"/>
  <c r="AO360" i="1" s="1"/>
  <c r="L360" i="1"/>
  <c r="M360" i="1" s="1"/>
  <c r="W359" i="1"/>
  <c r="AN359" i="1" s="1"/>
  <c r="AO359" i="1" s="1"/>
  <c r="M359" i="1"/>
  <c r="AN358" i="1"/>
  <c r="AO358" i="1" s="1"/>
  <c r="M358" i="1"/>
  <c r="U358" i="1" s="1"/>
  <c r="W357" i="1"/>
  <c r="M357" i="1"/>
  <c r="W356" i="1"/>
  <c r="AN356" i="1" s="1"/>
  <c r="AO356" i="1" s="1"/>
  <c r="L356" i="1"/>
  <c r="AC355" i="1"/>
  <c r="W355" i="1" s="1"/>
  <c r="AN355" i="1" s="1"/>
  <c r="AO355" i="1" s="1"/>
  <c r="M355" i="1"/>
  <c r="W354" i="1"/>
  <c r="M354" i="1"/>
  <c r="W353" i="1"/>
  <c r="AN353" i="1" s="1"/>
  <c r="AO353" i="1" s="1"/>
  <c r="L353" i="1"/>
  <c r="W352" i="1"/>
  <c r="AN352" i="1" s="1"/>
  <c r="AO352" i="1" s="1"/>
  <c r="L352" i="1"/>
  <c r="W351" i="1"/>
  <c r="AN351" i="1" s="1"/>
  <c r="AO351" i="1" s="1"/>
  <c r="L351" i="1"/>
  <c r="W350" i="1"/>
  <c r="AN350" i="1" s="1"/>
  <c r="AO350" i="1" s="1"/>
  <c r="L350" i="1"/>
  <c r="W349" i="1"/>
  <c r="AN349" i="1" s="1"/>
  <c r="AO349" i="1" s="1"/>
  <c r="L349" i="1"/>
  <c r="W348" i="1"/>
  <c r="AN348" i="1" s="1"/>
  <c r="AO348" i="1" s="1"/>
  <c r="L348" i="1"/>
  <c r="M348" i="1" s="1"/>
  <c r="W347" i="1"/>
  <c r="AN347" i="1" s="1"/>
  <c r="AO347" i="1" s="1"/>
  <c r="L347" i="1"/>
  <c r="W346" i="1"/>
  <c r="AN346" i="1" s="1"/>
  <c r="AO346" i="1" s="1"/>
  <c r="L346" i="1"/>
  <c r="X345" i="1"/>
  <c r="W345" i="1" s="1"/>
  <c r="M345" i="1"/>
  <c r="W344" i="1"/>
  <c r="AN344" i="1" s="1"/>
  <c r="AO344" i="1" s="1"/>
  <c r="L344" i="1"/>
  <c r="W343" i="1"/>
  <c r="AN343" i="1" s="1"/>
  <c r="AO343" i="1" s="1"/>
  <c r="L343" i="1"/>
  <c r="AC342" i="1"/>
  <c r="W342" i="1" s="1"/>
  <c r="M342" i="1"/>
  <c r="W341" i="1"/>
  <c r="AN341" i="1" s="1"/>
  <c r="AO341" i="1" s="1"/>
  <c r="L341" i="1"/>
  <c r="W340" i="1"/>
  <c r="AN340" i="1" s="1"/>
  <c r="AO340" i="1" s="1"/>
  <c r="L340" i="1"/>
  <c r="X339" i="1"/>
  <c r="W339" i="1" s="1"/>
  <c r="M339" i="1"/>
  <c r="W338" i="1"/>
  <c r="AN338" i="1" s="1"/>
  <c r="AO338" i="1" s="1"/>
  <c r="L338" i="1"/>
  <c r="AC337" i="1"/>
  <c r="W337" i="1" s="1"/>
  <c r="M337" i="1"/>
  <c r="AC336" i="1"/>
  <c r="W336" i="1" s="1"/>
  <c r="AN336" i="1" s="1"/>
  <c r="AO336" i="1" s="1"/>
  <c r="M336" i="1"/>
  <c r="W335" i="1"/>
  <c r="AN335" i="1" s="1"/>
  <c r="AO335" i="1" s="1"/>
  <c r="L335" i="1"/>
  <c r="M335" i="1" s="1"/>
  <c r="AO334" i="1"/>
  <c r="W334" i="1"/>
  <c r="AN334" i="1" s="1"/>
  <c r="L334" i="1"/>
  <c r="W333" i="1"/>
  <c r="AN333" i="1" s="1"/>
  <c r="AO333" i="1" s="1"/>
  <c r="M333" i="1"/>
  <c r="W332" i="1"/>
  <c r="M332" i="1"/>
  <c r="W331" i="1"/>
  <c r="AN331" i="1" s="1"/>
  <c r="AO331" i="1" s="1"/>
  <c r="M331" i="1"/>
  <c r="W330" i="1"/>
  <c r="AN330" i="1" s="1"/>
  <c r="AO330" i="1" s="1"/>
  <c r="M330" i="1"/>
  <c r="W329" i="1"/>
  <c r="AN329" i="1" s="1"/>
  <c r="AO329" i="1" s="1"/>
  <c r="L329" i="1"/>
  <c r="W328" i="1"/>
  <c r="AN328" i="1" s="1"/>
  <c r="AO328" i="1" s="1"/>
  <c r="L328" i="1"/>
  <c r="W327" i="1"/>
  <c r="AN327" i="1" s="1"/>
  <c r="AO327" i="1" s="1"/>
  <c r="L327" i="1"/>
  <c r="W326" i="1"/>
  <c r="AN326" i="1" s="1"/>
  <c r="AO326" i="1" s="1"/>
  <c r="M326" i="1"/>
  <c r="W325" i="1"/>
  <c r="AN325" i="1" s="1"/>
  <c r="AO325" i="1" s="1"/>
  <c r="L325" i="1"/>
  <c r="W324" i="1"/>
  <c r="AN324" i="1" s="1"/>
  <c r="AO324" i="1" s="1"/>
  <c r="L324" i="1"/>
  <c r="M324" i="1" s="1"/>
  <c r="W323" i="1"/>
  <c r="AN323" i="1" s="1"/>
  <c r="AO323" i="1" s="1"/>
  <c r="L323" i="1"/>
  <c r="W322" i="1"/>
  <c r="L322" i="1"/>
  <c r="W321" i="1"/>
  <c r="AN321" i="1" s="1"/>
  <c r="AO321" i="1" s="1"/>
  <c r="M321" i="1"/>
  <c r="W320" i="1"/>
  <c r="AN320" i="1" s="1"/>
  <c r="AO320" i="1" s="1"/>
  <c r="L320" i="1"/>
  <c r="M320" i="1" s="1"/>
  <c r="W319" i="1"/>
  <c r="AN319" i="1" s="1"/>
  <c r="AO319" i="1" s="1"/>
  <c r="L319" i="1"/>
  <c r="M319" i="1" s="1"/>
  <c r="W318" i="1"/>
  <c r="AN318" i="1" s="1"/>
  <c r="AO318" i="1" s="1"/>
  <c r="L318" i="1"/>
  <c r="W317" i="1"/>
  <c r="AN317" i="1" s="1"/>
  <c r="AO317" i="1" s="1"/>
  <c r="L317" i="1"/>
  <c r="W316" i="1"/>
  <c r="AN316" i="1" s="1"/>
  <c r="AO316" i="1" s="1"/>
  <c r="L316" i="1"/>
  <c r="W315" i="1"/>
  <c r="AN315" i="1" s="1"/>
  <c r="AO315" i="1" s="1"/>
  <c r="L315" i="1"/>
  <c r="W314" i="1"/>
  <c r="AN314" i="1" s="1"/>
  <c r="AO314" i="1" s="1"/>
  <c r="L314" i="1"/>
  <c r="M314" i="1" s="1"/>
  <c r="W313" i="1"/>
  <c r="AN313" i="1" s="1"/>
  <c r="AO313" i="1" s="1"/>
  <c r="L313" i="1"/>
  <c r="M313" i="1" s="1"/>
  <c r="X312" i="1"/>
  <c r="W312" i="1" s="1"/>
  <c r="AN312" i="1" s="1"/>
  <c r="AO312" i="1" s="1"/>
  <c r="M312" i="1"/>
  <c r="W311" i="1"/>
  <c r="AN311" i="1" s="1"/>
  <c r="AO311" i="1" s="1"/>
  <c r="L311" i="1"/>
  <c r="W310" i="1"/>
  <c r="AN310" i="1" s="1"/>
  <c r="AO310" i="1" s="1"/>
  <c r="L310" i="1"/>
  <c r="AC309" i="1"/>
  <c r="W309" i="1" s="1"/>
  <c r="AN309" i="1" s="1"/>
  <c r="AO309" i="1" s="1"/>
  <c r="M309" i="1"/>
  <c r="W308" i="1"/>
  <c r="AN308" i="1" s="1"/>
  <c r="AO308" i="1" s="1"/>
  <c r="L308" i="1"/>
  <c r="M308" i="1" s="1"/>
  <c r="W307" i="1"/>
  <c r="AN307" i="1" s="1"/>
  <c r="AO307" i="1" s="1"/>
  <c r="L307" i="1"/>
  <c r="W306" i="1"/>
  <c r="AN306" i="1" s="1"/>
  <c r="AO306" i="1" s="1"/>
  <c r="L306" i="1"/>
  <c r="W305" i="1"/>
  <c r="AN305" i="1" s="1"/>
  <c r="AO305" i="1" s="1"/>
  <c r="L305" i="1"/>
  <c r="M305" i="1" s="1"/>
  <c r="W304" i="1"/>
  <c r="AN304" i="1" s="1"/>
  <c r="AO304" i="1" s="1"/>
  <c r="L304" i="1"/>
  <c r="M304" i="1" s="1"/>
  <c r="W303" i="1"/>
  <c r="AN303" i="1" s="1"/>
  <c r="AO303" i="1" s="1"/>
  <c r="L303" i="1"/>
  <c r="W302" i="1"/>
  <c r="AN302" i="1" s="1"/>
  <c r="AO302" i="1" s="1"/>
  <c r="L302" i="1"/>
  <c r="M302" i="1" s="1"/>
  <c r="W301" i="1"/>
  <c r="AN301" i="1" s="1"/>
  <c r="AO301" i="1" s="1"/>
  <c r="L301" i="1"/>
  <c r="W300" i="1"/>
  <c r="AN300" i="1" s="1"/>
  <c r="AO300" i="1" s="1"/>
  <c r="L300" i="1"/>
  <c r="W299" i="1"/>
  <c r="AN299" i="1" s="1"/>
  <c r="AO299" i="1" s="1"/>
  <c r="L299" i="1"/>
  <c r="M299" i="1" s="1"/>
  <c r="W298" i="1"/>
  <c r="AN298" i="1" s="1"/>
  <c r="AO298" i="1" s="1"/>
  <c r="L298" i="1"/>
  <c r="W297" i="1"/>
  <c r="AN297" i="1" s="1"/>
  <c r="AO297" i="1" s="1"/>
  <c r="L297" i="1"/>
  <c r="W296" i="1"/>
  <c r="AN296" i="1" s="1"/>
  <c r="AO296" i="1" s="1"/>
  <c r="L296" i="1"/>
  <c r="M296" i="1" s="1"/>
  <c r="W295" i="1"/>
  <c r="AN295" i="1" s="1"/>
  <c r="AO295" i="1" s="1"/>
  <c r="L295" i="1"/>
  <c r="M295" i="1" s="1"/>
  <c r="W294" i="1"/>
  <c r="AN294" i="1" s="1"/>
  <c r="AO294" i="1" s="1"/>
  <c r="L294" i="1"/>
  <c r="W293" i="1"/>
  <c r="AN293" i="1" s="1"/>
  <c r="AO293" i="1" s="1"/>
  <c r="M293" i="1"/>
  <c r="W292" i="1"/>
  <c r="AN292" i="1" s="1"/>
  <c r="AO292" i="1" s="1"/>
  <c r="L292" i="1"/>
  <c r="W291" i="1"/>
  <c r="AN291" i="1" s="1"/>
  <c r="AO291" i="1" s="1"/>
  <c r="L291" i="1"/>
  <c r="W290" i="1"/>
  <c r="AN290" i="1" s="1"/>
  <c r="AO290" i="1" s="1"/>
  <c r="M290" i="1"/>
  <c r="W289" i="1"/>
  <c r="AN289" i="1" s="1"/>
  <c r="AO289" i="1" s="1"/>
  <c r="M289" i="1"/>
  <c r="W288" i="1"/>
  <c r="M288" i="1"/>
  <c r="W287" i="1"/>
  <c r="AN287" i="1" s="1"/>
  <c r="AO287" i="1" s="1"/>
  <c r="L287" i="1"/>
  <c r="W286" i="1"/>
  <c r="M286" i="1"/>
  <c r="W285" i="1"/>
  <c r="AN285" i="1" s="1"/>
  <c r="AO285" i="1" s="1"/>
  <c r="M285" i="1"/>
  <c r="W284" i="1"/>
  <c r="AN284" i="1" s="1"/>
  <c r="AO284" i="1" s="1"/>
  <c r="L284" i="1"/>
  <c r="W283" i="1"/>
  <c r="AN283" i="1" s="1"/>
  <c r="AO283" i="1" s="1"/>
  <c r="M283" i="1"/>
  <c r="W282" i="1"/>
  <c r="AN282" i="1" s="1"/>
  <c r="AO282" i="1" s="1"/>
  <c r="M282" i="1"/>
  <c r="W281" i="1"/>
  <c r="AN281" i="1" s="1"/>
  <c r="AO281" i="1" s="1"/>
  <c r="M281" i="1"/>
  <c r="W280" i="1"/>
  <c r="AN280" i="1" s="1"/>
  <c r="AO280" i="1" s="1"/>
  <c r="L280" i="1"/>
  <c r="W279" i="1"/>
  <c r="AN279" i="1" s="1"/>
  <c r="AO279" i="1" s="1"/>
  <c r="M279" i="1"/>
  <c r="W278" i="1"/>
  <c r="AN278" i="1" s="1"/>
  <c r="AO278" i="1" s="1"/>
  <c r="L278" i="1"/>
  <c r="W277" i="1"/>
  <c r="AN277" i="1" s="1"/>
  <c r="AO277" i="1" s="1"/>
  <c r="L277" i="1"/>
  <c r="W276" i="1"/>
  <c r="AN276" i="1" s="1"/>
  <c r="AO276" i="1" s="1"/>
  <c r="M276" i="1"/>
  <c r="W275" i="1"/>
  <c r="AN275" i="1" s="1"/>
  <c r="AO275" i="1" s="1"/>
  <c r="M275" i="1"/>
  <c r="W274" i="1"/>
  <c r="AN274" i="1" s="1"/>
  <c r="AO274" i="1" s="1"/>
  <c r="M274" i="1"/>
  <c r="W273" i="1"/>
  <c r="AN273" i="1" s="1"/>
  <c r="AO273" i="1" s="1"/>
  <c r="M273" i="1"/>
  <c r="AC272" i="1"/>
  <c r="W272" i="1" s="1"/>
  <c r="M272" i="1"/>
  <c r="W271" i="1"/>
  <c r="AN271" i="1" s="1"/>
  <c r="AO271" i="1" s="1"/>
  <c r="L271" i="1"/>
  <c r="M271" i="1" s="1"/>
  <c r="W270" i="1"/>
  <c r="AN270" i="1" s="1"/>
  <c r="AO270" i="1" s="1"/>
  <c r="L270" i="1"/>
  <c r="W269" i="1"/>
  <c r="AN269" i="1" s="1"/>
  <c r="AO269" i="1" s="1"/>
  <c r="L269" i="1"/>
  <c r="W268" i="1"/>
  <c r="AN268" i="1" s="1"/>
  <c r="AO268" i="1" s="1"/>
  <c r="L268" i="1"/>
  <c r="M268" i="1" s="1"/>
  <c r="W267" i="1"/>
  <c r="AN267" i="1" s="1"/>
  <c r="AO267" i="1" s="1"/>
  <c r="L267" i="1"/>
  <c r="M267" i="1" s="1"/>
  <c r="W266" i="1"/>
  <c r="AN266" i="1" s="1"/>
  <c r="AO266" i="1" s="1"/>
  <c r="L266" i="1"/>
  <c r="W265" i="1"/>
  <c r="AN265" i="1" s="1"/>
  <c r="AO265" i="1" s="1"/>
  <c r="L265" i="1"/>
  <c r="M265" i="1" s="1"/>
  <c r="W264" i="1"/>
  <c r="AN264" i="1" s="1"/>
  <c r="AO264" i="1" s="1"/>
  <c r="L264" i="1"/>
  <c r="M264" i="1" s="1"/>
  <c r="W263" i="1"/>
  <c r="AN263" i="1" s="1"/>
  <c r="AO263" i="1" s="1"/>
  <c r="L263" i="1"/>
  <c r="W262" i="1"/>
  <c r="AN262" i="1" s="1"/>
  <c r="AO262" i="1" s="1"/>
  <c r="L262" i="1"/>
  <c r="W261" i="1"/>
  <c r="AN261" i="1" s="1"/>
  <c r="AO261" i="1" s="1"/>
  <c r="L261" i="1"/>
  <c r="W260" i="1"/>
  <c r="AN260" i="1" s="1"/>
  <c r="AO260" i="1" s="1"/>
  <c r="L260" i="1"/>
  <c r="AC259" i="1"/>
  <c r="W259" i="1" s="1"/>
  <c r="AN259" i="1" s="1"/>
  <c r="AO259" i="1" s="1"/>
  <c r="M259" i="1"/>
  <c r="AC258" i="1"/>
  <c r="W258" i="1" s="1"/>
  <c r="AN258" i="1" s="1"/>
  <c r="AO258" i="1" s="1"/>
  <c r="M258" i="1"/>
  <c r="W257" i="1"/>
  <c r="AN257" i="1" s="1"/>
  <c r="AO257" i="1" s="1"/>
  <c r="L257" i="1"/>
  <c r="W256" i="1"/>
  <c r="AN256" i="1" s="1"/>
  <c r="AO256" i="1" s="1"/>
  <c r="L256" i="1"/>
  <c r="AH255" i="1"/>
  <c r="W255" i="1" s="1"/>
  <c r="AN255" i="1" s="1"/>
  <c r="AO255" i="1" s="1"/>
  <c r="M255" i="1"/>
  <c r="W254" i="1"/>
  <c r="AN254" i="1" s="1"/>
  <c r="AO254" i="1" s="1"/>
  <c r="L254" i="1"/>
  <c r="W253" i="1"/>
  <c r="AN253" i="1" s="1"/>
  <c r="AO253" i="1" s="1"/>
  <c r="L253" i="1"/>
  <c r="W252" i="1"/>
  <c r="AN252" i="1" s="1"/>
  <c r="AO252" i="1" s="1"/>
  <c r="L252" i="1"/>
  <c r="W251" i="1"/>
  <c r="AN251" i="1" s="1"/>
  <c r="AO251" i="1" s="1"/>
  <c r="L251" i="1"/>
  <c r="W250" i="1"/>
  <c r="AN250" i="1" s="1"/>
  <c r="AO250" i="1" s="1"/>
  <c r="L250" i="1"/>
  <c r="W249" i="1"/>
  <c r="AN249" i="1" s="1"/>
  <c r="AO249" i="1" s="1"/>
  <c r="L249" i="1"/>
  <c r="W248" i="1"/>
  <c r="AN248" i="1" s="1"/>
  <c r="AO248" i="1" s="1"/>
  <c r="L248" i="1"/>
  <c r="M248" i="1" s="1"/>
  <c r="W247" i="1"/>
  <c r="AN247" i="1" s="1"/>
  <c r="AO247" i="1" s="1"/>
  <c r="L247" i="1"/>
  <c r="M247" i="1" s="1"/>
  <c r="W246" i="1"/>
  <c r="AN246" i="1" s="1"/>
  <c r="AO246" i="1" s="1"/>
  <c r="L246" i="1"/>
  <c r="W245" i="1"/>
  <c r="AN245" i="1" s="1"/>
  <c r="AO245" i="1" s="1"/>
  <c r="L245" i="1"/>
  <c r="M245" i="1" s="1"/>
  <c r="W244" i="1"/>
  <c r="AN244" i="1" s="1"/>
  <c r="AO244" i="1" s="1"/>
  <c r="L244" i="1"/>
  <c r="W243" i="1"/>
  <c r="AN243" i="1" s="1"/>
  <c r="AO243" i="1" s="1"/>
  <c r="L243" i="1"/>
  <c r="AH242" i="1"/>
  <c r="W242" i="1" s="1"/>
  <c r="AN242" i="1" s="1"/>
  <c r="AO242" i="1" s="1"/>
  <c r="M242" i="1"/>
  <c r="W241" i="1"/>
  <c r="AN241" i="1" s="1"/>
  <c r="AO241" i="1" s="1"/>
  <c r="L241" i="1"/>
  <c r="M241" i="1" s="1"/>
  <c r="AC240" i="1"/>
  <c r="W240" i="1" s="1"/>
  <c r="AN240" i="1" s="1"/>
  <c r="AO240" i="1" s="1"/>
  <c r="M240" i="1"/>
  <c r="W239" i="1"/>
  <c r="AN239" i="1" s="1"/>
  <c r="AO239" i="1" s="1"/>
  <c r="L239" i="1"/>
  <c r="AH238" i="1"/>
  <c r="W238" i="1" s="1"/>
  <c r="AN238" i="1" s="1"/>
  <c r="AO238" i="1" s="1"/>
  <c r="M238" i="1"/>
  <c r="W237" i="1"/>
  <c r="AN237" i="1" s="1"/>
  <c r="AO237" i="1" s="1"/>
  <c r="L237" i="1"/>
  <c r="W236" i="1"/>
  <c r="AN236" i="1" s="1"/>
  <c r="AO236" i="1" s="1"/>
  <c r="L236" i="1"/>
  <c r="W235" i="1"/>
  <c r="AN235" i="1" s="1"/>
  <c r="AO235" i="1" s="1"/>
  <c r="L235" i="1"/>
  <c r="AC234" i="1"/>
  <c r="W234" i="1" s="1"/>
  <c r="M234" i="1"/>
  <c r="AC233" i="1"/>
  <c r="W233" i="1" s="1"/>
  <c r="AN233" i="1" s="1"/>
  <c r="AO233" i="1" s="1"/>
  <c r="M233" i="1"/>
  <c r="W232" i="1"/>
  <c r="AN232" i="1" s="1"/>
  <c r="AO232" i="1" s="1"/>
  <c r="L232" i="1"/>
  <c r="W231" i="1"/>
  <c r="AN231" i="1" s="1"/>
  <c r="AO231" i="1" s="1"/>
  <c r="L231" i="1"/>
  <c r="M231" i="1" s="1"/>
  <c r="W230" i="1"/>
  <c r="AN230" i="1" s="1"/>
  <c r="AO230" i="1" s="1"/>
  <c r="M230" i="1"/>
  <c r="AC229" i="1"/>
  <c r="W229" i="1" s="1"/>
  <c r="AN229" i="1" s="1"/>
  <c r="AO229" i="1" s="1"/>
  <c r="M229" i="1"/>
  <c r="W228" i="1"/>
  <c r="AN228" i="1" s="1"/>
  <c r="AO228" i="1" s="1"/>
  <c r="L228" i="1"/>
  <c r="W227" i="1"/>
  <c r="AN227" i="1" s="1"/>
  <c r="AO227" i="1" s="1"/>
  <c r="M227" i="1"/>
  <c r="AN226" i="1"/>
  <c r="AO226" i="1" s="1"/>
  <c r="L226" i="1"/>
  <c r="W225" i="1"/>
  <c r="M225" i="1"/>
  <c r="W224" i="1"/>
  <c r="AN224" i="1" s="1"/>
  <c r="AO224" i="1" s="1"/>
  <c r="L224" i="1"/>
  <c r="M224" i="1" s="1"/>
  <c r="AC223" i="1"/>
  <c r="W223" i="1" s="1"/>
  <c r="AN223" i="1" s="1"/>
  <c r="AO223" i="1" s="1"/>
  <c r="M223" i="1"/>
  <c r="W222" i="1"/>
  <c r="AN222" i="1" s="1"/>
  <c r="AO222" i="1" s="1"/>
  <c r="M222" i="1"/>
  <c r="AC221" i="1"/>
  <c r="W221" i="1" s="1"/>
  <c r="AN221" i="1" s="1"/>
  <c r="AO221" i="1" s="1"/>
  <c r="M221" i="1"/>
  <c r="W220" i="1"/>
  <c r="AN220" i="1" s="1"/>
  <c r="AO220" i="1" s="1"/>
  <c r="M220" i="1"/>
  <c r="W219" i="1"/>
  <c r="AN219" i="1" s="1"/>
  <c r="AO219" i="1" s="1"/>
  <c r="L219" i="1"/>
  <c r="M219" i="1" s="1"/>
  <c r="W218" i="1"/>
  <c r="AN218" i="1" s="1"/>
  <c r="AO218" i="1" s="1"/>
  <c r="L218" i="1"/>
  <c r="W217" i="1"/>
  <c r="AN217" i="1" s="1"/>
  <c r="AO217" i="1" s="1"/>
  <c r="L217" i="1"/>
  <c r="AC216" i="1"/>
  <c r="W216" i="1" s="1"/>
  <c r="AN216" i="1" s="1"/>
  <c r="AO216" i="1" s="1"/>
  <c r="M216" i="1"/>
  <c r="W215" i="1"/>
  <c r="AN215" i="1" s="1"/>
  <c r="AO215" i="1" s="1"/>
  <c r="M215" i="1"/>
  <c r="W214" i="1"/>
  <c r="AN214" i="1" s="1"/>
  <c r="AO214" i="1" s="1"/>
  <c r="L214" i="1"/>
  <c r="W213" i="1"/>
  <c r="AN213" i="1" s="1"/>
  <c r="AO213" i="1" s="1"/>
  <c r="L213" i="1"/>
  <c r="W212" i="1"/>
  <c r="AN212" i="1" s="1"/>
  <c r="AO212" i="1" s="1"/>
  <c r="L212" i="1"/>
  <c r="W211" i="1"/>
  <c r="AN211" i="1" s="1"/>
  <c r="AO211" i="1" s="1"/>
  <c r="M211" i="1"/>
  <c r="W210" i="1"/>
  <c r="AN210" i="1" s="1"/>
  <c r="AO210" i="1" s="1"/>
  <c r="L210" i="1"/>
  <c r="M210" i="1" s="1"/>
  <c r="W209" i="1"/>
  <c r="AN209" i="1" s="1"/>
  <c r="AO209" i="1" s="1"/>
  <c r="L209" i="1"/>
  <c r="M209" i="1" s="1"/>
  <c r="W208" i="1"/>
  <c r="AN208" i="1" s="1"/>
  <c r="AO208" i="1" s="1"/>
  <c r="L208" i="1"/>
  <c r="AC207" i="1"/>
  <c r="W207" i="1" s="1"/>
  <c r="AN207" i="1" s="1"/>
  <c r="AO207" i="1" s="1"/>
  <c r="M207" i="1"/>
  <c r="AC206" i="1"/>
  <c r="W206" i="1" s="1"/>
  <c r="AN206" i="1" s="1"/>
  <c r="AO206" i="1" s="1"/>
  <c r="M206" i="1"/>
  <c r="AC205" i="1"/>
  <c r="W205" i="1" s="1"/>
  <c r="M205" i="1"/>
  <c r="W204" i="1"/>
  <c r="AN204" i="1" s="1"/>
  <c r="AO204" i="1" s="1"/>
  <c r="L204" i="1"/>
  <c r="AC203" i="1"/>
  <c r="W203" i="1" s="1"/>
  <c r="AN203" i="1" s="1"/>
  <c r="AO203" i="1" s="1"/>
  <c r="M203" i="1"/>
  <c r="AH202" i="1"/>
  <c r="W202" i="1" s="1"/>
  <c r="AN202" i="1" s="1"/>
  <c r="AO202" i="1" s="1"/>
  <c r="M202" i="1"/>
  <c r="W201" i="1"/>
  <c r="AN201" i="1" s="1"/>
  <c r="AO201" i="1" s="1"/>
  <c r="L201" i="1"/>
  <c r="W200" i="1"/>
  <c r="AN200" i="1" s="1"/>
  <c r="AO200" i="1" s="1"/>
  <c r="L200" i="1"/>
  <c r="M200" i="1" s="1"/>
  <c r="W199" i="1"/>
  <c r="M199" i="1"/>
  <c r="W198" i="1"/>
  <c r="AN198" i="1" s="1"/>
  <c r="AO198" i="1" s="1"/>
  <c r="L198" i="1"/>
  <c r="W197" i="1"/>
  <c r="AN197" i="1" s="1"/>
  <c r="AO197" i="1" s="1"/>
  <c r="L197" i="1"/>
  <c r="W196" i="1"/>
  <c r="AN196" i="1" s="1"/>
  <c r="AO196" i="1" s="1"/>
  <c r="L196" i="1"/>
  <c r="W195" i="1"/>
  <c r="AN195" i="1" s="1"/>
  <c r="AO195" i="1" s="1"/>
  <c r="L195" i="1"/>
  <c r="W194" i="1"/>
  <c r="AN194" i="1" s="1"/>
  <c r="AO194" i="1" s="1"/>
  <c r="L194" i="1"/>
  <c r="W193" i="1"/>
  <c r="AN193" i="1" s="1"/>
  <c r="AO193" i="1" s="1"/>
  <c r="L193" i="1"/>
  <c r="W192" i="1"/>
  <c r="AN192" i="1" s="1"/>
  <c r="AO192" i="1" s="1"/>
  <c r="L192" i="1"/>
  <c r="W191" i="1"/>
  <c r="AN191" i="1" s="1"/>
  <c r="AO191" i="1" s="1"/>
  <c r="L191" i="1"/>
  <c r="W190" i="1"/>
  <c r="AN190" i="1" s="1"/>
  <c r="AO190" i="1" s="1"/>
  <c r="L190" i="1"/>
  <c r="W189" i="1"/>
  <c r="AN189" i="1" s="1"/>
  <c r="AO189" i="1" s="1"/>
  <c r="L189" i="1"/>
  <c r="W188" i="1"/>
  <c r="AN188" i="1" s="1"/>
  <c r="AO188" i="1" s="1"/>
  <c r="L188" i="1"/>
  <c r="W187" i="1"/>
  <c r="AN187" i="1" s="1"/>
  <c r="AO187" i="1" s="1"/>
  <c r="L187" i="1"/>
  <c r="AH186" i="1"/>
  <c r="W186" i="1" s="1"/>
  <c r="AN186" i="1" s="1"/>
  <c r="AO186" i="1" s="1"/>
  <c r="M186" i="1"/>
  <c r="AH185" i="1"/>
  <c r="W185" i="1" s="1"/>
  <c r="AN185" i="1" s="1"/>
  <c r="AO185" i="1" s="1"/>
  <c r="M185" i="1"/>
  <c r="W184" i="1"/>
  <c r="AN184" i="1" s="1"/>
  <c r="AO184" i="1" s="1"/>
  <c r="L184" i="1"/>
  <c r="M184" i="1" s="1"/>
  <c r="W183" i="1"/>
  <c r="AN183" i="1" s="1"/>
  <c r="AO183" i="1" s="1"/>
  <c r="M183" i="1"/>
  <c r="W182" i="1"/>
  <c r="AN182" i="1" s="1"/>
  <c r="AO182" i="1" s="1"/>
  <c r="L182" i="1"/>
  <c r="W181" i="1"/>
  <c r="AN181" i="1" s="1"/>
  <c r="AO181" i="1" s="1"/>
  <c r="L181" i="1"/>
  <c r="M181" i="1" s="1"/>
  <c r="W180" i="1"/>
  <c r="AN180" i="1" s="1"/>
  <c r="AO180" i="1" s="1"/>
  <c r="L180" i="1"/>
  <c r="M180" i="1" s="1"/>
  <c r="W179" i="1"/>
  <c r="U179" i="1" s="1"/>
  <c r="W178" i="1"/>
  <c r="AN178" i="1" s="1"/>
  <c r="AO178" i="1" s="1"/>
  <c r="L178" i="1"/>
  <c r="M178" i="1" s="1"/>
  <c r="W177" i="1"/>
  <c r="AN177" i="1" s="1"/>
  <c r="AO177" i="1" s="1"/>
  <c r="L177" i="1"/>
  <c r="W176" i="1"/>
  <c r="AN176" i="1" s="1"/>
  <c r="AO176" i="1" s="1"/>
  <c r="L176" i="1"/>
  <c r="AO175" i="1"/>
  <c r="W175" i="1"/>
  <c r="L175" i="1"/>
  <c r="W174" i="1"/>
  <c r="AN174" i="1" s="1"/>
  <c r="AO174" i="1" s="1"/>
  <c r="L174" i="1"/>
  <c r="W173" i="1"/>
  <c r="AN173" i="1" s="1"/>
  <c r="AO173" i="1" s="1"/>
  <c r="L173" i="1"/>
  <c r="W172" i="1"/>
  <c r="AN172" i="1" s="1"/>
  <c r="AO172" i="1" s="1"/>
  <c r="L172" i="1"/>
  <c r="W171" i="1"/>
  <c r="AN171" i="1" s="1"/>
  <c r="AO171" i="1" s="1"/>
  <c r="L171" i="1"/>
  <c r="M171" i="1" s="1"/>
  <c r="W170" i="1"/>
  <c r="AN170" i="1" s="1"/>
  <c r="AO170" i="1" s="1"/>
  <c r="L170" i="1"/>
  <c r="M170" i="1" s="1"/>
  <c r="W169" i="1"/>
  <c r="AN169" i="1" s="1"/>
  <c r="AO169" i="1" s="1"/>
  <c r="L169" i="1"/>
  <c r="W168" i="1"/>
  <c r="AN168" i="1" s="1"/>
  <c r="AO168" i="1" s="1"/>
  <c r="L168" i="1"/>
  <c r="M168" i="1" s="1"/>
  <c r="W167" i="1"/>
  <c r="AN167" i="1" s="1"/>
  <c r="AO167" i="1" s="1"/>
  <c r="L167" i="1"/>
  <c r="W166" i="1"/>
  <c r="AN166" i="1" s="1"/>
  <c r="AO166" i="1" s="1"/>
  <c r="L166" i="1"/>
  <c r="M166" i="1" s="1"/>
  <c r="AO165" i="1"/>
  <c r="W165" i="1"/>
  <c r="L165" i="1"/>
  <c r="AO164" i="1"/>
  <c r="W164" i="1"/>
  <c r="L164" i="1"/>
  <c r="M164" i="1" s="1"/>
  <c r="W163" i="1"/>
  <c r="AN163" i="1" s="1"/>
  <c r="AO163" i="1" s="1"/>
  <c r="L163" i="1"/>
  <c r="M163" i="1" s="1"/>
  <c r="W162" i="1"/>
  <c r="AN162" i="1" s="1"/>
  <c r="AO162" i="1" s="1"/>
  <c r="L162" i="1"/>
  <c r="W161" i="1"/>
  <c r="AN161" i="1" s="1"/>
  <c r="AO161" i="1" s="1"/>
  <c r="L161" i="1"/>
  <c r="W160" i="1"/>
  <c r="AN160" i="1" s="1"/>
  <c r="AO160" i="1" s="1"/>
  <c r="L160" i="1"/>
  <c r="W159" i="1"/>
  <c r="AN159" i="1" s="1"/>
  <c r="AO159" i="1" s="1"/>
  <c r="L159" i="1"/>
  <c r="W158" i="1"/>
  <c r="AN158" i="1" s="1"/>
  <c r="AO158" i="1" s="1"/>
  <c r="L158" i="1"/>
  <c r="W157" i="1"/>
  <c r="AN157" i="1" s="1"/>
  <c r="AO157" i="1" s="1"/>
  <c r="L157" i="1"/>
  <c r="M157" i="1" s="1"/>
  <c r="W156" i="1"/>
  <c r="AN156" i="1" s="1"/>
  <c r="AO156" i="1" s="1"/>
  <c r="L156" i="1"/>
  <c r="M156" i="1" s="1"/>
  <c r="W155" i="1"/>
  <c r="AN155" i="1" s="1"/>
  <c r="AO155" i="1" s="1"/>
  <c r="L155" i="1"/>
  <c r="M155" i="1" s="1"/>
  <c r="W154" i="1"/>
  <c r="AN154" i="1" s="1"/>
  <c r="AO154" i="1" s="1"/>
  <c r="L154" i="1"/>
  <c r="AO153" i="1"/>
  <c r="W153" i="1"/>
  <c r="L153" i="1"/>
  <c r="M153" i="1" s="1"/>
  <c r="W152" i="1"/>
  <c r="AN152" i="1" s="1"/>
  <c r="AO152" i="1" s="1"/>
  <c r="L152" i="1"/>
  <c r="M152" i="1" s="1"/>
  <c r="W151" i="1"/>
  <c r="AN151" i="1" s="1"/>
  <c r="AO151" i="1" s="1"/>
  <c r="L151" i="1"/>
  <c r="W150" i="1"/>
  <c r="AN150" i="1" s="1"/>
  <c r="AO150" i="1" s="1"/>
  <c r="L150" i="1"/>
  <c r="W149" i="1"/>
  <c r="AN149" i="1" s="1"/>
  <c r="AO149" i="1" s="1"/>
  <c r="L149" i="1"/>
  <c r="M149" i="1" s="1"/>
  <c r="W148" i="1"/>
  <c r="AN148" i="1" s="1"/>
  <c r="AO148" i="1" s="1"/>
  <c r="L148" i="1"/>
  <c r="M148" i="1" s="1"/>
  <c r="W147" i="1"/>
  <c r="AN147" i="1" s="1"/>
  <c r="AO147" i="1" s="1"/>
  <c r="L147" i="1"/>
  <c r="W146" i="1"/>
  <c r="AN146" i="1" s="1"/>
  <c r="AO146" i="1" s="1"/>
  <c r="L146" i="1"/>
  <c r="W145" i="1"/>
  <c r="AN145" i="1" s="1"/>
  <c r="AO145" i="1" s="1"/>
  <c r="L145" i="1"/>
  <c r="M145" i="1" s="1"/>
  <c r="W144" i="1"/>
  <c r="AN144" i="1" s="1"/>
  <c r="AO144" i="1" s="1"/>
  <c r="M144" i="1"/>
  <c r="W143" i="1"/>
  <c r="AN143" i="1" s="1"/>
  <c r="AO143" i="1" s="1"/>
  <c r="L143" i="1"/>
  <c r="W142" i="1"/>
  <c r="L142" i="1"/>
  <c r="W141" i="1"/>
  <c r="AN141" i="1" s="1"/>
  <c r="AO141" i="1" s="1"/>
  <c r="L141" i="1"/>
  <c r="M141" i="1" s="1"/>
  <c r="AM140" i="1"/>
  <c r="W140" i="1"/>
  <c r="AN140" i="1" s="1"/>
  <c r="AO140" i="1" s="1"/>
  <c r="L140" i="1"/>
  <c r="AM139" i="1"/>
  <c r="W139" i="1"/>
  <c r="AN139" i="1" s="1"/>
  <c r="AO139" i="1" s="1"/>
  <c r="L139" i="1"/>
  <c r="AM138" i="1"/>
  <c r="W138" i="1"/>
  <c r="AN138" i="1" s="1"/>
  <c r="AO138" i="1" s="1"/>
  <c r="L138" i="1"/>
  <c r="AM137" i="1"/>
  <c r="W137" i="1"/>
  <c r="AN137" i="1" s="1"/>
  <c r="AO137" i="1" s="1"/>
  <c r="L137" i="1"/>
  <c r="AM136" i="1"/>
  <c r="W136" i="1"/>
  <c r="U136" i="1" s="1"/>
  <c r="L136" i="1"/>
  <c r="W135" i="1"/>
  <c r="AN135" i="1" s="1"/>
  <c r="AO135" i="1" s="1"/>
  <c r="L135" i="1"/>
  <c r="M135" i="1" s="1"/>
  <c r="AM134" i="1"/>
  <c r="W134" i="1"/>
  <c r="AN134" i="1" s="1"/>
  <c r="AO134" i="1" s="1"/>
  <c r="L134" i="1"/>
  <c r="M134" i="1" s="1"/>
  <c r="W133" i="1"/>
  <c r="AN133" i="1" s="1"/>
  <c r="AO133" i="1" s="1"/>
  <c r="L133" i="1"/>
  <c r="W132" i="1"/>
  <c r="AN132" i="1" s="1"/>
  <c r="AO132" i="1" s="1"/>
  <c r="L132" i="1"/>
  <c r="M132" i="1" s="1"/>
  <c r="AM131" i="1"/>
  <c r="W131" i="1"/>
  <c r="AN131" i="1" s="1"/>
  <c r="AO131" i="1" s="1"/>
  <c r="L131" i="1"/>
  <c r="AM130" i="1"/>
  <c r="W130" i="1"/>
  <c r="AN130" i="1" s="1"/>
  <c r="AO130" i="1" s="1"/>
  <c r="L130" i="1"/>
  <c r="AM129" i="1"/>
  <c r="W129" i="1"/>
  <c r="L129" i="1"/>
  <c r="AM128" i="1"/>
  <c r="W128" i="1"/>
  <c r="AN128" i="1" s="1"/>
  <c r="AO128" i="1" s="1"/>
  <c r="L128" i="1"/>
  <c r="M128" i="1" s="1"/>
  <c r="AM127" i="1"/>
  <c r="W127" i="1"/>
  <c r="L127" i="1"/>
  <c r="W126" i="1"/>
  <c r="AN126" i="1" s="1"/>
  <c r="AO126" i="1" s="1"/>
  <c r="L126" i="1"/>
  <c r="AM125" i="1"/>
  <c r="W125" i="1"/>
  <c r="L125" i="1"/>
  <c r="W124" i="1"/>
  <c r="U124" i="1" s="1"/>
  <c r="V124" i="1" s="1"/>
  <c r="L124" i="1"/>
  <c r="AM123" i="1"/>
  <c r="W123" i="1"/>
  <c r="AN123" i="1" s="1"/>
  <c r="AO123" i="1" s="1"/>
  <c r="L123" i="1"/>
  <c r="M123" i="1" s="1"/>
  <c r="AM122" i="1"/>
  <c r="W122" i="1"/>
  <c r="AN122" i="1" s="1"/>
  <c r="AO122" i="1" s="1"/>
  <c r="L122" i="1"/>
  <c r="W121" i="1"/>
  <c r="U121" i="1" s="1"/>
  <c r="L121" i="1"/>
  <c r="AM120" i="1"/>
  <c r="W120" i="1"/>
  <c r="AN120" i="1" s="1"/>
  <c r="AO120" i="1" s="1"/>
  <c r="L120" i="1"/>
  <c r="W119" i="1"/>
  <c r="AN119" i="1" s="1"/>
  <c r="AO119" i="1" s="1"/>
  <c r="L119" i="1"/>
  <c r="W118" i="1"/>
  <c r="AN118" i="1" s="1"/>
  <c r="AO118" i="1" s="1"/>
  <c r="L118" i="1"/>
  <c r="M118" i="1" s="1"/>
  <c r="W117" i="1"/>
  <c r="AN117" i="1" s="1"/>
  <c r="AO117" i="1" s="1"/>
  <c r="L117" i="1"/>
  <c r="M117" i="1" s="1"/>
  <c r="AM116" i="1"/>
  <c r="W116" i="1"/>
  <c r="AN116" i="1" s="1"/>
  <c r="AO116" i="1" s="1"/>
  <c r="L116" i="1"/>
  <c r="AM115" i="1"/>
  <c r="W115" i="1"/>
  <c r="AN115" i="1" s="1"/>
  <c r="AO115" i="1" s="1"/>
  <c r="L115" i="1"/>
  <c r="M115" i="1" s="1"/>
  <c r="W114" i="1"/>
  <c r="AN114" i="1" s="1"/>
  <c r="AO114" i="1" s="1"/>
  <c r="L114" i="1"/>
  <c r="M114" i="1" s="1"/>
  <c r="AN113" i="1"/>
  <c r="AO113" i="1" s="1"/>
  <c r="L113" i="1"/>
  <c r="AM112" i="1"/>
  <c r="W112" i="1"/>
  <c r="AN112" i="1" s="1"/>
  <c r="AO112" i="1" s="1"/>
  <c r="L112" i="1"/>
  <c r="M112" i="1" s="1"/>
  <c r="AM111" i="1"/>
  <c r="W111" i="1"/>
  <c r="AN111" i="1" s="1"/>
  <c r="AO111" i="1" s="1"/>
  <c r="L111" i="1"/>
  <c r="AO110" i="1"/>
  <c r="AM110" i="1"/>
  <c r="W110" i="1"/>
  <c r="L110" i="1"/>
  <c r="M110" i="1" s="1"/>
  <c r="AM109" i="1"/>
  <c r="W109" i="1"/>
  <c r="AN109" i="1" s="1"/>
  <c r="AO109" i="1" s="1"/>
  <c r="L109" i="1"/>
  <c r="W108" i="1"/>
  <c r="AN108" i="1" s="1"/>
  <c r="AO108" i="1" s="1"/>
  <c r="L108" i="1"/>
  <c r="W107" i="1"/>
  <c r="AN107" i="1" s="1"/>
  <c r="AO107" i="1" s="1"/>
  <c r="L107" i="1"/>
  <c r="AO106" i="1"/>
  <c r="W106" i="1"/>
  <c r="L106" i="1"/>
  <c r="M106" i="1" s="1"/>
  <c r="AM105" i="1"/>
  <c r="W105" i="1"/>
  <c r="AN105" i="1" s="1"/>
  <c r="AO105" i="1" s="1"/>
  <c r="L105" i="1"/>
  <c r="AO104" i="1"/>
  <c r="W104" i="1"/>
  <c r="L104" i="1"/>
  <c r="AM103" i="1"/>
  <c r="W103" i="1"/>
  <c r="AN103" i="1" s="1"/>
  <c r="AO103" i="1" s="1"/>
  <c r="L103" i="1"/>
  <c r="M103" i="1" s="1"/>
  <c r="AM102" i="1"/>
  <c r="W102" i="1"/>
  <c r="AN102" i="1" s="1"/>
  <c r="AO102" i="1" s="1"/>
  <c r="L102" i="1"/>
  <c r="AM101" i="1"/>
  <c r="W101" i="1"/>
  <c r="AN101" i="1" s="1"/>
  <c r="AO101" i="1" s="1"/>
  <c r="L101" i="1"/>
  <c r="M101" i="1" s="1"/>
  <c r="AM100" i="1"/>
  <c r="W100" i="1"/>
  <c r="AN100" i="1" s="1"/>
  <c r="AO100" i="1" s="1"/>
  <c r="L100" i="1"/>
  <c r="M100" i="1" s="1"/>
  <c r="AM98" i="1"/>
  <c r="W98" i="1"/>
  <c r="AN98" i="1" s="1"/>
  <c r="AO98" i="1" s="1"/>
  <c r="L98" i="1"/>
  <c r="AM97" i="1"/>
  <c r="W97" i="1"/>
  <c r="AN97" i="1" s="1"/>
  <c r="AO97" i="1" s="1"/>
  <c r="L97" i="1"/>
  <c r="M97" i="1" s="1"/>
  <c r="AM96" i="1"/>
  <c r="W96" i="1"/>
  <c r="AN96" i="1" s="1"/>
  <c r="AO96" i="1" s="1"/>
  <c r="L96" i="1"/>
  <c r="M96" i="1" s="1"/>
  <c r="W95" i="1"/>
  <c r="AN95" i="1" s="1"/>
  <c r="AO95" i="1" s="1"/>
  <c r="L95" i="1"/>
  <c r="AM94" i="1"/>
  <c r="W94" i="1"/>
  <c r="AN94" i="1" s="1"/>
  <c r="AO94" i="1" s="1"/>
  <c r="L94" i="1"/>
  <c r="W93" i="1"/>
  <c r="AN93" i="1" s="1"/>
  <c r="AO93" i="1" s="1"/>
  <c r="L93" i="1"/>
  <c r="AM92" i="1"/>
  <c r="W92" i="1"/>
  <c r="AN92" i="1" s="1"/>
  <c r="AO92" i="1" s="1"/>
  <c r="L92" i="1"/>
  <c r="M92" i="1" s="1"/>
  <c r="W91" i="1"/>
  <c r="L91" i="1"/>
  <c r="AM90" i="1"/>
  <c r="W90" i="1"/>
  <c r="AN90" i="1" s="1"/>
  <c r="AO90" i="1" s="1"/>
  <c r="L90" i="1"/>
  <c r="M90" i="1" s="1"/>
  <c r="AM89" i="1"/>
  <c r="W89" i="1"/>
  <c r="AN89" i="1" s="1"/>
  <c r="AO89" i="1" s="1"/>
  <c r="L89" i="1"/>
  <c r="AM88" i="1"/>
  <c r="W88" i="1"/>
  <c r="L88" i="1"/>
  <c r="M88" i="1" s="1"/>
  <c r="AM87" i="1"/>
  <c r="W87" i="1"/>
  <c r="AN87" i="1" s="1"/>
  <c r="AO87" i="1" s="1"/>
  <c r="L87" i="1"/>
  <c r="AM86" i="1"/>
  <c r="W86" i="1"/>
  <c r="AN86" i="1" s="1"/>
  <c r="AO86" i="1" s="1"/>
  <c r="L86" i="1"/>
  <c r="M86" i="1" s="1"/>
  <c r="AC85" i="1"/>
  <c r="W85" i="1" s="1"/>
  <c r="AN85" i="1" s="1"/>
  <c r="AO85" i="1" s="1"/>
  <c r="M85" i="1"/>
  <c r="W84" i="1"/>
  <c r="AN84" i="1" s="1"/>
  <c r="AO84" i="1" s="1"/>
  <c r="L84" i="1"/>
  <c r="M84" i="1" s="1"/>
  <c r="AM83" i="1"/>
  <c r="W83" i="1"/>
  <c r="AN83" i="1" s="1"/>
  <c r="AO83" i="1" s="1"/>
  <c r="L83" i="1"/>
  <c r="W82" i="1"/>
  <c r="AN82" i="1" s="1"/>
  <c r="AO82" i="1" s="1"/>
  <c r="L82" i="1"/>
  <c r="W81" i="1"/>
  <c r="AN81" i="1" s="1"/>
  <c r="AO81" i="1" s="1"/>
  <c r="L81" i="1"/>
  <c r="M81" i="1" s="1"/>
  <c r="AO80" i="1"/>
  <c r="AM80" i="1"/>
  <c r="W80" i="1"/>
  <c r="U80" i="1" s="1"/>
  <c r="L80" i="1"/>
  <c r="AM79" i="1"/>
  <c r="W79" i="1"/>
  <c r="U79" i="1" s="1"/>
  <c r="L79" i="1"/>
  <c r="AM78" i="1"/>
  <c r="W78" i="1"/>
  <c r="U78" i="1" s="1"/>
  <c r="L78" i="1"/>
  <c r="AM77" i="1"/>
  <c r="W77" i="1"/>
  <c r="AN77" i="1" s="1"/>
  <c r="AO77" i="1" s="1"/>
  <c r="L77" i="1"/>
  <c r="AM76" i="1"/>
  <c r="W76" i="1"/>
  <c r="AN76" i="1" s="1"/>
  <c r="AO76" i="1" s="1"/>
  <c r="L76" i="1"/>
  <c r="M76" i="1" s="1"/>
  <c r="AM75" i="1"/>
  <c r="W75" i="1"/>
  <c r="AN75" i="1" s="1"/>
  <c r="AO75" i="1" s="1"/>
  <c r="L75" i="1"/>
  <c r="AM74" i="1"/>
  <c r="W74" i="1"/>
  <c r="U74" i="1" s="1"/>
  <c r="L74" i="1"/>
  <c r="AM73" i="1"/>
  <c r="L73" i="1"/>
  <c r="M73" i="1" s="1"/>
  <c r="AM72" i="1"/>
  <c r="W72" i="1"/>
  <c r="U72" i="1" s="1"/>
  <c r="L72" i="1"/>
  <c r="AM71" i="1"/>
  <c r="W71" i="1"/>
  <c r="AN71" i="1" s="1"/>
  <c r="AO71" i="1" s="1"/>
  <c r="L71" i="1"/>
  <c r="AM70" i="1"/>
  <c r="L70" i="1"/>
  <c r="AM69" i="1"/>
  <c r="W69" i="1"/>
  <c r="AN69" i="1" s="1"/>
  <c r="AO69" i="1" s="1"/>
  <c r="L69" i="1"/>
  <c r="M69" i="1" s="1"/>
  <c r="W68" i="1"/>
  <c r="U68" i="1" s="1"/>
  <c r="L68" i="1"/>
  <c r="AM67" i="1"/>
  <c r="L67" i="1"/>
  <c r="AM66" i="1"/>
  <c r="W66" i="1"/>
  <c r="AN66" i="1" s="1"/>
  <c r="AO66" i="1" s="1"/>
  <c r="L66" i="1"/>
  <c r="M66" i="1" s="1"/>
  <c r="AM65" i="1"/>
  <c r="W65" i="1"/>
  <c r="AN65" i="1" s="1"/>
  <c r="AO65" i="1" s="1"/>
  <c r="L65" i="1"/>
  <c r="AM64" i="1"/>
  <c r="W64" i="1"/>
  <c r="AN64" i="1" s="1"/>
  <c r="AO64" i="1" s="1"/>
  <c r="L64" i="1"/>
  <c r="AM63" i="1"/>
  <c r="W63" i="1"/>
  <c r="AN63" i="1" s="1"/>
  <c r="AO63" i="1" s="1"/>
  <c r="L63" i="1"/>
  <c r="L62" i="1"/>
  <c r="AM61" i="1"/>
  <c r="W61" i="1"/>
  <c r="AN61" i="1" s="1"/>
  <c r="AO61" i="1" s="1"/>
  <c r="L61" i="1"/>
  <c r="W60" i="1"/>
  <c r="AN60" i="1" s="1"/>
  <c r="AO60" i="1" s="1"/>
  <c r="L60" i="1"/>
  <c r="AM59" i="1"/>
  <c r="W59" i="1"/>
  <c r="U59" i="1" s="1"/>
  <c r="L59" i="1"/>
  <c r="AM58" i="1"/>
  <c r="W58" i="1"/>
  <c r="AN58" i="1" s="1"/>
  <c r="AO58" i="1" s="1"/>
  <c r="L58" i="1"/>
  <c r="AO57" i="1"/>
  <c r="W57" i="1"/>
  <c r="U57" i="1" s="1"/>
  <c r="L57" i="1"/>
  <c r="W56" i="1"/>
  <c r="AN56" i="1" s="1"/>
  <c r="AO56" i="1" s="1"/>
  <c r="L56" i="1"/>
  <c r="M56" i="1" s="1"/>
  <c r="AO55" i="1"/>
  <c r="W55" i="1"/>
  <c r="L55" i="1"/>
  <c r="M55" i="1" s="1"/>
  <c r="AM54" i="1"/>
  <c r="W54" i="1"/>
  <c r="AN54" i="1" s="1"/>
  <c r="AO54" i="1" s="1"/>
  <c r="L54" i="1"/>
  <c r="M54" i="1" s="1"/>
  <c r="AM53" i="1"/>
  <c r="W53" i="1"/>
  <c r="AN53" i="1" s="1"/>
  <c r="AO53" i="1" s="1"/>
  <c r="L53" i="1"/>
  <c r="W52" i="1"/>
  <c r="AN52" i="1" s="1"/>
  <c r="AO52" i="1" s="1"/>
  <c r="L52" i="1"/>
  <c r="AM51" i="1"/>
  <c r="W51" i="1"/>
  <c r="U51" i="1" s="1"/>
  <c r="L51" i="1"/>
  <c r="AM50" i="1"/>
  <c r="W50" i="1"/>
  <c r="U50" i="1" s="1"/>
  <c r="L50" i="1"/>
  <c r="AM49" i="1"/>
  <c r="W49" i="1"/>
  <c r="AN49" i="1" s="1"/>
  <c r="AO49" i="1" s="1"/>
  <c r="L49" i="1"/>
  <c r="W48" i="1"/>
  <c r="AN48" i="1" s="1"/>
  <c r="AO48" i="1" s="1"/>
  <c r="L48" i="1"/>
  <c r="W47" i="1"/>
  <c r="AN47" i="1" s="1"/>
  <c r="AO47" i="1" s="1"/>
  <c r="L47" i="1"/>
  <c r="M47" i="1" s="1"/>
  <c r="AM46" i="1"/>
  <c r="W46" i="1"/>
  <c r="AN46" i="1" s="1"/>
  <c r="AO46" i="1" s="1"/>
  <c r="L46" i="1"/>
  <c r="W45" i="1"/>
  <c r="U45" i="1" s="1"/>
  <c r="L45" i="1"/>
  <c r="AM44" i="1"/>
  <c r="W44" i="1"/>
  <c r="AN44" i="1" s="1"/>
  <c r="AO44" i="1" s="1"/>
  <c r="L44" i="1"/>
  <c r="W43" i="1"/>
  <c r="L43" i="1"/>
  <c r="M43" i="1" s="1"/>
  <c r="W42" i="1"/>
  <c r="AN42" i="1" s="1"/>
  <c r="AO42" i="1" s="1"/>
  <c r="L42" i="1"/>
  <c r="M42" i="1" s="1"/>
  <c r="W41" i="1"/>
  <c r="U41" i="1"/>
  <c r="AG41" i="1" s="1"/>
  <c r="L41" i="1"/>
  <c r="AG40" i="1"/>
  <c r="AE40" i="1"/>
  <c r="AM40" i="1" s="1"/>
  <c r="W40" i="1"/>
  <c r="AN40" i="1" s="1"/>
  <c r="AO40" i="1" s="1"/>
  <c r="V40" i="1"/>
  <c r="L40" i="1"/>
  <c r="W39" i="1"/>
  <c r="AN39" i="1" s="1"/>
  <c r="AO39" i="1" s="1"/>
  <c r="U39" i="1"/>
  <c r="AG39" i="1" s="1"/>
  <c r="L39" i="1"/>
  <c r="W38" i="1"/>
  <c r="L38" i="1"/>
  <c r="AM37" i="1"/>
  <c r="W37" i="1"/>
  <c r="U37" i="1" s="1"/>
  <c r="V37" i="1" s="1"/>
  <c r="L37" i="1"/>
  <c r="AH36" i="1"/>
  <c r="AC36" i="1"/>
  <c r="L36" i="1"/>
  <c r="W35" i="1"/>
  <c r="U35" i="1" s="1"/>
  <c r="L35" i="1"/>
  <c r="W34" i="1"/>
  <c r="V34" i="1"/>
  <c r="L34" i="1"/>
  <c r="W33" i="1"/>
  <c r="U33" i="1" s="1"/>
  <c r="V33" i="1"/>
  <c r="L33" i="1"/>
  <c r="W32" i="1"/>
  <c r="AN32" i="1" s="1"/>
  <c r="AO32" i="1" s="1"/>
  <c r="L32" i="1"/>
  <c r="W31" i="1"/>
  <c r="U31" i="1" s="1"/>
  <c r="L31" i="1"/>
  <c r="W30" i="1"/>
  <c r="AN30" i="1" s="1"/>
  <c r="AO30" i="1" s="1"/>
  <c r="L30" i="1"/>
  <c r="AN29" i="1"/>
  <c r="AO29" i="1" s="1"/>
  <c r="AM29" i="1"/>
  <c r="U29" i="1"/>
  <c r="V29" i="1" s="1"/>
  <c r="L29" i="1"/>
  <c r="AN28" i="1"/>
  <c r="AO28" i="1" s="1"/>
  <c r="AM28" i="1"/>
  <c r="V28" i="1"/>
  <c r="AM27" i="1"/>
  <c r="AH27" i="1"/>
  <c r="AN27" i="1" s="1"/>
  <c r="AO27" i="1" s="1"/>
  <c r="AN26" i="1"/>
  <c r="AO26" i="1" s="1"/>
  <c r="AM26" i="1"/>
  <c r="AH26" i="1"/>
  <c r="W26" i="1" s="1"/>
  <c r="V26" i="1"/>
  <c r="AN25" i="1"/>
  <c r="AO25" i="1" s="1"/>
  <c r="AM25" i="1"/>
  <c r="V25" i="1"/>
  <c r="AM24" i="1"/>
  <c r="AM23" i="1"/>
  <c r="W23" i="1"/>
  <c r="AN23" i="1" s="1"/>
  <c r="AO23" i="1" s="1"/>
  <c r="L23" i="1"/>
  <c r="M23" i="1" s="1"/>
  <c r="AM22" i="1"/>
  <c r="AH22" i="1"/>
  <c r="AC22" i="1"/>
  <c r="M22" i="1"/>
  <c r="AM21" i="1"/>
  <c r="AC21" i="1"/>
  <c r="W21" i="1" s="1"/>
  <c r="AN21" i="1" s="1"/>
  <c r="AO21" i="1" s="1"/>
  <c r="M21" i="1"/>
  <c r="AM20" i="1"/>
  <c r="W20" i="1"/>
  <c r="AN20" i="1" s="1"/>
  <c r="AO20" i="1" s="1"/>
  <c r="L20" i="1"/>
  <c r="AM19" i="1"/>
  <c r="W19" i="1"/>
  <c r="AN19" i="1" s="1"/>
  <c r="AO19" i="1" s="1"/>
  <c r="L19" i="1"/>
  <c r="M19" i="1" s="1"/>
  <c r="AM18" i="1"/>
  <c r="W18" i="1"/>
  <c r="AN18" i="1" s="1"/>
  <c r="AO18" i="1" s="1"/>
  <c r="L18" i="1"/>
  <c r="AM17" i="1"/>
  <c r="AH17" i="1"/>
  <c r="W17" i="1" s="1"/>
  <c r="AN17" i="1" s="1"/>
  <c r="AO17" i="1" s="1"/>
  <c r="M17" i="1"/>
  <c r="AM16" i="1"/>
  <c r="W16" i="1"/>
  <c r="AN16" i="1" s="1"/>
  <c r="AO16" i="1" s="1"/>
  <c r="L16" i="1"/>
  <c r="AM15" i="1"/>
  <c r="W15" i="1"/>
  <c r="AN15" i="1" s="1"/>
  <c r="AO15" i="1" s="1"/>
  <c r="L15" i="1"/>
  <c r="M15" i="1" s="1"/>
  <c r="AM14" i="1"/>
  <c r="W14" i="1"/>
  <c r="AN14" i="1" s="1"/>
  <c r="AO14" i="1" s="1"/>
  <c r="M14" i="1"/>
  <c r="AM13" i="1"/>
  <c r="W13" i="1"/>
  <c r="AN13" i="1" s="1"/>
  <c r="AO13" i="1" s="1"/>
  <c r="L13" i="1"/>
  <c r="AM12" i="1"/>
  <c r="W12" i="1"/>
  <c r="AN12" i="1" s="1"/>
  <c r="AO12" i="1" s="1"/>
  <c r="L12" i="1"/>
  <c r="AM11" i="1"/>
  <c r="W11" i="1"/>
  <c r="AN11" i="1" s="1"/>
  <c r="AO11" i="1" s="1"/>
  <c r="L11" i="1"/>
  <c r="AM10" i="1"/>
  <c r="W10" i="1"/>
  <c r="AN10" i="1" s="1"/>
  <c r="AO10" i="1" s="1"/>
  <c r="L10" i="1"/>
  <c r="M10" i="1" s="1"/>
  <c r="AM9" i="1"/>
  <c r="W9" i="1"/>
  <c r="AN9" i="1" s="1"/>
  <c r="AO9" i="1" s="1"/>
  <c r="L9" i="1"/>
  <c r="AM8" i="1"/>
  <c r="W8" i="1"/>
  <c r="AN8" i="1" s="1"/>
  <c r="AO8" i="1" s="1"/>
  <c r="L8" i="1"/>
  <c r="M8" i="1" s="1"/>
  <c r="AM7" i="1"/>
  <c r="W7" i="1"/>
  <c r="AN7" i="1" s="1"/>
  <c r="AO7" i="1" s="1"/>
  <c r="L7" i="1"/>
  <c r="AM6" i="1"/>
  <c r="AH6" i="1"/>
  <c r="W6" i="1" s="1"/>
  <c r="L6" i="1"/>
  <c r="AM5" i="1"/>
  <c r="AH5" i="1"/>
  <c r="W5" i="1" s="1"/>
  <c r="U5" i="1" s="1"/>
  <c r="L5" i="1"/>
  <c r="AM4" i="1"/>
  <c r="W4" i="1"/>
  <c r="AN4" i="1" s="1"/>
  <c r="AO4" i="1" s="1"/>
  <c r="L4" i="1"/>
  <c r="AM3" i="1"/>
  <c r="W3" i="1"/>
  <c r="AN3" i="1" s="1"/>
  <c r="AO3" i="1" s="1"/>
  <c r="L3" i="1"/>
  <c r="W837" i="1" l="1"/>
  <c r="AN837" i="1" s="1"/>
  <c r="AO837" i="1" s="1"/>
  <c r="W843" i="1"/>
  <c r="AN843" i="1" s="1"/>
  <c r="AO843" i="1" s="1"/>
  <c r="W40" i="5"/>
  <c r="AN40" i="5" s="1"/>
  <c r="AO40" i="5" s="1"/>
  <c r="W37" i="5"/>
  <c r="AN37" i="5" s="1"/>
  <c r="AO37" i="5" s="1"/>
  <c r="W43" i="5"/>
  <c r="AN43" i="5" s="1"/>
  <c r="AO43" i="5" s="1"/>
  <c r="W46" i="5"/>
  <c r="AN46" i="5" s="1"/>
  <c r="AO46" i="5" s="1"/>
  <c r="U49" i="5"/>
  <c r="W38" i="5"/>
  <c r="AN38" i="5" s="1"/>
  <c r="AO38" i="5" s="1"/>
  <c r="W41" i="5"/>
  <c r="AN41" i="5" s="1"/>
  <c r="AO41" i="5" s="1"/>
  <c r="U47" i="5"/>
  <c r="Z47" i="5" s="1"/>
  <c r="W42" i="5"/>
  <c r="AN42" i="5" s="1"/>
  <c r="AO42" i="5" s="1"/>
  <c r="AN179" i="1"/>
  <c r="AO179" i="1" s="1"/>
  <c r="W685" i="1"/>
  <c r="AN685" i="1" s="1"/>
  <c r="AO685" i="1" s="1"/>
  <c r="W644" i="1"/>
  <c r="U644" i="1" s="1"/>
  <c r="W531" i="1"/>
  <c r="AN531" i="1" s="1"/>
  <c r="AO531" i="1" s="1"/>
  <c r="W582" i="1"/>
  <c r="W586" i="1"/>
  <c r="AN586" i="1" s="1"/>
  <c r="AO586" i="1" s="1"/>
  <c r="AG48" i="5"/>
  <c r="AE48" i="5"/>
  <c r="AB48" i="5"/>
  <c r="Z48" i="5"/>
  <c r="V48" i="5"/>
  <c r="U37" i="5"/>
  <c r="U43" i="5"/>
  <c r="U46" i="5"/>
  <c r="AB49" i="5"/>
  <c r="Z49" i="5"/>
  <c r="V49" i="5"/>
  <c r="AG49" i="5"/>
  <c r="AE49" i="5"/>
  <c r="U38" i="5"/>
  <c r="U41" i="5"/>
  <c r="U44" i="5"/>
  <c r="AG47" i="5"/>
  <c r="AE47" i="5"/>
  <c r="AB47" i="5"/>
  <c r="U39" i="5"/>
  <c r="U45" i="5"/>
  <c r="U276" i="1"/>
  <c r="W683" i="1"/>
  <c r="AN683" i="1" s="1"/>
  <c r="AO683" i="1" s="1"/>
  <c r="AN51" i="1"/>
  <c r="AO51" i="1" s="1"/>
  <c r="W585" i="1"/>
  <c r="AN585" i="1" s="1"/>
  <c r="AO585" i="1" s="1"/>
  <c r="W519" i="1"/>
  <c r="AN519" i="1" s="1"/>
  <c r="AO519" i="1" s="1"/>
  <c r="W617" i="1"/>
  <c r="AN617" i="1" s="1"/>
  <c r="AO617" i="1" s="1"/>
  <c r="U275" i="1"/>
  <c r="V275" i="1" s="1"/>
  <c r="W675" i="1"/>
  <c r="AN675" i="1" s="1"/>
  <c r="AO675" i="1" s="1"/>
  <c r="W773" i="1"/>
  <c r="AN773" i="1" s="1"/>
  <c r="AO773" i="1" s="1"/>
  <c r="W487" i="1"/>
  <c r="AN487" i="1" s="1"/>
  <c r="AO487" i="1" s="1"/>
  <c r="W544" i="1"/>
  <c r="AN544" i="1" s="1"/>
  <c r="AO544" i="1" s="1"/>
  <c r="U23" i="1"/>
  <c r="U8" i="1"/>
  <c r="W653" i="1"/>
  <c r="AN653" i="1" s="1"/>
  <c r="AO653" i="1" s="1"/>
  <c r="W745" i="1"/>
  <c r="AN745" i="1" s="1"/>
  <c r="AO745" i="1" s="1"/>
  <c r="W682" i="1"/>
  <c r="AN682" i="1" s="1"/>
  <c r="AO682" i="1" s="1"/>
  <c r="U209" i="1"/>
  <c r="V209" i="1" s="1"/>
  <c r="U425" i="1"/>
  <c r="V425" i="1" s="1"/>
  <c r="W548" i="1"/>
  <c r="AN548" i="1" s="1"/>
  <c r="AO548" i="1" s="1"/>
  <c r="W593" i="1"/>
  <c r="AN593" i="1" s="1"/>
  <c r="AO593" i="1" s="1"/>
  <c r="W803" i="1"/>
  <c r="AN803" i="1" s="1"/>
  <c r="AO803" i="1" s="1"/>
  <c r="AN74" i="1"/>
  <c r="AO74" i="1" s="1"/>
  <c r="W794" i="1"/>
  <c r="U75" i="1"/>
  <c r="U128" i="1"/>
  <c r="U321" i="1"/>
  <c r="U211" i="1"/>
  <c r="W448" i="1"/>
  <c r="AN448" i="1" s="1"/>
  <c r="AO448" i="1" s="1"/>
  <c r="U183" i="1"/>
  <c r="V183" i="1" s="1"/>
  <c r="U359" i="1"/>
  <c r="V359" i="1" s="1"/>
  <c r="W755" i="1"/>
  <c r="AN755" i="1" s="1"/>
  <c r="AO755" i="1" s="1"/>
  <c r="W516" i="1"/>
  <c r="AN516" i="1" s="1"/>
  <c r="AO516" i="1" s="1"/>
  <c r="W679" i="1"/>
  <c r="AN679" i="1" s="1"/>
  <c r="AO679" i="1" s="1"/>
  <c r="U156" i="1"/>
  <c r="V156" i="1" s="1"/>
  <c r="U400" i="1"/>
  <c r="W541" i="1"/>
  <c r="AN541" i="1" s="1"/>
  <c r="AO541" i="1" s="1"/>
  <c r="W577" i="1"/>
  <c r="AN577" i="1" s="1"/>
  <c r="AO577" i="1" s="1"/>
  <c r="W589" i="1"/>
  <c r="U118" i="1"/>
  <c r="Z118" i="1" s="1"/>
  <c r="AM118" i="1" s="1"/>
  <c r="U202" i="1"/>
  <c r="V202" i="1" s="1"/>
  <c r="M297" i="1"/>
  <c r="U297" i="1" s="1"/>
  <c r="V297" i="1" s="1"/>
  <c r="M432" i="1"/>
  <c r="U432" i="1" s="1"/>
  <c r="V432" i="1" s="1"/>
  <c r="U455" i="1"/>
  <c r="AB455" i="1" s="1"/>
  <c r="M465" i="1"/>
  <c r="M470" i="1"/>
  <c r="U470" i="1" s="1"/>
  <c r="V470" i="1" s="1"/>
  <c r="W489" i="1"/>
  <c r="AN489" i="1" s="1"/>
  <c r="AO489" i="1" s="1"/>
  <c r="M605" i="1"/>
  <c r="W609" i="1"/>
  <c r="AN609" i="1" s="1"/>
  <c r="AO609" i="1" s="1"/>
  <c r="W628" i="1"/>
  <c r="AN628" i="1" s="1"/>
  <c r="AO628" i="1" s="1"/>
  <c r="W638" i="1"/>
  <c r="M655" i="1"/>
  <c r="M769" i="1"/>
  <c r="M7" i="1"/>
  <c r="U7" i="1" s="1"/>
  <c r="V7" i="1" s="1"/>
  <c r="U115" i="1"/>
  <c r="V115" i="1" s="1"/>
  <c r="M291" i="1"/>
  <c r="U291" i="1" s="1"/>
  <c r="V291" i="1" s="1"/>
  <c r="M365" i="1"/>
  <c r="U365" i="1" s="1"/>
  <c r="V365" i="1" s="1"/>
  <c r="U381" i="1"/>
  <c r="U395" i="1"/>
  <c r="V395" i="1" s="1"/>
  <c r="W746" i="1"/>
  <c r="AN746" i="1" s="1"/>
  <c r="AO746" i="1" s="1"/>
  <c r="M577" i="1"/>
  <c r="M668" i="1"/>
  <c r="M177" i="1"/>
  <c r="U241" i="1"/>
  <c r="U423" i="1"/>
  <c r="V423" i="1" s="1"/>
  <c r="M687" i="1"/>
  <c r="W479" i="1"/>
  <c r="AN479" i="1" s="1"/>
  <c r="AO479" i="1" s="1"/>
  <c r="M586" i="1"/>
  <c r="U586" i="1" s="1"/>
  <c r="M18" i="1"/>
  <c r="U18" i="1" s="1"/>
  <c r="V18" i="1" s="1"/>
  <c r="M107" i="1"/>
  <c r="U107" i="1" s="1"/>
  <c r="W469" i="1"/>
  <c r="AN469" i="1" s="1"/>
  <c r="AO469" i="1" s="1"/>
  <c r="W536" i="1"/>
  <c r="AN536" i="1" s="1"/>
  <c r="AO536" i="1" s="1"/>
  <c r="M632" i="1"/>
  <c r="M639" i="1"/>
  <c r="M641" i="1"/>
  <c r="M671" i="1"/>
  <c r="U671" i="1" s="1"/>
  <c r="W786" i="1"/>
  <c r="U786" i="1" s="1"/>
  <c r="M89" i="1"/>
  <c r="M98" i="1"/>
  <c r="U98" i="1" s="1"/>
  <c r="V98" i="1" s="1"/>
  <c r="U178" i="1"/>
  <c r="V178" i="1" s="1"/>
  <c r="U296" i="1"/>
  <c r="V296" i="1" s="1"/>
  <c r="U367" i="1"/>
  <c r="V367" i="1" s="1"/>
  <c r="M516" i="1"/>
  <c r="W759" i="1"/>
  <c r="AN759" i="1" s="1"/>
  <c r="AO759" i="1" s="1"/>
  <c r="U383" i="1"/>
  <c r="W657" i="1"/>
  <c r="AN657" i="1" s="1"/>
  <c r="AO657" i="1" s="1"/>
  <c r="W815" i="1"/>
  <c r="AN815" i="1" s="1"/>
  <c r="AO815" i="1" s="1"/>
  <c r="U96" i="1"/>
  <c r="U114" i="1"/>
  <c r="V114" i="1" s="1"/>
  <c r="U409" i="1"/>
  <c r="V409" i="1" s="1"/>
  <c r="W587" i="1"/>
  <c r="AN587" i="1" s="1"/>
  <c r="AO587" i="1" s="1"/>
  <c r="W611" i="1"/>
  <c r="AN611" i="1" s="1"/>
  <c r="AO611" i="1" s="1"/>
  <c r="W662" i="1"/>
  <c r="AN662" i="1" s="1"/>
  <c r="AO662" i="1" s="1"/>
  <c r="M82" i="1"/>
  <c r="U82" i="1" s="1"/>
  <c r="AB82" i="1" s="1"/>
  <c r="U101" i="1"/>
  <c r="V101" i="1" s="1"/>
  <c r="M109" i="1"/>
  <c r="U109" i="1" s="1"/>
  <c r="U145" i="1"/>
  <c r="U170" i="1"/>
  <c r="M173" i="1"/>
  <c r="U173" i="1" s="1"/>
  <c r="M254" i="1"/>
  <c r="W596" i="1"/>
  <c r="AN596" i="1" s="1"/>
  <c r="AO596" i="1" s="1"/>
  <c r="M601" i="1"/>
  <c r="W613" i="1"/>
  <c r="AN613" i="1" s="1"/>
  <c r="AO613" i="1" s="1"/>
  <c r="W620" i="1"/>
  <c r="U620" i="1" s="1"/>
  <c r="W630" i="1"/>
  <c r="AN630" i="1" s="1"/>
  <c r="AO630" i="1" s="1"/>
  <c r="M645" i="1"/>
  <c r="M744" i="1"/>
  <c r="M746" i="1"/>
  <c r="M755" i="1"/>
  <c r="W757" i="1"/>
  <c r="AN757" i="1" s="1"/>
  <c r="AO757" i="1" s="1"/>
  <c r="W761" i="1"/>
  <c r="AN761" i="1" s="1"/>
  <c r="AO761" i="1" s="1"/>
  <c r="U374" i="1"/>
  <c r="U437" i="1"/>
  <c r="V437" i="1" s="1"/>
  <c r="W542" i="1"/>
  <c r="U542" i="1" s="1"/>
  <c r="W635" i="1"/>
  <c r="AN635" i="1" s="1"/>
  <c r="AO635" i="1" s="1"/>
  <c r="W800" i="1"/>
  <c r="U288" i="1"/>
  <c r="M482" i="1"/>
  <c r="M582" i="1"/>
  <c r="U582" i="1" s="1"/>
  <c r="W584" i="1"/>
  <c r="AN584" i="1" s="1"/>
  <c r="AO584" i="1" s="1"/>
  <c r="W605" i="1"/>
  <c r="AN605" i="1" s="1"/>
  <c r="AO605" i="1" s="1"/>
  <c r="M740" i="1"/>
  <c r="M775" i="1"/>
  <c r="U65" i="1"/>
  <c r="AN121" i="1"/>
  <c r="AO121" i="1" s="1"/>
  <c r="U271" i="1"/>
  <c r="V271" i="1" s="1"/>
  <c r="U332" i="1"/>
  <c r="M347" i="1"/>
  <c r="U347" i="1" s="1"/>
  <c r="V347" i="1" s="1"/>
  <c r="U403" i="1"/>
  <c r="V403" i="1" s="1"/>
  <c r="M424" i="1"/>
  <c r="U424" i="1" s="1"/>
  <c r="V424" i="1" s="1"/>
  <c r="U431" i="1"/>
  <c r="V431" i="1" s="1"/>
  <c r="W524" i="1"/>
  <c r="AN524" i="1" s="1"/>
  <c r="AO524" i="1" s="1"/>
  <c r="W633" i="1"/>
  <c r="M651" i="1"/>
  <c r="W684" i="1"/>
  <c r="AN684" i="1" s="1"/>
  <c r="AO684" i="1" s="1"/>
  <c r="M773" i="1"/>
  <c r="U89" i="1"/>
  <c r="V89" i="1" s="1"/>
  <c r="U110" i="1"/>
  <c r="U177" i="1"/>
  <c r="V177" i="1" s="1"/>
  <c r="U207" i="1"/>
  <c r="V207" i="1" s="1"/>
  <c r="U245" i="1"/>
  <c r="V245" i="1" s="1"/>
  <c r="W482" i="1"/>
  <c r="AN482" i="1" s="1"/>
  <c r="AO482" i="1" s="1"/>
  <c r="W552" i="1"/>
  <c r="AN552" i="1" s="1"/>
  <c r="AO552" i="1" s="1"/>
  <c r="W796" i="1"/>
  <c r="AN796" i="1" s="1"/>
  <c r="AO796" i="1" s="1"/>
  <c r="W646" i="1"/>
  <c r="AN646" i="1" s="1"/>
  <c r="AO646" i="1" s="1"/>
  <c r="W654" i="1"/>
  <c r="AN654" i="1" s="1"/>
  <c r="AO654" i="1" s="1"/>
  <c r="M694" i="1"/>
  <c r="M780" i="1"/>
  <c r="M249" i="1"/>
  <c r="U249" i="1" s="1"/>
  <c r="V249" i="1" s="1"/>
  <c r="M351" i="1"/>
  <c r="U351" i="1" s="1"/>
  <c r="V351" i="1" s="1"/>
  <c r="M387" i="1"/>
  <c r="M479" i="1"/>
  <c r="W555" i="1"/>
  <c r="AN555" i="1" s="1"/>
  <c r="AO555" i="1" s="1"/>
  <c r="W664" i="1"/>
  <c r="AN664" i="1" s="1"/>
  <c r="AO664" i="1" s="1"/>
  <c r="W674" i="1"/>
  <c r="AN674" i="1" s="1"/>
  <c r="AO674" i="1" s="1"/>
  <c r="W771" i="1"/>
  <c r="AN771" i="1" s="1"/>
  <c r="AO771" i="1" s="1"/>
  <c r="M778" i="1"/>
  <c r="M105" i="1"/>
  <c r="U105" i="1" s="1"/>
  <c r="V105" i="1" s="1"/>
  <c r="U330" i="1"/>
  <c r="V330" i="1" s="1"/>
  <c r="U357" i="1"/>
  <c r="M481" i="1"/>
  <c r="U100" i="1"/>
  <c r="V100" i="1" s="1"/>
  <c r="M108" i="1"/>
  <c r="M162" i="1"/>
  <c r="U162" i="1" s="1"/>
  <c r="V162" i="1" s="1"/>
  <c r="M175" i="1"/>
  <c r="U175" i="1" s="1"/>
  <c r="U184" i="1"/>
  <c r="V184" i="1" s="1"/>
  <c r="M214" i="1"/>
  <c r="U214" i="1" s="1"/>
  <c r="V214" i="1" s="1"/>
  <c r="U220" i="1"/>
  <c r="W521" i="1"/>
  <c r="AN521" i="1" s="1"/>
  <c r="AO521" i="1" s="1"/>
  <c r="W528" i="1"/>
  <c r="AN528" i="1" s="1"/>
  <c r="AO528" i="1" s="1"/>
  <c r="M690" i="1"/>
  <c r="M728" i="1"/>
  <c r="W754" i="1"/>
  <c r="AN754" i="1" s="1"/>
  <c r="AO754" i="1" s="1"/>
  <c r="M765" i="1"/>
  <c r="W778" i="1"/>
  <c r="AN778" i="1" s="1"/>
  <c r="AO778" i="1" s="1"/>
  <c r="M785" i="1"/>
  <c r="M9" i="1"/>
  <c r="U9" i="1" s="1"/>
  <c r="U3" i="1"/>
  <c r="V3" i="1" s="1"/>
  <c r="U19" i="1"/>
  <c r="V19" i="1" s="1"/>
  <c r="AN41" i="1"/>
  <c r="AO41" i="1" s="1"/>
  <c r="U66" i="1"/>
  <c r="V66" i="1" s="1"/>
  <c r="U313" i="1"/>
  <c r="V313" i="1" s="1"/>
  <c r="W660" i="1"/>
  <c r="AN660" i="1" s="1"/>
  <c r="AO660" i="1" s="1"/>
  <c r="M126" i="1"/>
  <c r="U126" i="1" s="1"/>
  <c r="U132" i="1"/>
  <c r="AB132" i="1" s="1"/>
  <c r="M208" i="1"/>
  <c r="U208" i="1" s="1"/>
  <c r="V208" i="1" s="1"/>
  <c r="U223" i="1"/>
  <c r="M243" i="1"/>
  <c r="U243" i="1" s="1"/>
  <c r="V243" i="1" s="1"/>
  <c r="U259" i="1"/>
  <c r="M382" i="1"/>
  <c r="U382" i="1" s="1"/>
  <c r="V382" i="1" s="1"/>
  <c r="U388" i="1"/>
  <c r="V388" i="1" s="1"/>
  <c r="M412" i="1"/>
  <c r="U412" i="1" s="1"/>
  <c r="V412" i="1" s="1"/>
  <c r="M504" i="1"/>
  <c r="U571" i="1"/>
  <c r="U576" i="1"/>
  <c r="V576" i="1" s="1"/>
  <c r="W578" i="1"/>
  <c r="AN578" i="1" s="1"/>
  <c r="AO578" i="1" s="1"/>
  <c r="M113" i="1"/>
  <c r="U113" i="1" s="1"/>
  <c r="Z113" i="1" s="1"/>
  <c r="AM113" i="1" s="1"/>
  <c r="M151" i="1"/>
  <c r="U151" i="1" s="1"/>
  <c r="M462" i="1"/>
  <c r="M20" i="1"/>
  <c r="U20" i="1" s="1"/>
  <c r="V20" i="1" s="1"/>
  <c r="M303" i="1"/>
  <c r="U303" i="1" s="1"/>
  <c r="V303" i="1" s="1"/>
  <c r="AB68" i="1"/>
  <c r="U373" i="1"/>
  <c r="U4" i="1"/>
  <c r="W22" i="1"/>
  <c r="U22" i="1" s="1"/>
  <c r="V22" i="1" s="1"/>
  <c r="M228" i="1"/>
  <c r="M95" i="1"/>
  <c r="M452" i="1"/>
  <c r="W525" i="1"/>
  <c r="AN525" i="1" s="1"/>
  <c r="AO525" i="1" s="1"/>
  <c r="M12" i="1"/>
  <c r="U12" i="1" s="1"/>
  <c r="M44" i="1"/>
  <c r="M298" i="1"/>
  <c r="U298" i="1" s="1"/>
  <c r="V298" i="1" s="1"/>
  <c r="M160" i="1"/>
  <c r="U160" i="1" s="1"/>
  <c r="V160" i="1" s="1"/>
  <c r="U219" i="1"/>
  <c r="V219" i="1" s="1"/>
  <c r="M87" i="1"/>
  <c r="U402" i="1"/>
  <c r="V402" i="1" s="1"/>
  <c r="AN402" i="1"/>
  <c r="AO402" i="1" s="1"/>
  <c r="M537" i="1"/>
  <c r="V50" i="1"/>
  <c r="AN38" i="1"/>
  <c r="AO38" i="1" s="1"/>
  <c r="U38" i="1"/>
  <c r="AG38" i="1" s="1"/>
  <c r="AN127" i="1"/>
  <c r="AO127" i="1" s="1"/>
  <c r="U127" i="1"/>
  <c r="V127" i="1" s="1"/>
  <c r="M329" i="1"/>
  <c r="M77" i="1"/>
  <c r="U77" i="1" s="1"/>
  <c r="M393" i="1"/>
  <c r="AN68" i="1"/>
  <c r="AO68" i="1" s="1"/>
  <c r="U216" i="1"/>
  <c r="U354" i="1"/>
  <c r="V354" i="1" s="1"/>
  <c r="W446" i="1"/>
  <c r="AN446" i="1" s="1"/>
  <c r="AO446" i="1" s="1"/>
  <c r="W607" i="1"/>
  <c r="AN607" i="1" s="1"/>
  <c r="AO607" i="1" s="1"/>
  <c r="W641" i="1"/>
  <c r="M654" i="1"/>
  <c r="M700" i="1"/>
  <c r="W731" i="1"/>
  <c r="AN731" i="1" s="1"/>
  <c r="AO731" i="1" s="1"/>
  <c r="M745" i="1"/>
  <c r="U745" i="1" s="1"/>
  <c r="W749" i="1"/>
  <c r="AN749" i="1" s="1"/>
  <c r="AO749" i="1" s="1"/>
  <c r="W752" i="1"/>
  <c r="AN752" i="1" s="1"/>
  <c r="AO752" i="1" s="1"/>
  <c r="M762" i="1"/>
  <c r="M772" i="1"/>
  <c r="M776" i="1"/>
  <c r="M783" i="1"/>
  <c r="U436" i="1"/>
  <c r="V436" i="1" s="1"/>
  <c r="W790" i="1"/>
  <c r="M11" i="1"/>
  <c r="U11" i="1" s="1"/>
  <c r="M16" i="1"/>
  <c r="U16" i="1" s="1"/>
  <c r="V16" i="1" s="1"/>
  <c r="U86" i="1"/>
  <c r="V86" i="1" s="1"/>
  <c r="M129" i="1"/>
  <c r="M137" i="1"/>
  <c r="U137" i="1" s="1"/>
  <c r="V137" i="1" s="1"/>
  <c r="U230" i="1"/>
  <c r="V230" i="1" s="1"/>
  <c r="M237" i="1"/>
  <c r="U237" i="1" s="1"/>
  <c r="V237" i="1" s="1"/>
  <c r="U264" i="1"/>
  <c r="M278" i="1"/>
  <c r="U278" i="1" s="1"/>
  <c r="V278" i="1" s="1"/>
  <c r="U312" i="1"/>
  <c r="V312" i="1" s="1"/>
  <c r="M322" i="1"/>
  <c r="U322" i="1" s="1"/>
  <c r="U326" i="1"/>
  <c r="U331" i="1"/>
  <c r="U404" i="1"/>
  <c r="V404" i="1" s="1"/>
  <c r="U416" i="1"/>
  <c r="W452" i="1"/>
  <c r="W488" i="1"/>
  <c r="AN488" i="1" s="1"/>
  <c r="AO488" i="1" s="1"/>
  <c r="W502" i="1"/>
  <c r="AN502" i="1" s="1"/>
  <c r="AO502" i="1" s="1"/>
  <c r="M505" i="1"/>
  <c r="M509" i="1"/>
  <c r="M553" i="1"/>
  <c r="U558" i="1"/>
  <c r="V558" i="1" s="1"/>
  <c r="M606" i="1"/>
  <c r="M610" i="1"/>
  <c r="M621" i="1"/>
  <c r="W627" i="1"/>
  <c r="AN627" i="1" s="1"/>
  <c r="AO627" i="1" s="1"/>
  <c r="W640" i="1"/>
  <c r="U640" i="1" s="1"/>
  <c r="M689" i="1"/>
  <c r="M696" i="1"/>
  <c r="M761" i="1"/>
  <c r="U761" i="1" s="1"/>
  <c r="AG761" i="1" s="1"/>
  <c r="W762" i="1"/>
  <c r="AN762" i="1" s="1"/>
  <c r="AO762" i="1" s="1"/>
  <c r="W772" i="1"/>
  <c r="AN772" i="1" s="1"/>
  <c r="AO772" i="1" s="1"/>
  <c r="M816" i="1"/>
  <c r="U148" i="1"/>
  <c r="V148" i="1" s="1"/>
  <c r="U153" i="1"/>
  <c r="U295" i="1"/>
  <c r="U380" i="1"/>
  <c r="V380" i="1" s="1"/>
  <c r="W553" i="1"/>
  <c r="AN553" i="1" s="1"/>
  <c r="AO553" i="1" s="1"/>
  <c r="U574" i="1"/>
  <c r="U609" i="1"/>
  <c r="V609" i="1" s="1"/>
  <c r="W621" i="1"/>
  <c r="W648" i="1"/>
  <c r="AN648" i="1" s="1"/>
  <c r="AO648" i="1" s="1"/>
  <c r="W672" i="1"/>
  <c r="AN672" i="1" s="1"/>
  <c r="AO672" i="1" s="1"/>
  <c r="W696" i="1"/>
  <c r="AN696" i="1" s="1"/>
  <c r="AO696" i="1" s="1"/>
  <c r="W806" i="1"/>
  <c r="AN806" i="1" s="1"/>
  <c r="AO806" i="1" s="1"/>
  <c r="W822" i="1"/>
  <c r="AN822" i="1" s="1"/>
  <c r="AO822" i="1" s="1"/>
  <c r="W838" i="1"/>
  <c r="U215" i="1"/>
  <c r="V215" i="1" s="1"/>
  <c r="U274" i="1"/>
  <c r="V274" i="1" s="1"/>
  <c r="U289" i="1"/>
  <c r="V289" i="1" s="1"/>
  <c r="U302" i="1"/>
  <c r="V302" i="1" s="1"/>
  <c r="U333" i="1"/>
  <c r="U363" i="1"/>
  <c r="V363" i="1" s="1"/>
  <c r="U377" i="1"/>
  <c r="V377" i="1" s="1"/>
  <c r="U387" i="1"/>
  <c r="V387" i="1" s="1"/>
  <c r="U413" i="1"/>
  <c r="U433" i="1"/>
  <c r="V433" i="1" s="1"/>
  <c r="W441" i="1"/>
  <c r="AN441" i="1" s="1"/>
  <c r="AO441" i="1" s="1"/>
  <c r="U445" i="1"/>
  <c r="Z445" i="1" s="1"/>
  <c r="AM445" i="1" s="1"/>
  <c r="W610" i="1"/>
  <c r="AN610" i="1" s="1"/>
  <c r="AO610" i="1" s="1"/>
  <c r="W639" i="1"/>
  <c r="AN639" i="1" s="1"/>
  <c r="AO639" i="1" s="1"/>
  <c r="M692" i="1"/>
  <c r="W748" i="1"/>
  <c r="AN748" i="1" s="1"/>
  <c r="AO748" i="1" s="1"/>
  <c r="W751" i="1"/>
  <c r="AN751" i="1" s="1"/>
  <c r="AO751" i="1" s="1"/>
  <c r="W760" i="1"/>
  <c r="AN760" i="1" s="1"/>
  <c r="AO760" i="1" s="1"/>
  <c r="W792" i="1"/>
  <c r="AN792" i="1" s="1"/>
  <c r="AO792" i="1" s="1"/>
  <c r="M812" i="1"/>
  <c r="W831" i="1"/>
  <c r="AN831" i="1" s="1"/>
  <c r="AO831" i="1" s="1"/>
  <c r="W834" i="1"/>
  <c r="AN834" i="1" s="1"/>
  <c r="AO834" i="1" s="1"/>
  <c r="M169" i="1"/>
  <c r="U169" i="1" s="1"/>
  <c r="V169" i="1" s="1"/>
  <c r="M277" i="1"/>
  <c r="U389" i="1"/>
  <c r="V389" i="1" s="1"/>
  <c r="U394" i="1"/>
  <c r="V394" i="1" s="1"/>
  <c r="W501" i="1"/>
  <c r="AN501" i="1" s="1"/>
  <c r="AO501" i="1" s="1"/>
  <c r="W532" i="1"/>
  <c r="AN532" i="1" s="1"/>
  <c r="AO532" i="1" s="1"/>
  <c r="W546" i="1"/>
  <c r="AN546" i="1" s="1"/>
  <c r="AO546" i="1" s="1"/>
  <c r="W616" i="1"/>
  <c r="AN616" i="1" s="1"/>
  <c r="AO616" i="1" s="1"/>
  <c r="W629" i="1"/>
  <c r="AN629" i="1" s="1"/>
  <c r="AO629" i="1" s="1"/>
  <c r="M661" i="1"/>
  <c r="W665" i="1"/>
  <c r="AN665" i="1" s="1"/>
  <c r="AO665" i="1" s="1"/>
  <c r="W695" i="1"/>
  <c r="AN695" i="1" s="1"/>
  <c r="AO695" i="1" s="1"/>
  <c r="M736" i="1"/>
  <c r="W756" i="1"/>
  <c r="AN756" i="1" s="1"/>
  <c r="AO756" i="1" s="1"/>
  <c r="W764" i="1"/>
  <c r="AN764" i="1" s="1"/>
  <c r="AO764" i="1" s="1"/>
  <c r="M774" i="1"/>
  <c r="W825" i="1"/>
  <c r="U825" i="1" s="1"/>
  <c r="W828" i="1"/>
  <c r="AN828" i="1" s="1"/>
  <c r="AO828" i="1" s="1"/>
  <c r="W840" i="1"/>
  <c r="AN840" i="1" s="1"/>
  <c r="AO840" i="1" s="1"/>
  <c r="M133" i="1"/>
  <c r="M212" i="1"/>
  <c r="U212" i="1" s="1"/>
  <c r="M226" i="1"/>
  <c r="U226" i="1" s="1"/>
  <c r="V226" i="1" s="1"/>
  <c r="M311" i="1"/>
  <c r="U311" i="1" s="1"/>
  <c r="V311" i="1" s="1"/>
  <c r="M316" i="1"/>
  <c r="U316" i="1" s="1"/>
  <c r="V316" i="1" s="1"/>
  <c r="W483" i="1"/>
  <c r="AN483" i="1" s="1"/>
  <c r="AO483" i="1" s="1"/>
  <c r="W496" i="1"/>
  <c r="AN496" i="1" s="1"/>
  <c r="AO496" i="1" s="1"/>
  <c r="W520" i="1"/>
  <c r="AN520" i="1" s="1"/>
  <c r="AO520" i="1" s="1"/>
  <c r="W535" i="1"/>
  <c r="AN535" i="1" s="1"/>
  <c r="AO535" i="1" s="1"/>
  <c r="W619" i="1"/>
  <c r="AN619" i="1" s="1"/>
  <c r="AO619" i="1" s="1"/>
  <c r="W661" i="1"/>
  <c r="AN661" i="1" s="1"/>
  <c r="AO661" i="1" s="1"/>
  <c r="M676" i="1"/>
  <c r="M698" i="1"/>
  <c r="W747" i="1"/>
  <c r="AN747" i="1" s="1"/>
  <c r="AO747" i="1" s="1"/>
  <c r="W788" i="1"/>
  <c r="AN788" i="1" s="1"/>
  <c r="AO788" i="1" s="1"/>
  <c r="W798" i="1"/>
  <c r="U798" i="1" s="1"/>
  <c r="U112" i="1"/>
  <c r="V112" i="1" s="1"/>
  <c r="U141" i="1"/>
  <c r="V141" i="1" s="1"/>
  <c r="U166" i="1"/>
  <c r="V166" i="1" s="1"/>
  <c r="U206" i="1"/>
  <c r="U248" i="1"/>
  <c r="V248" i="1" s="1"/>
  <c r="U304" i="1"/>
  <c r="V304" i="1" s="1"/>
  <c r="U360" i="1"/>
  <c r="V360" i="1" s="1"/>
  <c r="U384" i="1"/>
  <c r="V384" i="1" s="1"/>
  <c r="M450" i="1"/>
  <c r="U466" i="1"/>
  <c r="V466" i="1" s="1"/>
  <c r="M472" i="1"/>
  <c r="U472" i="1" s="1"/>
  <c r="AB472" i="1" s="1"/>
  <c r="W478" i="1"/>
  <c r="AN478" i="1" s="1"/>
  <c r="AO478" i="1" s="1"/>
  <c r="W511" i="1"/>
  <c r="AN511" i="1" s="1"/>
  <c r="AO511" i="1" s="1"/>
  <c r="W600" i="1"/>
  <c r="U600" i="1" s="1"/>
  <c r="W631" i="1"/>
  <c r="W637" i="1"/>
  <c r="U637" i="1" s="1"/>
  <c r="W643" i="1"/>
  <c r="AN643" i="1" s="1"/>
  <c r="AO643" i="1" s="1"/>
  <c r="W698" i="1"/>
  <c r="AN698" i="1" s="1"/>
  <c r="AO698" i="1" s="1"/>
  <c r="W750" i="1"/>
  <c r="AN750" i="1" s="1"/>
  <c r="AO750" i="1" s="1"/>
  <c r="W774" i="1"/>
  <c r="AN774" i="1" s="1"/>
  <c r="AO774" i="1" s="1"/>
  <c r="U396" i="1"/>
  <c r="V396" i="1" s="1"/>
  <c r="U398" i="1"/>
  <c r="V398" i="1" s="1"/>
  <c r="W450" i="1"/>
  <c r="AN450" i="1" s="1"/>
  <c r="AO450" i="1" s="1"/>
  <c r="U584" i="1"/>
  <c r="AB584" i="1" s="1"/>
  <c r="W604" i="1"/>
  <c r="W608" i="1"/>
  <c r="AN608" i="1" s="1"/>
  <c r="AO608" i="1" s="1"/>
  <c r="W612" i="1"/>
  <c r="AN612" i="1" s="1"/>
  <c r="AO612" i="1" s="1"/>
  <c r="W673" i="1"/>
  <c r="AN673" i="1" s="1"/>
  <c r="AO673" i="1" s="1"/>
  <c r="W676" i="1"/>
  <c r="AN676" i="1" s="1"/>
  <c r="AO676" i="1" s="1"/>
  <c r="W681" i="1"/>
  <c r="AN681" i="1" s="1"/>
  <c r="AO681" i="1" s="1"/>
  <c r="W691" i="1"/>
  <c r="AN691" i="1" s="1"/>
  <c r="AO691" i="1" s="1"/>
  <c r="W713" i="1"/>
  <c r="AN713" i="1" s="1"/>
  <c r="AO713" i="1" s="1"/>
  <c r="W716" i="1"/>
  <c r="AN716" i="1" s="1"/>
  <c r="AO716" i="1" s="1"/>
  <c r="W719" i="1"/>
  <c r="AN719" i="1" s="1"/>
  <c r="AO719" i="1" s="1"/>
  <c r="W739" i="1"/>
  <c r="AN739" i="1" s="1"/>
  <c r="AO739" i="1" s="1"/>
  <c r="W753" i="1"/>
  <c r="AN753" i="1" s="1"/>
  <c r="AO753" i="1" s="1"/>
  <c r="W758" i="1"/>
  <c r="AN758" i="1" s="1"/>
  <c r="AO758" i="1" s="1"/>
  <c r="W763" i="1"/>
  <c r="AN763" i="1" s="1"/>
  <c r="AO763" i="1" s="1"/>
  <c r="W781" i="1"/>
  <c r="AN781" i="1" s="1"/>
  <c r="AO781" i="1" s="1"/>
  <c r="U117" i="1"/>
  <c r="V117" i="1" s="1"/>
  <c r="U163" i="1"/>
  <c r="V163" i="1" s="1"/>
  <c r="U168" i="1"/>
  <c r="V168" i="1" s="1"/>
  <c r="U180" i="1"/>
  <c r="V180" i="1" s="1"/>
  <c r="M315" i="1"/>
  <c r="U315" i="1" s="1"/>
  <c r="M327" i="1"/>
  <c r="U327" i="1" s="1"/>
  <c r="V327" i="1" s="1"/>
  <c r="W514" i="1"/>
  <c r="AN514" i="1" s="1"/>
  <c r="AO514" i="1" s="1"/>
  <c r="U541" i="1"/>
  <c r="AE541" i="1" s="1"/>
  <c r="W599" i="1"/>
  <c r="AN599" i="1" s="1"/>
  <c r="AO599" i="1" s="1"/>
  <c r="W642" i="1"/>
  <c r="W694" i="1"/>
  <c r="AN694" i="1" s="1"/>
  <c r="AO694" i="1" s="1"/>
  <c r="W735" i="1"/>
  <c r="AN735" i="1" s="1"/>
  <c r="AO735" i="1" s="1"/>
  <c r="U56" i="1"/>
  <c r="AE56" i="1" s="1"/>
  <c r="AM56" i="1" s="1"/>
  <c r="V79" i="1"/>
  <c r="V241" i="1"/>
  <c r="U17" i="1"/>
  <c r="U47" i="1"/>
  <c r="AN50" i="1"/>
  <c r="AO50" i="1" s="1"/>
  <c r="Z68" i="1"/>
  <c r="AM68" i="1" s="1"/>
  <c r="AN78" i="1"/>
  <c r="AO78" i="1" s="1"/>
  <c r="AN79" i="1"/>
  <c r="AO79" i="1" s="1"/>
  <c r="U97" i="1"/>
  <c r="V97" i="1" s="1"/>
  <c r="M143" i="1"/>
  <c r="U143" i="1" s="1"/>
  <c r="V143" i="1" s="1"/>
  <c r="V179" i="1"/>
  <c r="M251" i="1"/>
  <c r="U251" i="1" s="1"/>
  <c r="V251" i="1" s="1"/>
  <c r="M257" i="1"/>
  <c r="U257" i="1" s="1"/>
  <c r="V257" i="1" s="1"/>
  <c r="U10" i="1"/>
  <c r="V10" i="1" s="1"/>
  <c r="U122" i="1"/>
  <c r="U130" i="1"/>
  <c r="U133" i="1"/>
  <c r="AB133" i="1" s="1"/>
  <c r="U142" i="1"/>
  <c r="V142" i="1" s="1"/>
  <c r="AN142" i="1"/>
  <c r="AO142" i="1" s="1"/>
  <c r="U224" i="1"/>
  <c r="V224" i="1" s="1"/>
  <c r="M262" i="1"/>
  <c r="U262" i="1" s="1"/>
  <c r="U277" i="1"/>
  <c r="M280" i="1"/>
  <c r="U280" i="1" s="1"/>
  <c r="V280" i="1" s="1"/>
  <c r="M287" i="1"/>
  <c r="U287" i="1" s="1"/>
  <c r="V287" i="1" s="1"/>
  <c r="AB121" i="1"/>
  <c r="M165" i="1"/>
  <c r="U165" i="1" s="1"/>
  <c r="U171" i="1"/>
  <c r="M239" i="1"/>
  <c r="U239" i="1" s="1"/>
  <c r="V239" i="1" s="1"/>
  <c r="M250" i="1"/>
  <c r="U250" i="1" s="1"/>
  <c r="V250" i="1" s="1"/>
  <c r="M253" i="1"/>
  <c r="U253" i="1" s="1"/>
  <c r="V253" i="1" s="1"/>
  <c r="V383" i="1"/>
  <c r="M93" i="1"/>
  <c r="U93" i="1" s="1"/>
  <c r="M102" i="1"/>
  <c r="U102" i="1" s="1"/>
  <c r="V121" i="1"/>
  <c r="M125" i="1"/>
  <c r="U125" i="1" s="1"/>
  <c r="U286" i="1"/>
  <c r="AN286" i="1"/>
  <c r="AO286" i="1" s="1"/>
  <c r="M46" i="1"/>
  <c r="U46" i="1" s="1"/>
  <c r="V46" i="1" s="1"/>
  <c r="U30" i="1"/>
  <c r="U90" i="1"/>
  <c r="V90" i="1" s="1"/>
  <c r="U106" i="1"/>
  <c r="AB106" i="1" s="1"/>
  <c r="M120" i="1"/>
  <c r="U120" i="1" s="1"/>
  <c r="M136" i="1"/>
  <c r="M140" i="1"/>
  <c r="U140" i="1" s="1"/>
  <c r="V140" i="1" s="1"/>
  <c r="M174" i="1"/>
  <c r="U174" i="1" s="1"/>
  <c r="M201" i="1"/>
  <c r="U201" i="1" s="1"/>
  <c r="V201" i="1" s="1"/>
  <c r="U238" i="1"/>
  <c r="V238" i="1" s="1"/>
  <c r="M256" i="1"/>
  <c r="U256" i="1" s="1"/>
  <c r="V256" i="1" s="1"/>
  <c r="Z121" i="1"/>
  <c r="AM121" i="1" s="1"/>
  <c r="AN33" i="1"/>
  <c r="AO33" i="1" s="1"/>
  <c r="W36" i="1"/>
  <c r="V41" i="1"/>
  <c r="M60" i="1"/>
  <c r="U83" i="1"/>
  <c r="V83" i="1" s="1"/>
  <c r="U92" i="1"/>
  <c r="V92" i="1" s="1"/>
  <c r="U135" i="1"/>
  <c r="Z135" i="1" s="1"/>
  <c r="AM135" i="1" s="1"/>
  <c r="U144" i="1"/>
  <c r="U157" i="1"/>
  <c r="V157" i="1" s="1"/>
  <c r="U164" i="1"/>
  <c r="U200" i="1"/>
  <c r="V200" i="1" s="1"/>
  <c r="U229" i="1"/>
  <c r="V229" i="1" s="1"/>
  <c r="AN470" i="1"/>
  <c r="AO470" i="1" s="1"/>
  <c r="U21" i="1"/>
  <c r="AN136" i="1"/>
  <c r="AO136" i="1" s="1"/>
  <c r="M261" i="1"/>
  <c r="U261" i="1" s="1"/>
  <c r="V261" i="1" s="1"/>
  <c r="U14" i="1"/>
  <c r="V14" i="1" s="1"/>
  <c r="AE41" i="1"/>
  <c r="AM41" i="1" s="1"/>
  <c r="V65" i="1"/>
  <c r="AB124" i="1"/>
  <c r="U149" i="1"/>
  <c r="V149" i="1" s="1"/>
  <c r="U152" i="1"/>
  <c r="V152" i="1" s="1"/>
  <c r="U258" i="1"/>
  <c r="V258" i="1" s="1"/>
  <c r="M270" i="1"/>
  <c r="U270" i="1" s="1"/>
  <c r="V270" i="1" s="1"/>
  <c r="U348" i="1"/>
  <c r="AN72" i="1"/>
  <c r="AO72" i="1" s="1"/>
  <c r="U95" i="1"/>
  <c r="Z95" i="1" s="1"/>
  <c r="AM95" i="1" s="1"/>
  <c r="U108" i="1"/>
  <c r="AN124" i="1"/>
  <c r="AO124" i="1" s="1"/>
  <c r="U134" i="1"/>
  <c r="V134" i="1" s="1"/>
  <c r="M244" i="1"/>
  <c r="U244" i="1" s="1"/>
  <c r="M246" i="1"/>
  <c r="U246" i="1" s="1"/>
  <c r="V246" i="1" s="1"/>
  <c r="V288" i="1"/>
  <c r="U447" i="1"/>
  <c r="V447" i="1" s="1"/>
  <c r="V68" i="1"/>
  <c r="M204" i="1"/>
  <c r="U204" i="1" s="1"/>
  <c r="M218" i="1"/>
  <c r="U218" i="1" s="1"/>
  <c r="V218" i="1" s="1"/>
  <c r="M284" i="1"/>
  <c r="U284" i="1" s="1"/>
  <c r="V284" i="1" s="1"/>
  <c r="M146" i="1"/>
  <c r="U146" i="1" s="1"/>
  <c r="M236" i="1"/>
  <c r="U236" i="1" s="1"/>
  <c r="V236" i="1" s="1"/>
  <c r="AN288" i="1"/>
  <c r="AO288" i="1" s="1"/>
  <c r="U293" i="1"/>
  <c r="V293" i="1" s="1"/>
  <c r="M294" i="1"/>
  <c r="U294" i="1" s="1"/>
  <c r="V294" i="1" s="1"/>
  <c r="U320" i="1"/>
  <c r="V320" i="1" s="1"/>
  <c r="AN354" i="1"/>
  <c r="AO354" i="1" s="1"/>
  <c r="M392" i="1"/>
  <c r="U392" i="1" s="1"/>
  <c r="V392" i="1" s="1"/>
  <c r="U407" i="1"/>
  <c r="V407" i="1" s="1"/>
  <c r="U430" i="1"/>
  <c r="U454" i="1"/>
  <c r="V454" i="1" s="1"/>
  <c r="M460" i="1"/>
  <c r="U460" i="1" s="1"/>
  <c r="V460" i="1" s="1"/>
  <c r="M484" i="1"/>
  <c r="W494" i="1"/>
  <c r="AN494" i="1" s="1"/>
  <c r="AO494" i="1" s="1"/>
  <c r="U544" i="1"/>
  <c r="AG544" i="1" s="1"/>
  <c r="M463" i="1"/>
  <c r="U463" i="1" s="1"/>
  <c r="M564" i="1"/>
  <c r="U564" i="1" s="1"/>
  <c r="AN589" i="1"/>
  <c r="AO589" i="1" s="1"/>
  <c r="U589" i="1"/>
  <c r="AB589" i="1" s="1"/>
  <c r="M779" i="1"/>
  <c r="U240" i="1"/>
  <c r="V240" i="1" s="1"/>
  <c r="U247" i="1"/>
  <c r="U279" i="1"/>
  <c r="V279" i="1" s="1"/>
  <c r="M353" i="1"/>
  <c r="U353" i="1" s="1"/>
  <c r="V353" i="1" s="1"/>
  <c r="M369" i="1"/>
  <c r="U369" i="1" s="1"/>
  <c r="M376" i="1"/>
  <c r="U376" i="1" s="1"/>
  <c r="M386" i="1"/>
  <c r="U386" i="1" s="1"/>
  <c r="U391" i="1"/>
  <c r="V391" i="1" s="1"/>
  <c r="U397" i="1"/>
  <c r="M406" i="1"/>
  <c r="U406" i="1" s="1"/>
  <c r="W444" i="1"/>
  <c r="AN444" i="1" s="1"/>
  <c r="AO444" i="1" s="1"/>
  <c r="M448" i="1"/>
  <c r="M674" i="1"/>
  <c r="AN582" i="1"/>
  <c r="AO582" i="1" s="1"/>
  <c r="M616" i="1"/>
  <c r="U616" i="1" s="1"/>
  <c r="AB616" i="1" s="1"/>
  <c r="M635" i="1"/>
  <c r="U756" i="1"/>
  <c r="AG756" i="1" s="1"/>
  <c r="M806" i="1"/>
  <c r="U155" i="1"/>
  <c r="V155" i="1" s="1"/>
  <c r="U273" i="1"/>
  <c r="V273" i="1" s="1"/>
  <c r="U283" i="1"/>
  <c r="V283" i="1" s="1"/>
  <c r="M292" i="1"/>
  <c r="U292" i="1" s="1"/>
  <c r="V292" i="1" s="1"/>
  <c r="M307" i="1"/>
  <c r="U307" i="1" s="1"/>
  <c r="V307" i="1" s="1"/>
  <c r="M310" i="1"/>
  <c r="U310" i="1" s="1"/>
  <c r="V310" i="1" s="1"/>
  <c r="U368" i="1"/>
  <c r="U375" i="1"/>
  <c r="V375" i="1" s="1"/>
  <c r="M379" i="1"/>
  <c r="U379" i="1" s="1"/>
  <c r="V379" i="1" s="1"/>
  <c r="M390" i="1"/>
  <c r="U390" i="1" s="1"/>
  <c r="M419" i="1"/>
  <c r="U419" i="1" s="1"/>
  <c r="V419" i="1" s="1"/>
  <c r="U422" i="1"/>
  <c r="M429" i="1"/>
  <c r="U429" i="1" s="1"/>
  <c r="M453" i="1"/>
  <c r="U453" i="1" s="1"/>
  <c r="V453" i="1" s="1"/>
  <c r="M497" i="1"/>
  <c r="W512" i="1"/>
  <c r="AN512" i="1" s="1"/>
  <c r="AO512" i="1" s="1"/>
  <c r="W527" i="1"/>
  <c r="AN527" i="1" s="1"/>
  <c r="AO527" i="1" s="1"/>
  <c r="W543" i="1"/>
  <c r="U543" i="1" s="1"/>
  <c r="AN838" i="1"/>
  <c r="AO838" i="1" s="1"/>
  <c r="U838" i="1"/>
  <c r="Z838" i="1" s="1"/>
  <c r="U309" i="1"/>
  <c r="V309" i="1" s="1"/>
  <c r="U319" i="1"/>
  <c r="U361" i="1"/>
  <c r="V361" i="1" s="1"/>
  <c r="U462" i="1"/>
  <c r="V462" i="1" s="1"/>
  <c r="W477" i="1"/>
  <c r="AN477" i="1" s="1"/>
  <c r="AO477" i="1" s="1"/>
  <c r="M743" i="1"/>
  <c r="M747" i="1"/>
  <c r="M815" i="1"/>
  <c r="U815" i="1" s="1"/>
  <c r="W456" i="1"/>
  <c r="AN456" i="1" s="1"/>
  <c r="AO456" i="1" s="1"/>
  <c r="W497" i="1"/>
  <c r="AN497" i="1" s="1"/>
  <c r="AO497" i="1" s="1"/>
  <c r="W507" i="1"/>
  <c r="AN507" i="1" s="1"/>
  <c r="AO507" i="1" s="1"/>
  <c r="M529" i="1"/>
  <c r="M570" i="1"/>
  <c r="U570" i="1" s="1"/>
  <c r="M691" i="1"/>
  <c r="M334" i="1"/>
  <c r="U334" i="1" s="1"/>
  <c r="V334" i="1" s="1"/>
  <c r="M338" i="1"/>
  <c r="U338" i="1" s="1"/>
  <c r="V338" i="1" s="1"/>
  <c r="U378" i="1"/>
  <c r="V378" i="1" s="1"/>
  <c r="M520" i="1"/>
  <c r="M526" i="1"/>
  <c r="W529" i="1"/>
  <c r="AN529" i="1" s="1"/>
  <c r="AO529" i="1" s="1"/>
  <c r="W591" i="1"/>
  <c r="AN591" i="1" s="1"/>
  <c r="AO591" i="1" s="1"/>
  <c r="AN631" i="1"/>
  <c r="AO631" i="1" s="1"/>
  <c r="U631" i="1"/>
  <c r="AG631" i="1" s="1"/>
  <c r="U255" i="1"/>
  <c r="V255" i="1" s="1"/>
  <c r="U282" i="1"/>
  <c r="V282" i="1" s="1"/>
  <c r="U290" i="1"/>
  <c r="M300" i="1"/>
  <c r="U300" i="1" s="1"/>
  <c r="V300" i="1" s="1"/>
  <c r="U371" i="1"/>
  <c r="V371" i="1" s="1"/>
  <c r="U393" i="1"/>
  <c r="V393" i="1" s="1"/>
  <c r="U428" i="1"/>
  <c r="V428" i="1" s="1"/>
  <c r="U473" i="1"/>
  <c r="AB473" i="1" s="1"/>
  <c r="M502" i="1"/>
  <c r="M622" i="1"/>
  <c r="M735" i="1"/>
  <c r="U735" i="1" s="1"/>
  <c r="U758" i="1"/>
  <c r="AG758" i="1" s="1"/>
  <c r="M763" i="1"/>
  <c r="U414" i="1"/>
  <c r="U417" i="1"/>
  <c r="V417" i="1" s="1"/>
  <c r="U461" i="1"/>
  <c r="V461" i="1" s="1"/>
  <c r="U123" i="1"/>
  <c r="V123" i="1" s="1"/>
  <c r="U242" i="1"/>
  <c r="V242" i="1" s="1"/>
  <c r="U267" i="1"/>
  <c r="V267" i="1" s="1"/>
  <c r="U299" i="1"/>
  <c r="V299" i="1" s="1"/>
  <c r="M317" i="1"/>
  <c r="U317" i="1" s="1"/>
  <c r="V317" i="1" s="1"/>
  <c r="M421" i="1"/>
  <c r="U421" i="1" s="1"/>
  <c r="V421" i="1" s="1"/>
  <c r="U451" i="1"/>
  <c r="AN461" i="1"/>
  <c r="AO461" i="1" s="1"/>
  <c r="M468" i="1"/>
  <c r="U468" i="1" s="1"/>
  <c r="V468" i="1" s="1"/>
  <c r="W480" i="1"/>
  <c r="M636" i="1"/>
  <c r="U370" i="1"/>
  <c r="U513" i="1"/>
  <c r="V513" i="1" s="1"/>
  <c r="U531" i="1"/>
  <c r="AE531" i="1" s="1"/>
  <c r="W545" i="1"/>
  <c r="AN545" i="1" s="1"/>
  <c r="AO545" i="1" s="1"/>
  <c r="M580" i="1"/>
  <c r="M617" i="1"/>
  <c r="M703" i="1"/>
  <c r="U757" i="1"/>
  <c r="AG757" i="1" s="1"/>
  <c r="M807" i="1"/>
  <c r="W526" i="1"/>
  <c r="AN526" i="1" s="1"/>
  <c r="AO526" i="1" s="1"/>
  <c r="U561" i="1"/>
  <c r="W590" i="1"/>
  <c r="AN590" i="1" s="1"/>
  <c r="AO590" i="1" s="1"/>
  <c r="W601" i="1"/>
  <c r="AN601" i="1" s="1"/>
  <c r="AO601" i="1" s="1"/>
  <c r="W602" i="1"/>
  <c r="U602" i="1" s="1"/>
  <c r="U657" i="1"/>
  <c r="AE657" i="1" s="1"/>
  <c r="W658" i="1"/>
  <c r="AN658" i="1" s="1"/>
  <c r="AO658" i="1" s="1"/>
  <c r="W680" i="1"/>
  <c r="AN680" i="1" s="1"/>
  <c r="AO680" i="1" s="1"/>
  <c r="W687" i="1"/>
  <c r="AN687" i="1" s="1"/>
  <c r="AO687" i="1" s="1"/>
  <c r="W692" i="1"/>
  <c r="AN692" i="1" s="1"/>
  <c r="AO692" i="1" s="1"/>
  <c r="W729" i="1"/>
  <c r="AN729" i="1" s="1"/>
  <c r="AO729" i="1" s="1"/>
  <c r="W737" i="1"/>
  <c r="AN737" i="1" s="1"/>
  <c r="AO737" i="1" s="1"/>
  <c r="W744" i="1"/>
  <c r="W765" i="1"/>
  <c r="AN765" i="1" s="1"/>
  <c r="AO765" i="1" s="1"/>
  <c r="W768" i="1"/>
  <c r="AN768" i="1" s="1"/>
  <c r="AO768" i="1" s="1"/>
  <c r="W789" i="1"/>
  <c r="AN789" i="1" s="1"/>
  <c r="AO789" i="1" s="1"/>
  <c r="W793" i="1"/>
  <c r="AN793" i="1" s="1"/>
  <c r="AO793" i="1" s="1"/>
  <c r="U796" i="1"/>
  <c r="V796" i="1" s="1"/>
  <c r="U471" i="1"/>
  <c r="AB471" i="1" s="1"/>
  <c r="U474" i="1"/>
  <c r="W509" i="1"/>
  <c r="AN509" i="1" s="1"/>
  <c r="AO509" i="1" s="1"/>
  <c r="M530" i="1"/>
  <c r="U530" i="1" s="1"/>
  <c r="V530" i="1" s="1"/>
  <c r="W549" i="1"/>
  <c r="U549" i="1" s="1"/>
  <c r="W581" i="1"/>
  <c r="AN581" i="1" s="1"/>
  <c r="AO581" i="1" s="1"/>
  <c r="W588" i="1"/>
  <c r="AN588" i="1" s="1"/>
  <c r="AO588" i="1" s="1"/>
  <c r="W594" i="1"/>
  <c r="AN594" i="1" s="1"/>
  <c r="AO594" i="1" s="1"/>
  <c r="M608" i="1"/>
  <c r="M615" i="1"/>
  <c r="M626" i="1"/>
  <c r="W636" i="1"/>
  <c r="AN636" i="1" s="1"/>
  <c r="AO636" i="1" s="1"/>
  <c r="U660" i="1"/>
  <c r="AG660" i="1" s="1"/>
  <c r="M667" i="1"/>
  <c r="M686" i="1"/>
  <c r="M695" i="1"/>
  <c r="M699" i="1"/>
  <c r="W728" i="1"/>
  <c r="AN728" i="1" s="1"/>
  <c r="AO728" i="1" s="1"/>
  <c r="M734" i="1"/>
  <c r="W736" i="1"/>
  <c r="AN736" i="1" s="1"/>
  <c r="AO736" i="1" s="1"/>
  <c r="M742" i="1"/>
  <c r="M748" i="1"/>
  <c r="M749" i="1"/>
  <c r="M750" i="1"/>
  <c r="M751" i="1"/>
  <c r="W775" i="1"/>
  <c r="AN775" i="1" s="1"/>
  <c r="AO775" i="1" s="1"/>
  <c r="W780" i="1"/>
  <c r="AN780" i="1" s="1"/>
  <c r="AO780" i="1" s="1"/>
  <c r="M784" i="1"/>
  <c r="M800" i="1"/>
  <c r="M810" i="1"/>
  <c r="W811" i="1"/>
  <c r="AN811" i="1" s="1"/>
  <c r="AO811" i="1" s="1"/>
  <c r="W816" i="1"/>
  <c r="AN816" i="1" s="1"/>
  <c r="AO816" i="1" s="1"/>
  <c r="U771" i="1"/>
  <c r="Z771" i="1" s="1"/>
  <c r="W841" i="1"/>
  <c r="U841" i="1" s="1"/>
  <c r="M545" i="1"/>
  <c r="W554" i="1"/>
  <c r="AN554" i="1" s="1"/>
  <c r="AO554" i="1" s="1"/>
  <c r="M587" i="1"/>
  <c r="U587" i="1" s="1"/>
  <c r="AE587" i="1" s="1"/>
  <c r="M599" i="1"/>
  <c r="M618" i="1"/>
  <c r="W625" i="1"/>
  <c r="AN625" i="1" s="1"/>
  <c r="AO625" i="1" s="1"/>
  <c r="W626" i="1"/>
  <c r="AN626" i="1" s="1"/>
  <c r="AO626" i="1" s="1"/>
  <c r="W670" i="1"/>
  <c r="AN670" i="1" s="1"/>
  <c r="AO670" i="1" s="1"/>
  <c r="M678" i="1"/>
  <c r="W686" i="1"/>
  <c r="AN686" i="1" s="1"/>
  <c r="AO686" i="1" s="1"/>
  <c r="W706" i="1"/>
  <c r="W715" i="1"/>
  <c r="AN715" i="1" s="1"/>
  <c r="AO715" i="1" s="1"/>
  <c r="W721" i="1"/>
  <c r="AN721" i="1" s="1"/>
  <c r="AO721" i="1" s="1"/>
  <c r="W724" i="1"/>
  <c r="AN724" i="1" s="1"/>
  <c r="AO724" i="1" s="1"/>
  <c r="M733" i="1"/>
  <c r="W734" i="1"/>
  <c r="AN734" i="1" s="1"/>
  <c r="AO734" i="1" s="1"/>
  <c r="M741" i="1"/>
  <c r="W742" i="1"/>
  <c r="AN742" i="1" s="1"/>
  <c r="AO742" i="1" s="1"/>
  <c r="W779" i="1"/>
  <c r="AN779" i="1" s="1"/>
  <c r="AO779" i="1" s="1"/>
  <c r="W784" i="1"/>
  <c r="AN784" i="1" s="1"/>
  <c r="AO784" i="1" s="1"/>
  <c r="W819" i="1"/>
  <c r="AN819" i="1" s="1"/>
  <c r="AO819" i="1" s="1"/>
  <c r="W826" i="1"/>
  <c r="AN826" i="1" s="1"/>
  <c r="AO826" i="1" s="1"/>
  <c r="W634" i="1"/>
  <c r="U634" i="1" s="1"/>
  <c r="W678" i="1"/>
  <c r="AN678" i="1" s="1"/>
  <c r="AO678" i="1" s="1"/>
  <c r="W690" i="1"/>
  <c r="AN690" i="1" s="1"/>
  <c r="AO690" i="1" s="1"/>
  <c r="W810" i="1"/>
  <c r="AN810" i="1" s="1"/>
  <c r="AO810" i="1" s="1"/>
  <c r="W814" i="1"/>
  <c r="AN814" i="1" s="1"/>
  <c r="AO814" i="1" s="1"/>
  <c r="W606" i="1"/>
  <c r="M770" i="1"/>
  <c r="M777" i="1"/>
  <c r="W580" i="1"/>
  <c r="AN580" i="1" s="1"/>
  <c r="AO580" i="1" s="1"/>
  <c r="M649" i="1"/>
  <c r="M669" i="1"/>
  <c r="W689" i="1"/>
  <c r="AN689" i="1" s="1"/>
  <c r="AO689" i="1" s="1"/>
  <c r="W733" i="1"/>
  <c r="AN733" i="1" s="1"/>
  <c r="AO733" i="1" s="1"/>
  <c r="W741" i="1"/>
  <c r="AN741" i="1" s="1"/>
  <c r="AO741" i="1" s="1"/>
  <c r="M782" i="1"/>
  <c r="W783" i="1"/>
  <c r="AN783" i="1" s="1"/>
  <c r="AO783" i="1" s="1"/>
  <c r="W804" i="1"/>
  <c r="AN804" i="1" s="1"/>
  <c r="AO804" i="1" s="1"/>
  <c r="U475" i="1"/>
  <c r="W491" i="1"/>
  <c r="U491" i="1" s="1"/>
  <c r="AB491" i="1" s="1"/>
  <c r="M551" i="1"/>
  <c r="W652" i="1"/>
  <c r="AN652" i="1" s="1"/>
  <c r="AO652" i="1" s="1"/>
  <c r="W656" i="1"/>
  <c r="AN656" i="1" s="1"/>
  <c r="AO656" i="1" s="1"/>
  <c r="W669" i="1"/>
  <c r="AN669" i="1" s="1"/>
  <c r="AO669" i="1" s="1"/>
  <c r="W677" i="1"/>
  <c r="AN677" i="1" s="1"/>
  <c r="AO677" i="1" s="1"/>
  <c r="M688" i="1"/>
  <c r="M693" i="1"/>
  <c r="M697" i="1"/>
  <c r="W711" i="1"/>
  <c r="AN711" i="1" s="1"/>
  <c r="AO711" i="1" s="1"/>
  <c r="W714" i="1"/>
  <c r="AN714" i="1" s="1"/>
  <c r="AO714" i="1" s="1"/>
  <c r="W717" i="1"/>
  <c r="AN717" i="1" s="1"/>
  <c r="AO717" i="1" s="1"/>
  <c r="W720" i="1"/>
  <c r="AN720" i="1" s="1"/>
  <c r="AO720" i="1" s="1"/>
  <c r="W723" i="1"/>
  <c r="AN723" i="1" s="1"/>
  <c r="AO723" i="1" s="1"/>
  <c r="W732" i="1"/>
  <c r="AN732" i="1" s="1"/>
  <c r="AO732" i="1" s="1"/>
  <c r="W740" i="1"/>
  <c r="AN740" i="1" s="1"/>
  <c r="AO740" i="1" s="1"/>
  <c r="W770" i="1"/>
  <c r="AN770" i="1" s="1"/>
  <c r="AO770" i="1" s="1"/>
  <c r="W777" i="1"/>
  <c r="AN777" i="1" s="1"/>
  <c r="AO777" i="1" s="1"/>
  <c r="W829" i="1"/>
  <c r="W485" i="1"/>
  <c r="AN485" i="1" s="1"/>
  <c r="AO485" i="1" s="1"/>
  <c r="W498" i="1"/>
  <c r="AN498" i="1" s="1"/>
  <c r="AO498" i="1" s="1"/>
  <c r="W510" i="1"/>
  <c r="AN510" i="1" s="1"/>
  <c r="AO510" i="1" s="1"/>
  <c r="U521" i="1"/>
  <c r="V521" i="1" s="1"/>
  <c r="W551" i="1"/>
  <c r="AN551" i="1" s="1"/>
  <c r="AO551" i="1" s="1"/>
  <c r="W579" i="1"/>
  <c r="AN579" i="1" s="1"/>
  <c r="AO579" i="1" s="1"/>
  <c r="W598" i="1"/>
  <c r="W693" i="1"/>
  <c r="AN693" i="1" s="1"/>
  <c r="AO693" i="1" s="1"/>
  <c r="W697" i="1"/>
  <c r="AN697" i="1" s="1"/>
  <c r="AO697" i="1" s="1"/>
  <c r="U759" i="1"/>
  <c r="AB759" i="1" s="1"/>
  <c r="W766" i="1"/>
  <c r="AN766" i="1" s="1"/>
  <c r="AO766" i="1" s="1"/>
  <c r="U781" i="1"/>
  <c r="AB781" i="1" s="1"/>
  <c r="W802" i="1"/>
  <c r="AN802" i="1" s="1"/>
  <c r="AO802" i="1" s="1"/>
  <c r="U569" i="1"/>
  <c r="U572" i="1"/>
  <c r="V572" i="1" s="1"/>
  <c r="U575" i="1"/>
  <c r="V575" i="1" s="1"/>
  <c r="W583" i="1"/>
  <c r="AN583" i="1" s="1"/>
  <c r="AO583" i="1" s="1"/>
  <c r="W592" i="1"/>
  <c r="AN592" i="1" s="1"/>
  <c r="AO592" i="1" s="1"/>
  <c r="W603" i="1"/>
  <c r="AN603" i="1" s="1"/>
  <c r="AO603" i="1" s="1"/>
  <c r="W623" i="1"/>
  <c r="AN623" i="1" s="1"/>
  <c r="AO623" i="1" s="1"/>
  <c r="W655" i="1"/>
  <c r="AN655" i="1" s="1"/>
  <c r="AO655" i="1" s="1"/>
  <c r="W688" i="1"/>
  <c r="AN688" i="1" s="1"/>
  <c r="AO688" i="1" s="1"/>
  <c r="W730" i="1"/>
  <c r="AN730" i="1" s="1"/>
  <c r="AO730" i="1" s="1"/>
  <c r="U737" i="1"/>
  <c r="Z737" i="1" s="1"/>
  <c r="W738" i="1"/>
  <c r="AN738" i="1" s="1"/>
  <c r="AO738" i="1" s="1"/>
  <c r="U746" i="1"/>
  <c r="Z746" i="1" s="1"/>
  <c r="W782" i="1"/>
  <c r="AN782" i="1" s="1"/>
  <c r="AO782" i="1" s="1"/>
  <c r="W813" i="1"/>
  <c r="AN813" i="1" s="1"/>
  <c r="AO813" i="1" s="1"/>
  <c r="W632" i="1"/>
  <c r="AN632" i="1" s="1"/>
  <c r="AO632" i="1" s="1"/>
  <c r="W645" i="1"/>
  <c r="U645" i="1" s="1"/>
  <c r="W769" i="1"/>
  <c r="AN769" i="1" s="1"/>
  <c r="AO769" i="1" s="1"/>
  <c r="W776" i="1"/>
  <c r="AN776" i="1" s="1"/>
  <c r="AO776" i="1" s="1"/>
  <c r="U6" i="1"/>
  <c r="AN6" i="1"/>
  <c r="AO6" i="1" s="1"/>
  <c r="AJ31" i="1"/>
  <c r="AM31" i="1" s="1"/>
  <c r="AL31" i="1"/>
  <c r="AJ33" i="1"/>
  <c r="AM33" i="1" s="1"/>
  <c r="AL33" i="1"/>
  <c r="U42" i="1"/>
  <c r="V23" i="1"/>
  <c r="U36" i="1"/>
  <c r="AN36" i="1"/>
  <c r="AO36" i="1" s="1"/>
  <c r="V21" i="1"/>
  <c r="AE45" i="1"/>
  <c r="V45" i="1"/>
  <c r="AG45" i="1"/>
  <c r="AB45" i="1"/>
  <c r="Z45" i="1"/>
  <c r="V11" i="1"/>
  <c r="V17" i="1"/>
  <c r="V5" i="1"/>
  <c r="V47" i="1"/>
  <c r="AG47" i="1"/>
  <c r="AE47" i="1"/>
  <c r="AM47" i="1" s="1"/>
  <c r="V4" i="1"/>
  <c r="V38" i="1"/>
  <c r="AG57" i="1"/>
  <c r="M58" i="1"/>
  <c r="AN37" i="1"/>
  <c r="AO37" i="1" s="1"/>
  <c r="AN59" i="1"/>
  <c r="AO59" i="1" s="1"/>
  <c r="V173" i="1"/>
  <c r="AN5" i="1"/>
  <c r="AO5" i="1" s="1"/>
  <c r="V8" i="1"/>
  <c r="V12" i="1"/>
  <c r="M13" i="1"/>
  <c r="U13" i="1" s="1"/>
  <c r="AJ35" i="1"/>
  <c r="AM35" i="1" s="1"/>
  <c r="AE38" i="1"/>
  <c r="M48" i="1"/>
  <c r="AE57" i="1"/>
  <c r="AM57" i="1" s="1"/>
  <c r="U84" i="1"/>
  <c r="U88" i="1"/>
  <c r="AN88" i="1"/>
  <c r="AO88" i="1" s="1"/>
  <c r="M127" i="1"/>
  <c r="AL35" i="1"/>
  <c r="AJ38" i="1"/>
  <c r="AN43" i="1"/>
  <c r="AO43" i="1" s="1"/>
  <c r="U43" i="1"/>
  <c r="U76" i="1"/>
  <c r="M104" i="1"/>
  <c r="U104" i="1" s="1"/>
  <c r="V109" i="1"/>
  <c r="V74" i="1"/>
  <c r="V128" i="1"/>
  <c r="U32" i="1"/>
  <c r="AL38" i="1"/>
  <c r="U81" i="1"/>
  <c r="M94" i="1"/>
  <c r="U94" i="1" s="1"/>
  <c r="W27" i="1"/>
  <c r="V39" i="1"/>
  <c r="AN45" i="1"/>
  <c r="AO45" i="1" s="1"/>
  <c r="U49" i="1"/>
  <c r="V49" i="1" s="1"/>
  <c r="U91" i="1"/>
  <c r="AN91" i="1"/>
  <c r="AO91" i="1" s="1"/>
  <c r="M53" i="1"/>
  <c r="U69" i="1"/>
  <c r="V72" i="1"/>
  <c r="AE39" i="1"/>
  <c r="AM39" i="1" s="1"/>
  <c r="U44" i="1"/>
  <c r="V51" i="1"/>
  <c r="U52" i="1"/>
  <c r="U64" i="1"/>
  <c r="V108" i="1"/>
  <c r="M116" i="1"/>
  <c r="U116" i="1" s="1"/>
  <c r="U34" i="1"/>
  <c r="AN34" i="1"/>
  <c r="AO34" i="1" s="1"/>
  <c r="V59" i="1"/>
  <c r="U54" i="1"/>
  <c r="M61" i="1"/>
  <c r="V30" i="1"/>
  <c r="U55" i="1"/>
  <c r="V75" i="1"/>
  <c r="V80" i="1"/>
  <c r="V102" i="1"/>
  <c r="U15" i="1"/>
  <c r="M63" i="1"/>
  <c r="U85" i="1"/>
  <c r="V96" i="1"/>
  <c r="M111" i="1"/>
  <c r="U111" i="1" s="1"/>
  <c r="AN129" i="1"/>
  <c r="AO129" i="1" s="1"/>
  <c r="U129" i="1"/>
  <c r="U186" i="1"/>
  <c r="AB114" i="1"/>
  <c r="M139" i="1"/>
  <c r="U139" i="1" s="1"/>
  <c r="V146" i="1"/>
  <c r="V326" i="1"/>
  <c r="M67" i="1"/>
  <c r="V78" i="1"/>
  <c r="M176" i="1"/>
  <c r="U176" i="1" s="1"/>
  <c r="M188" i="1"/>
  <c r="U188" i="1" s="1"/>
  <c r="M190" i="1"/>
  <c r="U190" i="1" s="1"/>
  <c r="M192" i="1"/>
  <c r="U192" i="1" s="1"/>
  <c r="M194" i="1"/>
  <c r="U194" i="1" s="1"/>
  <c r="M196" i="1"/>
  <c r="U196" i="1" s="1"/>
  <c r="M198" i="1"/>
  <c r="U198" i="1" s="1"/>
  <c r="U71" i="1"/>
  <c r="Z124" i="1"/>
  <c r="AM124" i="1" s="1"/>
  <c r="V145" i="1"/>
  <c r="U203" i="1"/>
  <c r="V82" i="1"/>
  <c r="V144" i="1"/>
  <c r="V171" i="1"/>
  <c r="V120" i="1"/>
  <c r="V151" i="1"/>
  <c r="M154" i="1"/>
  <c r="U154" i="1" s="1"/>
  <c r="M119" i="1"/>
  <c r="U119" i="1" s="1"/>
  <c r="M167" i="1"/>
  <c r="U167" i="1" s="1"/>
  <c r="M187" i="1"/>
  <c r="U187" i="1" s="1"/>
  <c r="M189" i="1"/>
  <c r="U189" i="1" s="1"/>
  <c r="M191" i="1"/>
  <c r="U191" i="1" s="1"/>
  <c r="M193" i="1"/>
  <c r="U193" i="1" s="1"/>
  <c r="M195" i="1"/>
  <c r="U195" i="1" s="1"/>
  <c r="M197" i="1"/>
  <c r="U197" i="1" s="1"/>
  <c r="U103" i="1"/>
  <c r="AB118" i="1"/>
  <c r="V118" i="1"/>
  <c r="V135" i="1"/>
  <c r="V136" i="1"/>
  <c r="V170" i="1"/>
  <c r="V133" i="1"/>
  <c r="M150" i="1"/>
  <c r="U150" i="1" s="1"/>
  <c r="M158" i="1"/>
  <c r="U158" i="1" s="1"/>
  <c r="M260" i="1"/>
  <c r="U260" i="1" s="1"/>
  <c r="L844" i="1"/>
  <c r="U225" i="1"/>
  <c r="AN225" i="1"/>
  <c r="AO225" i="1" s="1"/>
  <c r="U234" i="1"/>
  <c r="AN234" i="1"/>
  <c r="AO234" i="1" s="1"/>
  <c r="M269" i="1"/>
  <c r="U269" i="1" s="1"/>
  <c r="U285" i="1"/>
  <c r="M213" i="1"/>
  <c r="U213" i="1" s="1"/>
  <c r="M217" i="1"/>
  <c r="U217" i="1" s="1"/>
  <c r="M263" i="1"/>
  <c r="U263" i="1" s="1"/>
  <c r="M266" i="1"/>
  <c r="U266" i="1" s="1"/>
  <c r="M147" i="1"/>
  <c r="U147" i="1" s="1"/>
  <c r="U181" i="1"/>
  <c r="M182" i="1"/>
  <c r="U182" i="1" s="1"/>
  <c r="AN199" i="1"/>
  <c r="AO199" i="1" s="1"/>
  <c r="U199" i="1"/>
  <c r="V259" i="1"/>
  <c r="U337" i="1"/>
  <c r="AN337" i="1"/>
  <c r="AO337" i="1" s="1"/>
  <c r="M138" i="1"/>
  <c r="U138" i="1" s="1"/>
  <c r="M159" i="1"/>
  <c r="U159" i="1" s="1"/>
  <c r="U305" i="1"/>
  <c r="M172" i="1"/>
  <c r="U172" i="1" s="1"/>
  <c r="V216" i="1"/>
  <c r="V220" i="1"/>
  <c r="V247" i="1"/>
  <c r="V315" i="1"/>
  <c r="M328" i="1"/>
  <c r="U328" i="1" s="1"/>
  <c r="V223" i="1"/>
  <c r="U228" i="1"/>
  <c r="M232" i="1"/>
  <c r="U232" i="1" s="1"/>
  <c r="U254" i="1"/>
  <c r="U265" i="1"/>
  <c r="U268" i="1"/>
  <c r="M301" i="1"/>
  <c r="U301" i="1" s="1"/>
  <c r="M235" i="1"/>
  <c r="U235" i="1" s="1"/>
  <c r="V295" i="1"/>
  <c r="V319" i="1"/>
  <c r="V331" i="1"/>
  <c r="U342" i="1"/>
  <c r="AN342" i="1"/>
  <c r="AO342" i="1" s="1"/>
  <c r="U185" i="1"/>
  <c r="V211" i="1"/>
  <c r="V244" i="1"/>
  <c r="V321" i="1"/>
  <c r="U339" i="1"/>
  <c r="AN339" i="1"/>
  <c r="AO339" i="1" s="1"/>
  <c r="V264" i="1"/>
  <c r="V277" i="1"/>
  <c r="V290" i="1"/>
  <c r="M161" i="1"/>
  <c r="U161" i="1" s="1"/>
  <c r="U205" i="1"/>
  <c r="AN205" i="1"/>
  <c r="AO205" i="1" s="1"/>
  <c r="M252" i="1"/>
  <c r="U252" i="1" s="1"/>
  <c r="AN272" i="1"/>
  <c r="AO272" i="1" s="1"/>
  <c r="U272" i="1"/>
  <c r="V276" i="1"/>
  <c r="M306" i="1"/>
  <c r="U306" i="1" s="1"/>
  <c r="U314" i="1"/>
  <c r="U210" i="1"/>
  <c r="U222" i="1"/>
  <c r="U231" i="1"/>
  <c r="V374" i="1"/>
  <c r="V414" i="1"/>
  <c r="AN452" i="1"/>
  <c r="AO452" i="1" s="1"/>
  <c r="V474" i="1"/>
  <c r="M323" i="1"/>
  <c r="U323" i="1" s="1"/>
  <c r="V348" i="1"/>
  <c r="AG451" i="1"/>
  <c r="V451" i="1"/>
  <c r="M318" i="1"/>
  <c r="U318" i="1" s="1"/>
  <c r="AN458" i="1"/>
  <c r="AO458" i="1" s="1"/>
  <c r="U458" i="1"/>
  <c r="U221" i="1"/>
  <c r="U227" i="1"/>
  <c r="U233" i="1"/>
  <c r="U281" i="1"/>
  <c r="U308" i="1"/>
  <c r="U324" i="1"/>
  <c r="U329" i="1"/>
  <c r="M346" i="1"/>
  <c r="U346" i="1" s="1"/>
  <c r="M356" i="1"/>
  <c r="U356" i="1" s="1"/>
  <c r="V369" i="1"/>
  <c r="V430" i="1"/>
  <c r="U410" i="1"/>
  <c r="AN420" i="1"/>
  <c r="AO420" i="1" s="1"/>
  <c r="U420" i="1"/>
  <c r="AN449" i="1"/>
  <c r="AO449" i="1" s="1"/>
  <c r="U449" i="1"/>
  <c r="AN464" i="1"/>
  <c r="AO464" i="1" s="1"/>
  <c r="U464" i="1"/>
  <c r="V368" i="1"/>
  <c r="V376" i="1"/>
  <c r="V397" i="1"/>
  <c r="M325" i="1"/>
  <c r="U325" i="1" s="1"/>
  <c r="M343" i="1"/>
  <c r="U343" i="1" s="1"/>
  <c r="M344" i="1"/>
  <c r="U344" i="1" s="1"/>
  <c r="M350" i="1"/>
  <c r="U350" i="1" s="1"/>
  <c r="U355" i="1"/>
  <c r="V400" i="1"/>
  <c r="V413" i="1"/>
  <c r="V416" i="1"/>
  <c r="V475" i="1"/>
  <c r="U335" i="1"/>
  <c r="U336" i="1"/>
  <c r="U345" i="1"/>
  <c r="AN345" i="1"/>
  <c r="AO345" i="1" s="1"/>
  <c r="AN372" i="1"/>
  <c r="AO372" i="1" s="1"/>
  <c r="U372" i="1"/>
  <c r="V422" i="1"/>
  <c r="V429" i="1"/>
  <c r="M340" i="1"/>
  <c r="U340" i="1" s="1"/>
  <c r="M341" i="1"/>
  <c r="U341" i="1" s="1"/>
  <c r="V364" i="1"/>
  <c r="U399" i="1"/>
  <c r="U434" i="1"/>
  <c r="AE486" i="1"/>
  <c r="W504" i="1"/>
  <c r="AN504" i="1" s="1"/>
  <c r="AO504" i="1" s="1"/>
  <c r="Z530" i="1"/>
  <c r="AE530" i="1"/>
  <c r="AB544" i="1"/>
  <c r="Z544" i="1"/>
  <c r="V544" i="1"/>
  <c r="V358" i="1"/>
  <c r="M362" i="1"/>
  <c r="U362" i="1" s="1"/>
  <c r="M385" i="1"/>
  <c r="U385" i="1" s="1"/>
  <c r="M401" i="1"/>
  <c r="U401" i="1" s="1"/>
  <c r="M405" i="1"/>
  <c r="U405" i="1" s="1"/>
  <c r="M408" i="1"/>
  <c r="U408" i="1" s="1"/>
  <c r="M411" i="1"/>
  <c r="U411" i="1" s="1"/>
  <c r="M426" i="1"/>
  <c r="U426" i="1" s="1"/>
  <c r="M435" i="1"/>
  <c r="U435" i="1" s="1"/>
  <c r="M457" i="1"/>
  <c r="U457" i="1" s="1"/>
  <c r="V486" i="1"/>
  <c r="W503" i="1"/>
  <c r="AN503" i="1" s="1"/>
  <c r="AO503" i="1" s="1"/>
  <c r="U555" i="1"/>
  <c r="V570" i="1"/>
  <c r="W465" i="1"/>
  <c r="AN465" i="1" s="1"/>
  <c r="AO465" i="1" s="1"/>
  <c r="M467" i="1"/>
  <c r="U467" i="1" s="1"/>
  <c r="M483" i="1"/>
  <c r="W484" i="1"/>
  <c r="AN484" i="1" s="1"/>
  <c r="AO484" i="1" s="1"/>
  <c r="Z486" i="1"/>
  <c r="M349" i="1"/>
  <c r="U349" i="1" s="1"/>
  <c r="M352" i="1"/>
  <c r="U352" i="1" s="1"/>
  <c r="M366" i="1"/>
  <c r="U366" i="1" s="1"/>
  <c r="M441" i="1"/>
  <c r="U441" i="1" s="1"/>
  <c r="U480" i="1"/>
  <c r="AB486" i="1"/>
  <c r="AN455" i="1"/>
  <c r="AO455" i="1" s="1"/>
  <c r="M456" i="1"/>
  <c r="AN466" i="1"/>
  <c r="AO466" i="1" s="1"/>
  <c r="U415" i="1"/>
  <c r="U418" i="1"/>
  <c r="U427" i="1"/>
  <c r="M438" i="1"/>
  <c r="U438" i="1" s="1"/>
  <c r="X439" i="1"/>
  <c r="AN472" i="1"/>
  <c r="AO472" i="1" s="1"/>
  <c r="AC476" i="1"/>
  <c r="W476" i="1" s="1"/>
  <c r="AG486" i="1"/>
  <c r="M536" i="1"/>
  <c r="U536" i="1" s="1"/>
  <c r="M459" i="1"/>
  <c r="U459" i="1" s="1"/>
  <c r="W515" i="1"/>
  <c r="M547" i="1"/>
  <c r="V574" i="1"/>
  <c r="W440" i="1"/>
  <c r="W443" i="1"/>
  <c r="U507" i="1"/>
  <c r="W490" i="1"/>
  <c r="M546" i="1"/>
  <c r="M446" i="1"/>
  <c r="M478" i="1"/>
  <c r="W506" i="1"/>
  <c r="M488" i="1"/>
  <c r="M512" i="1"/>
  <c r="U524" i="1"/>
  <c r="W481" i="1"/>
  <c r="AN481" i="1" s="1"/>
  <c r="AO481" i="1" s="1"/>
  <c r="W499" i="1"/>
  <c r="AN499" i="1" s="1"/>
  <c r="AO499" i="1" s="1"/>
  <c r="W500" i="1"/>
  <c r="AN500" i="1" s="1"/>
  <c r="AO500" i="1" s="1"/>
  <c r="W505" i="1"/>
  <c r="AN505" i="1" s="1"/>
  <c r="AO505" i="1" s="1"/>
  <c r="U556" i="1"/>
  <c r="M559" i="1"/>
  <c r="U559" i="1" s="1"/>
  <c r="M581" i="1"/>
  <c r="U604" i="1"/>
  <c r="AN604" i="1"/>
  <c r="AO604" i="1" s="1"/>
  <c r="W492" i="1"/>
  <c r="W493" i="1"/>
  <c r="AN493" i="1" s="1"/>
  <c r="AO493" i="1" s="1"/>
  <c r="W495" i="1"/>
  <c r="W517" i="1"/>
  <c r="W518" i="1"/>
  <c r="X522" i="1"/>
  <c r="W523" i="1"/>
  <c r="M540" i="1"/>
  <c r="U540" i="1" s="1"/>
  <c r="U612" i="1"/>
  <c r="U628" i="1"/>
  <c r="AN645" i="1"/>
  <c r="AO645" i="1" s="1"/>
  <c r="W547" i="1"/>
  <c r="AN547" i="1" s="1"/>
  <c r="AO547" i="1" s="1"/>
  <c r="M568" i="1"/>
  <c r="U568" i="1" s="1"/>
  <c r="M501" i="1"/>
  <c r="M532" i="1"/>
  <c r="U532" i="1" s="1"/>
  <c r="V571" i="1"/>
  <c r="AN633" i="1"/>
  <c r="AO633" i="1" s="1"/>
  <c r="U633" i="1"/>
  <c r="M648" i="1"/>
  <c r="U648" i="1" s="1"/>
  <c r="W508" i="1"/>
  <c r="AN508" i="1" s="1"/>
  <c r="AO508" i="1" s="1"/>
  <c r="W537" i="1"/>
  <c r="AN537" i="1" s="1"/>
  <c r="AO537" i="1" s="1"/>
  <c r="W538" i="1"/>
  <c r="AN538" i="1" s="1"/>
  <c r="AO538" i="1" s="1"/>
  <c r="W539" i="1"/>
  <c r="AN539" i="1" s="1"/>
  <c r="AO539" i="1" s="1"/>
  <c r="M557" i="1"/>
  <c r="U557" i="1" s="1"/>
  <c r="W533" i="1"/>
  <c r="AN533" i="1" s="1"/>
  <c r="AO533" i="1" s="1"/>
  <c r="W534" i="1"/>
  <c r="AN534" i="1" s="1"/>
  <c r="AO534" i="1" s="1"/>
  <c r="V564" i="1"/>
  <c r="U579" i="1"/>
  <c r="V616" i="1"/>
  <c r="AE616" i="1"/>
  <c r="U573" i="1"/>
  <c r="AN600" i="1"/>
  <c r="AO600" i="1" s="1"/>
  <c r="M528" i="1"/>
  <c r="W550" i="1"/>
  <c r="AN550" i="1" s="1"/>
  <c r="AO550" i="1" s="1"/>
  <c r="U577" i="1"/>
  <c r="M588" i="1"/>
  <c r="U605" i="1"/>
  <c r="U614" i="1"/>
  <c r="U598" i="1"/>
  <c r="AN598" i="1"/>
  <c r="AO598" i="1" s="1"/>
  <c r="AN606" i="1"/>
  <c r="AO606" i="1" s="1"/>
  <c r="AN621" i="1"/>
  <c r="AO621" i="1" s="1"/>
  <c r="U621" i="1"/>
  <c r="M560" i="1"/>
  <c r="U560" i="1" s="1"/>
  <c r="M597" i="1"/>
  <c r="W647" i="1"/>
  <c r="AN647" i="1" s="1"/>
  <c r="AO647" i="1" s="1"/>
  <c r="M659" i="1"/>
  <c r="M578" i="1"/>
  <c r="M583" i="1"/>
  <c r="M595" i="1"/>
  <c r="W622" i="1"/>
  <c r="AN622" i="1" s="1"/>
  <c r="AO622" i="1" s="1"/>
  <c r="AN637" i="1"/>
  <c r="AO637" i="1" s="1"/>
  <c r="AN641" i="1"/>
  <c r="AO641" i="1" s="1"/>
  <c r="U641" i="1"/>
  <c r="U655" i="1"/>
  <c r="W597" i="1"/>
  <c r="AN597" i="1" s="1"/>
  <c r="AO597" i="1" s="1"/>
  <c r="W649" i="1"/>
  <c r="AN649" i="1" s="1"/>
  <c r="AO649" i="1" s="1"/>
  <c r="U675" i="1"/>
  <c r="W595" i="1"/>
  <c r="AN595" i="1" s="1"/>
  <c r="AO595" i="1" s="1"/>
  <c r="W615" i="1"/>
  <c r="W618" i="1"/>
  <c r="M627" i="1"/>
  <c r="AN620" i="1"/>
  <c r="AO620" i="1" s="1"/>
  <c r="M656" i="1"/>
  <c r="M650" i="1"/>
  <c r="W663" i="1"/>
  <c r="M585" i="1"/>
  <c r="M596" i="1"/>
  <c r="U596" i="1" s="1"/>
  <c r="W650" i="1"/>
  <c r="AN650" i="1" s="1"/>
  <c r="AO650" i="1" s="1"/>
  <c r="M652" i="1"/>
  <c r="U652" i="1" s="1"/>
  <c r="AN638" i="1"/>
  <c r="AO638" i="1" s="1"/>
  <c r="U638" i="1"/>
  <c r="AN642" i="1"/>
  <c r="AO642" i="1" s="1"/>
  <c r="U642" i="1"/>
  <c r="AN644" i="1"/>
  <c r="AO644" i="1" s="1"/>
  <c r="M647" i="1"/>
  <c r="W624" i="1"/>
  <c r="AN624" i="1" s="1"/>
  <c r="AO624" i="1" s="1"/>
  <c r="W651" i="1"/>
  <c r="M653" i="1"/>
  <c r="U653" i="1" s="1"/>
  <c r="M670" i="1"/>
  <c r="U670" i="1" s="1"/>
  <c r="W659" i="1"/>
  <c r="AN659" i="1" s="1"/>
  <c r="AO659" i="1" s="1"/>
  <c r="M677" i="1"/>
  <c r="M658" i="1"/>
  <c r="M672" i="1"/>
  <c r="W743" i="1"/>
  <c r="M702" i="1"/>
  <c r="U683" i="1"/>
  <c r="U692" i="1"/>
  <c r="W667" i="1"/>
  <c r="AN667" i="1" s="1"/>
  <c r="AO667" i="1" s="1"/>
  <c r="W666" i="1"/>
  <c r="AN666" i="1" s="1"/>
  <c r="AO666" i="1" s="1"/>
  <c r="W668" i="1"/>
  <c r="AN668" i="1" s="1"/>
  <c r="AO668" i="1" s="1"/>
  <c r="W703" i="1"/>
  <c r="W710" i="1"/>
  <c r="AN710" i="1" s="1"/>
  <c r="AO710" i="1" s="1"/>
  <c r="M714" i="1"/>
  <c r="M701" i="1"/>
  <c r="W708" i="1"/>
  <c r="AN708" i="1" s="1"/>
  <c r="AO708" i="1" s="1"/>
  <c r="M711" i="1"/>
  <c r="U711" i="1" s="1"/>
  <c r="M722" i="1"/>
  <c r="W702" i="1"/>
  <c r="AN702" i="1" s="1"/>
  <c r="AO702" i="1" s="1"/>
  <c r="M705" i="1"/>
  <c r="M715" i="1"/>
  <c r="M721" i="1"/>
  <c r="W722" i="1"/>
  <c r="AN722" i="1" s="1"/>
  <c r="AO722" i="1" s="1"/>
  <c r="U740" i="1"/>
  <c r="M716" i="1"/>
  <c r="M720" i="1"/>
  <c r="W701" i="1"/>
  <c r="AN701" i="1" s="1"/>
  <c r="AO701" i="1" s="1"/>
  <c r="M717" i="1"/>
  <c r="M719" i="1"/>
  <c r="M685" i="1"/>
  <c r="U685" i="1" s="1"/>
  <c r="M704" i="1"/>
  <c r="W705" i="1"/>
  <c r="AN705" i="1" s="1"/>
  <c r="AO705" i="1" s="1"/>
  <c r="M712" i="1"/>
  <c r="M718" i="1"/>
  <c r="AE758" i="1"/>
  <c r="Z758" i="1"/>
  <c r="V758" i="1"/>
  <c r="M684" i="1"/>
  <c r="U684" i="1" s="1"/>
  <c r="W700" i="1"/>
  <c r="W709" i="1"/>
  <c r="AN709" i="1" s="1"/>
  <c r="AO709" i="1" s="1"/>
  <c r="W718" i="1"/>
  <c r="AN718" i="1" s="1"/>
  <c r="AO718" i="1" s="1"/>
  <c r="W726" i="1"/>
  <c r="AN726" i="1" s="1"/>
  <c r="AO726" i="1" s="1"/>
  <c r="W699" i="1"/>
  <c r="AN699" i="1" s="1"/>
  <c r="AO699" i="1" s="1"/>
  <c r="W707" i="1"/>
  <c r="AN707" i="1" s="1"/>
  <c r="AO707" i="1" s="1"/>
  <c r="W712" i="1"/>
  <c r="AN712" i="1" s="1"/>
  <c r="AO712" i="1" s="1"/>
  <c r="W704" i="1"/>
  <c r="AN704" i="1" s="1"/>
  <c r="AO704" i="1" s="1"/>
  <c r="W725" i="1"/>
  <c r="AN725" i="1" s="1"/>
  <c r="AO725" i="1" s="1"/>
  <c r="M710" i="1"/>
  <c r="M713" i="1"/>
  <c r="U713" i="1" s="1"/>
  <c r="M723" i="1"/>
  <c r="M724" i="1"/>
  <c r="M725" i="1"/>
  <c r="M726" i="1"/>
  <c r="M727" i="1"/>
  <c r="M768" i="1"/>
  <c r="W727" i="1"/>
  <c r="AN727" i="1" s="1"/>
  <c r="AO727" i="1" s="1"/>
  <c r="U794" i="1"/>
  <c r="AN794" i="1"/>
  <c r="AO794" i="1" s="1"/>
  <c r="AE757" i="1"/>
  <c r="M808" i="1"/>
  <c r="M813" i="1"/>
  <c r="M767" i="1"/>
  <c r="M787" i="1"/>
  <c r="M791" i="1"/>
  <c r="M795" i="1"/>
  <c r="M766" i="1"/>
  <c r="M799" i="1"/>
  <c r="W767" i="1"/>
  <c r="AN767" i="1" s="1"/>
  <c r="AO767" i="1" s="1"/>
  <c r="U775" i="1"/>
  <c r="M764" i="1"/>
  <c r="U790" i="1"/>
  <c r="AN790" i="1"/>
  <c r="AO790" i="1" s="1"/>
  <c r="W809" i="1"/>
  <c r="AN809" i="1" s="1"/>
  <c r="AO809" i="1" s="1"/>
  <c r="M805" i="1"/>
  <c r="W787" i="1"/>
  <c r="AN787" i="1" s="1"/>
  <c r="AO787" i="1" s="1"/>
  <c r="W791" i="1"/>
  <c r="AN791" i="1" s="1"/>
  <c r="AO791" i="1" s="1"/>
  <c r="W795" i="1"/>
  <c r="AN795" i="1" s="1"/>
  <c r="AO795" i="1" s="1"/>
  <c r="W799" i="1"/>
  <c r="AN799" i="1" s="1"/>
  <c r="AO799" i="1" s="1"/>
  <c r="M802" i="1"/>
  <c r="M814" i="1"/>
  <c r="U831" i="1"/>
  <c r="W805" i="1"/>
  <c r="AN805" i="1" s="1"/>
  <c r="AO805" i="1" s="1"/>
  <c r="W808" i="1"/>
  <c r="AN808" i="1" s="1"/>
  <c r="AO808" i="1" s="1"/>
  <c r="W823" i="1"/>
  <c r="U837" i="1"/>
  <c r="M789" i="1"/>
  <c r="M793" i="1"/>
  <c r="M797" i="1"/>
  <c r="M801" i="1"/>
  <c r="W785" i="1"/>
  <c r="AN785" i="1" s="1"/>
  <c r="AO785" i="1" s="1"/>
  <c r="W807" i="1"/>
  <c r="AN807" i="1" s="1"/>
  <c r="AO807" i="1" s="1"/>
  <c r="M809" i="1"/>
  <c r="W797" i="1"/>
  <c r="AN797" i="1" s="1"/>
  <c r="AO797" i="1" s="1"/>
  <c r="W801" i="1"/>
  <c r="AN801" i="1" s="1"/>
  <c r="AO801" i="1" s="1"/>
  <c r="W812" i="1"/>
  <c r="AN812" i="1" s="1"/>
  <c r="AO812" i="1" s="1"/>
  <c r="W818" i="1"/>
  <c r="W821" i="1"/>
  <c r="W824" i="1"/>
  <c r="W827" i="1"/>
  <c r="W830" i="1"/>
  <c r="W833" i="1"/>
  <c r="W836" i="1"/>
  <c r="W839" i="1"/>
  <c r="W842" i="1"/>
  <c r="AN842" i="1" s="1"/>
  <c r="AO842" i="1" s="1"/>
  <c r="W817" i="1"/>
  <c r="W820" i="1"/>
  <c r="W832" i="1"/>
  <c r="W835" i="1"/>
  <c r="M843" i="1"/>
  <c r="U843" i="1" s="1"/>
  <c r="V660" i="1" l="1"/>
  <c r="AE660" i="1"/>
  <c r="Z660" i="1"/>
  <c r="AB660" i="1"/>
  <c r="U788" i="1"/>
  <c r="V788" i="1" s="1"/>
  <c r="U721" i="1"/>
  <c r="Z541" i="1"/>
  <c r="V541" i="1"/>
  <c r="U656" i="1"/>
  <c r="AB541" i="1"/>
  <c r="AG541" i="1"/>
  <c r="AE544" i="1"/>
  <c r="AM544" i="1" s="1"/>
  <c r="AB468" i="1"/>
  <c r="U502" i="1"/>
  <c r="Z466" i="1"/>
  <c r="AM466" i="1" s="1"/>
  <c r="Z513" i="1"/>
  <c r="V756" i="1"/>
  <c r="U768" i="1"/>
  <c r="U674" i="1"/>
  <c r="Z788" i="1"/>
  <c r="U514" i="1"/>
  <c r="V514" i="1" s="1"/>
  <c r="AE788" i="1"/>
  <c r="AM788" i="1" s="1"/>
  <c r="AG788" i="1"/>
  <c r="U719" i="1"/>
  <c r="V719" i="1" s="1"/>
  <c r="U580" i="1"/>
  <c r="U629" i="1"/>
  <c r="AB629" i="1" s="1"/>
  <c r="U747" i="1"/>
  <c r="AB788" i="1"/>
  <c r="U819" i="1"/>
  <c r="U552" i="1"/>
  <c r="U594" i="1"/>
  <c r="U494" i="1"/>
  <c r="AE494" i="1" s="1"/>
  <c r="U772" i="1"/>
  <c r="Z772" i="1" s="1"/>
  <c r="U516" i="1"/>
  <c r="V516" i="1" s="1"/>
  <c r="U764" i="1"/>
  <c r="AB758" i="1"/>
  <c r="U716" i="1"/>
  <c r="AG616" i="1"/>
  <c r="AB530" i="1"/>
  <c r="U520" i="1"/>
  <c r="V473" i="1"/>
  <c r="U731" i="1"/>
  <c r="AE731" i="1" s="1"/>
  <c r="U814" i="1"/>
  <c r="V814" i="1" s="1"/>
  <c r="U766" i="1"/>
  <c r="V757" i="1"/>
  <c r="AN640" i="1"/>
  <c r="AO640" i="1" s="1"/>
  <c r="U646" i="1"/>
  <c r="U639" i="1"/>
  <c r="V639" i="1" s="1"/>
  <c r="Z133" i="1"/>
  <c r="AM133" i="1" s="1"/>
  <c r="AB135" i="1"/>
  <c r="U672" i="1"/>
  <c r="Z757" i="1"/>
  <c r="AM757" i="1" s="1"/>
  <c r="AN634" i="1"/>
  <c r="AO634" i="1" s="1"/>
  <c r="AG135" i="1"/>
  <c r="U630" i="1"/>
  <c r="AB757" i="1"/>
  <c r="U729" i="1"/>
  <c r="Z729" i="1" s="1"/>
  <c r="U623" i="1"/>
  <c r="U593" i="1"/>
  <c r="U590" i="1"/>
  <c r="V590" i="1" s="1"/>
  <c r="Z616" i="1"/>
  <c r="AG530" i="1"/>
  <c r="U662" i="1"/>
  <c r="U688" i="1"/>
  <c r="U497" i="1"/>
  <c r="U680" i="1"/>
  <c r="AB680" i="1" s="1"/>
  <c r="U715" i="1"/>
  <c r="U678" i="1"/>
  <c r="U636" i="1"/>
  <c r="AN841" i="1"/>
  <c r="AO841" i="1" s="1"/>
  <c r="V471" i="1"/>
  <c r="U738" i="1"/>
  <c r="Z738" i="1" s="1"/>
  <c r="U487" i="1"/>
  <c r="V487" i="1" s="1"/>
  <c r="U482" i="1"/>
  <c r="AG482" i="1" s="1"/>
  <c r="AB796" i="1"/>
  <c r="U545" i="1"/>
  <c r="AG545" i="1" s="1"/>
  <c r="Z609" i="1"/>
  <c r="AN543" i="1"/>
  <c r="AO543" i="1" s="1"/>
  <c r="U784" i="1"/>
  <c r="U776" i="1"/>
  <c r="V582" i="1"/>
  <c r="AE582" i="1"/>
  <c r="AB582" i="1"/>
  <c r="Z582" i="1"/>
  <c r="AG582" i="1"/>
  <c r="AE745" i="1"/>
  <c r="AG745" i="1"/>
  <c r="Z745" i="1"/>
  <c r="U744" i="1"/>
  <c r="U619" i="1"/>
  <c r="U501" i="1"/>
  <c r="AN825" i="1"/>
  <c r="AO825" i="1" s="1"/>
  <c r="U592" i="1"/>
  <c r="V592" i="1" s="1"/>
  <c r="U444" i="1"/>
  <c r="AE444" i="1" s="1"/>
  <c r="U749" i="1"/>
  <c r="U606" i="1"/>
  <c r="AB606" i="1" s="1"/>
  <c r="U452" i="1"/>
  <c r="U698" i="1"/>
  <c r="Z589" i="1"/>
  <c r="U748" i="1"/>
  <c r="U664" i="1"/>
  <c r="Z664" i="1" s="1"/>
  <c r="U469" i="1"/>
  <c r="U723" i="1"/>
  <c r="U489" i="1"/>
  <c r="AG838" i="1"/>
  <c r="AB771" i="1"/>
  <c r="U822" i="1"/>
  <c r="AB822" i="1" s="1"/>
  <c r="V838" i="1"/>
  <c r="U665" i="1"/>
  <c r="AE838" i="1"/>
  <c r="AM838" i="1" s="1"/>
  <c r="AB838" i="1"/>
  <c r="AN798" i="1"/>
  <c r="AO798" i="1" s="1"/>
  <c r="V759" i="1"/>
  <c r="AG531" i="1"/>
  <c r="Z759" i="1"/>
  <c r="AG680" i="1"/>
  <c r="V531" i="1"/>
  <c r="U478" i="1"/>
  <c r="AG478" i="1" s="1"/>
  <c r="U834" i="1"/>
  <c r="AE771" i="1"/>
  <c r="AG771" i="1"/>
  <c r="AE759" i="1"/>
  <c r="Z657" i="1"/>
  <c r="AB531" i="1"/>
  <c r="AE584" i="1"/>
  <c r="U826" i="1"/>
  <c r="V826" i="1" s="1"/>
  <c r="V771" i="1"/>
  <c r="AG759" i="1"/>
  <c r="AB657" i="1"/>
  <c r="V657" i="1"/>
  <c r="AG657" i="1"/>
  <c r="Z531" i="1"/>
  <c r="AM531" i="1" s="1"/>
  <c r="U456" i="1"/>
  <c r="AG456" i="1" s="1"/>
  <c r="U736" i="1"/>
  <c r="U793" i="1"/>
  <c r="AB793" i="1" s="1"/>
  <c r="U677" i="1"/>
  <c r="AE677" i="1" s="1"/>
  <c r="U42" i="5"/>
  <c r="V47" i="5"/>
  <c r="U40" i="5"/>
  <c r="AB107" i="1"/>
  <c r="Z107" i="1"/>
  <c r="AM107" i="1" s="1"/>
  <c r="V107" i="1"/>
  <c r="V491" i="1"/>
  <c r="Z141" i="1"/>
  <c r="AM141" i="1" s="1"/>
  <c r="U686" i="1"/>
  <c r="AB686" i="1" s="1"/>
  <c r="U813" i="1"/>
  <c r="AB813" i="1" s="1"/>
  <c r="U720" i="1"/>
  <c r="V720" i="1" s="1"/>
  <c r="AB141" i="1"/>
  <c r="U763" i="1"/>
  <c r="AG763" i="1" s="1"/>
  <c r="AG731" i="1"/>
  <c r="U803" i="1"/>
  <c r="V803" i="1" s="1"/>
  <c r="U601" i="1"/>
  <c r="V601" i="1" s="1"/>
  <c r="U687" i="1"/>
  <c r="V731" i="1"/>
  <c r="Z82" i="1"/>
  <c r="AM82" i="1" s="1"/>
  <c r="U816" i="1"/>
  <c r="V816" i="1" s="1"/>
  <c r="U553" i="1"/>
  <c r="AE553" i="1" s="1"/>
  <c r="U728" i="1"/>
  <c r="U483" i="1"/>
  <c r="AG483" i="1" s="1"/>
  <c r="U773" i="1"/>
  <c r="AE773" i="1" s="1"/>
  <c r="U676" i="1"/>
  <c r="Z676" i="1" s="1"/>
  <c r="U694" i="1"/>
  <c r="Z694" i="1" s="1"/>
  <c r="U583" i="1"/>
  <c r="AG583" i="1" s="1"/>
  <c r="U588" i="1"/>
  <c r="AG588" i="1" s="1"/>
  <c r="V445" i="1"/>
  <c r="U679" i="1"/>
  <c r="AB679" i="1" s="1"/>
  <c r="AB445" i="1"/>
  <c r="U608" i="1"/>
  <c r="AE608" i="1" s="1"/>
  <c r="U627" i="1"/>
  <c r="AG627" i="1" s="1"/>
  <c r="Z126" i="1"/>
  <c r="AM126" i="1" s="1"/>
  <c r="AG126" i="1"/>
  <c r="AB126" i="1"/>
  <c r="AE781" i="1"/>
  <c r="Z731" i="1"/>
  <c r="AM731" i="1" s="1"/>
  <c r="U581" i="1"/>
  <c r="V581" i="1" s="1"/>
  <c r="AN549" i="1"/>
  <c r="AO549" i="1" s="1"/>
  <c r="AB95" i="1"/>
  <c r="U810" i="1"/>
  <c r="V810" i="1" s="1"/>
  <c r="U828" i="1"/>
  <c r="AB828" i="1" s="1"/>
  <c r="AG781" i="1"/>
  <c r="V587" i="1"/>
  <c r="V95" i="1"/>
  <c r="V472" i="1"/>
  <c r="U774" i="1"/>
  <c r="AE774" i="1" s="1"/>
  <c r="Z587" i="1"/>
  <c r="U446" i="1"/>
  <c r="V446" i="1" s="1"/>
  <c r="Z472" i="1"/>
  <c r="AM472" i="1" s="1"/>
  <c r="U617" i="1"/>
  <c r="V617" i="1" s="1"/>
  <c r="U691" i="1"/>
  <c r="V781" i="1"/>
  <c r="Z781" i="1"/>
  <c r="Z761" i="1"/>
  <c r="AN744" i="1"/>
  <c r="AO744" i="1" s="1"/>
  <c r="AB587" i="1"/>
  <c r="U512" i="1"/>
  <c r="V512" i="1" s="1"/>
  <c r="U546" i="1"/>
  <c r="V546" i="1" s="1"/>
  <c r="U806" i="1"/>
  <c r="U792" i="1"/>
  <c r="AB792" i="1" s="1"/>
  <c r="AB761" i="1"/>
  <c r="V737" i="1"/>
  <c r="U578" i="1"/>
  <c r="AG587" i="1"/>
  <c r="U613" i="1"/>
  <c r="U802" i="1"/>
  <c r="Z802" i="1" s="1"/>
  <c r="AE761" i="1"/>
  <c r="AB737" i="1"/>
  <c r="AN542" i="1"/>
  <c r="AO542" i="1" s="1"/>
  <c r="U661" i="1"/>
  <c r="V661" i="1" s="1"/>
  <c r="U635" i="1"/>
  <c r="Z635" i="1" s="1"/>
  <c r="U754" i="1"/>
  <c r="AE754" i="1" s="1"/>
  <c r="V761" i="1"/>
  <c r="U724" i="1"/>
  <c r="V724" i="1" s="1"/>
  <c r="AE737" i="1"/>
  <c r="AM737" i="1" s="1"/>
  <c r="U519" i="1"/>
  <c r="AG519" i="1" s="1"/>
  <c r="V745" i="1"/>
  <c r="AG737" i="1"/>
  <c r="U681" i="1"/>
  <c r="Z681" i="1" s="1"/>
  <c r="U527" i="1"/>
  <c r="AG527" i="1" s="1"/>
  <c r="U760" i="1"/>
  <c r="U734" i="1"/>
  <c r="Z734" i="1" s="1"/>
  <c r="AB745" i="1"/>
  <c r="AB731" i="1"/>
  <c r="U479" i="1"/>
  <c r="U750" i="1"/>
  <c r="V750" i="1" s="1"/>
  <c r="U765" i="1"/>
  <c r="V765" i="1" s="1"/>
  <c r="U800" i="1"/>
  <c r="AB800" i="1" s="1"/>
  <c r="AB586" i="1"/>
  <c r="V586" i="1"/>
  <c r="AG586" i="1"/>
  <c r="Z586" i="1"/>
  <c r="AE586" i="1"/>
  <c r="AN602" i="1"/>
  <c r="AO602" i="1" s="1"/>
  <c r="Z756" i="1"/>
  <c r="AB756" i="1"/>
  <c r="V56" i="1"/>
  <c r="AE756" i="1"/>
  <c r="U643" i="1"/>
  <c r="V643" i="1" s="1"/>
  <c r="AG56" i="1"/>
  <c r="U789" i="1"/>
  <c r="AB789" i="1" s="1"/>
  <c r="Z117" i="1"/>
  <c r="AM117" i="1" s="1"/>
  <c r="U696" i="1"/>
  <c r="Z696" i="1" s="1"/>
  <c r="U504" i="1"/>
  <c r="V504" i="1" s="1"/>
  <c r="U804" i="1"/>
  <c r="AG804" i="1" s="1"/>
  <c r="V631" i="1"/>
  <c r="V132" i="1"/>
  <c r="AB117" i="1"/>
  <c r="U535" i="1"/>
  <c r="U714" i="1"/>
  <c r="V714" i="1" s="1"/>
  <c r="Z455" i="1"/>
  <c r="AM455" i="1" s="1"/>
  <c r="Z132" i="1"/>
  <c r="AM132" i="1" s="1"/>
  <c r="U751" i="1"/>
  <c r="U607" i="1"/>
  <c r="V607" i="1" s="1"/>
  <c r="AN800" i="1"/>
  <c r="AO800" i="1" s="1"/>
  <c r="V455" i="1"/>
  <c r="U548" i="1"/>
  <c r="Z516" i="1"/>
  <c r="AB631" i="1"/>
  <c r="AE631" i="1"/>
  <c r="AB113" i="1"/>
  <c r="U673" i="1"/>
  <c r="Z631" i="1"/>
  <c r="U525" i="1"/>
  <c r="V525" i="1" s="1"/>
  <c r="Z106" i="1"/>
  <c r="AM106" i="1" s="1"/>
  <c r="U611" i="1"/>
  <c r="Z611" i="1" s="1"/>
  <c r="AG516" i="1"/>
  <c r="V113" i="1"/>
  <c r="U755" i="1"/>
  <c r="AB671" i="1"/>
  <c r="Z671" i="1"/>
  <c r="V671" i="1"/>
  <c r="AG671" i="1"/>
  <c r="AE671" i="1"/>
  <c r="U528" i="1"/>
  <c r="V528" i="1" s="1"/>
  <c r="AB609" i="1"/>
  <c r="Z584" i="1"/>
  <c r="Z491" i="1"/>
  <c r="AE609" i="1"/>
  <c r="U488" i="1"/>
  <c r="AE491" i="1"/>
  <c r="Z114" i="1"/>
  <c r="AM114" i="1" s="1"/>
  <c r="U739" i="1"/>
  <c r="U585" i="1"/>
  <c r="AB585" i="1" s="1"/>
  <c r="AN786" i="1"/>
  <c r="AO786" i="1" s="1"/>
  <c r="AG609" i="1"/>
  <c r="AG491" i="1"/>
  <c r="AB746" i="1"/>
  <c r="U753" i="1"/>
  <c r="AB753" i="1" s="1"/>
  <c r="U717" i="1"/>
  <c r="U658" i="1"/>
  <c r="AE658" i="1" s="1"/>
  <c r="V746" i="1"/>
  <c r="U695" i="1"/>
  <c r="U682" i="1"/>
  <c r="V682" i="1" s="1"/>
  <c r="AN22" i="1"/>
  <c r="AO22" i="1" s="1"/>
  <c r="Z521" i="1"/>
  <c r="U654" i="1"/>
  <c r="AB521" i="1"/>
  <c r="U752" i="1"/>
  <c r="AE763" i="1"/>
  <c r="Z796" i="1"/>
  <c r="AE796" i="1"/>
  <c r="AE521" i="1"/>
  <c r="AG584" i="1"/>
  <c r="U599" i="1"/>
  <c r="AG521" i="1"/>
  <c r="V584" i="1"/>
  <c r="U448" i="1"/>
  <c r="AB448" i="1" s="1"/>
  <c r="AG796" i="1"/>
  <c r="U511" i="1"/>
  <c r="AG511" i="1" s="1"/>
  <c r="AN491" i="1"/>
  <c r="AO491" i="1" s="1"/>
  <c r="U510" i="1"/>
  <c r="AB37" i="5"/>
  <c r="Z37" i="5"/>
  <c r="V37" i="5"/>
  <c r="AG37" i="5"/>
  <c r="AE37" i="5"/>
  <c r="AB41" i="5"/>
  <c r="Z41" i="5"/>
  <c r="V41" i="5"/>
  <c r="AG41" i="5"/>
  <c r="AE41" i="5"/>
  <c r="V38" i="5"/>
  <c r="AG38" i="5"/>
  <c r="AE38" i="5"/>
  <c r="AB38" i="5"/>
  <c r="Z38" i="5"/>
  <c r="AM38" i="5" s="1"/>
  <c r="AM47" i="5"/>
  <c r="AG43" i="5"/>
  <c r="AE43" i="5"/>
  <c r="AB43" i="5"/>
  <c r="Z43" i="5"/>
  <c r="AM43" i="5" s="1"/>
  <c r="V43" i="5"/>
  <c r="AG39" i="5"/>
  <c r="AE39" i="5"/>
  <c r="AB39" i="5"/>
  <c r="Z39" i="5"/>
  <c r="V39" i="5"/>
  <c r="AB45" i="5"/>
  <c r="Z45" i="5"/>
  <c r="V45" i="5"/>
  <c r="AG45" i="5"/>
  <c r="AE45" i="5"/>
  <c r="AG44" i="5"/>
  <c r="AE44" i="5"/>
  <c r="AB44" i="5"/>
  <c r="Z44" i="5"/>
  <c r="AM44" i="5" s="1"/>
  <c r="V44" i="5"/>
  <c r="AM49" i="5"/>
  <c r="V46" i="5"/>
  <c r="AG46" i="5"/>
  <c r="AE46" i="5"/>
  <c r="AB46" i="5"/>
  <c r="Z46" i="5"/>
  <c r="AM48" i="5"/>
  <c r="AM45" i="1"/>
  <c r="AM486" i="1"/>
  <c r="U624" i="1"/>
  <c r="AB624" i="1" s="1"/>
  <c r="AM582" i="1"/>
  <c r="U647" i="1"/>
  <c r="V647" i="1" s="1"/>
  <c r="AM758" i="1"/>
  <c r="V9" i="1"/>
  <c r="U701" i="1"/>
  <c r="AE701" i="1" s="1"/>
  <c r="U450" i="1"/>
  <c r="U762" i="1"/>
  <c r="U778" i="1"/>
  <c r="U842" i="1"/>
  <c r="Z842" i="1" s="1"/>
  <c r="U496" i="1"/>
  <c r="U780" i="1"/>
  <c r="AB93" i="1"/>
  <c r="V93" i="1"/>
  <c r="Z93" i="1"/>
  <c r="AM93" i="1" s="1"/>
  <c r="U795" i="1"/>
  <c r="AB795" i="1" s="1"/>
  <c r="U668" i="1"/>
  <c r="V668" i="1" s="1"/>
  <c r="U551" i="1"/>
  <c r="U783" i="1"/>
  <c r="U741" i="1"/>
  <c r="U597" i="1"/>
  <c r="Z597" i="1" s="1"/>
  <c r="AM541" i="1"/>
  <c r="U697" i="1"/>
  <c r="AM660" i="1"/>
  <c r="U485" i="1"/>
  <c r="U669" i="1"/>
  <c r="V333" i="1"/>
  <c r="U526" i="1"/>
  <c r="V206" i="1"/>
  <c r="U610" i="1"/>
  <c r="U840" i="1"/>
  <c r="V370" i="1"/>
  <c r="U591" i="1"/>
  <c r="V286" i="1"/>
  <c r="U603" i="1"/>
  <c r="U718" i="1"/>
  <c r="AG718" i="1" s="1"/>
  <c r="U708" i="1"/>
  <c r="AE708" i="1" s="1"/>
  <c r="U650" i="1"/>
  <c r="AB650" i="1" s="1"/>
  <c r="AG746" i="1"/>
  <c r="AE746" i="1"/>
  <c r="AM746" i="1" s="1"/>
  <c r="AN829" i="1"/>
  <c r="AO829" i="1" s="1"/>
  <c r="U829" i="1"/>
  <c r="U626" i="1"/>
  <c r="AB142" i="1"/>
  <c r="Z142" i="1"/>
  <c r="AM142" i="1" s="1"/>
  <c r="U693" i="1"/>
  <c r="U529" i="1"/>
  <c r="U498" i="1"/>
  <c r="U477" i="1"/>
  <c r="V204" i="1"/>
  <c r="U805" i="1"/>
  <c r="Z805" i="1" s="1"/>
  <c r="U712" i="1"/>
  <c r="AG712" i="1" s="1"/>
  <c r="U547" i="1"/>
  <c r="U689" i="1"/>
  <c r="V390" i="1"/>
  <c r="V130" i="1"/>
  <c r="V569" i="1"/>
  <c r="U690" i="1"/>
  <c r="V126" i="1"/>
  <c r="U733" i="1"/>
  <c r="V561" i="1"/>
  <c r="V122" i="1"/>
  <c r="U787" i="1"/>
  <c r="AG787" i="1" s="1"/>
  <c r="U777" i="1"/>
  <c r="U811" i="1"/>
  <c r="U727" i="1"/>
  <c r="U622" i="1"/>
  <c r="AE622" i="1" s="1"/>
  <c r="U769" i="1"/>
  <c r="U770" i="1"/>
  <c r="U625" i="1"/>
  <c r="V406" i="1"/>
  <c r="AL30" i="1"/>
  <c r="AJ30" i="1"/>
  <c r="AM30" i="1" s="1"/>
  <c r="U595" i="1"/>
  <c r="V595" i="1" s="1"/>
  <c r="U732" i="1"/>
  <c r="AB513" i="1"/>
  <c r="AE513" i="1"/>
  <c r="AG513" i="1"/>
  <c r="U779" i="1"/>
  <c r="U710" i="1"/>
  <c r="V710" i="1" s="1"/>
  <c r="U699" i="1"/>
  <c r="Z699" i="1" s="1"/>
  <c r="U632" i="1"/>
  <c r="AB676" i="1"/>
  <c r="AN706" i="1"/>
  <c r="AO706" i="1" s="1"/>
  <c r="U706" i="1"/>
  <c r="U509" i="1"/>
  <c r="AM771" i="1"/>
  <c r="U666" i="1"/>
  <c r="AG666" i="1" s="1"/>
  <c r="U782" i="1"/>
  <c r="U742" i="1"/>
  <c r="U554" i="1"/>
  <c r="U730" i="1"/>
  <c r="AG589" i="1"/>
  <c r="V589" i="1"/>
  <c r="AE589" i="1"/>
  <c r="U60" i="1"/>
  <c r="Z775" i="1"/>
  <c r="V775" i="1"/>
  <c r="AG775" i="1"/>
  <c r="AE775" i="1"/>
  <c r="AB775" i="1"/>
  <c r="V410" i="1"/>
  <c r="V225" i="1"/>
  <c r="AN832" i="1"/>
  <c r="AO832" i="1" s="1"/>
  <c r="U832" i="1"/>
  <c r="AB834" i="1"/>
  <c r="V834" i="1"/>
  <c r="AG834" i="1"/>
  <c r="AE834" i="1"/>
  <c r="Z834" i="1"/>
  <c r="AB790" i="1"/>
  <c r="V790" i="1"/>
  <c r="AG790" i="1"/>
  <c r="AE790" i="1"/>
  <c r="Z790" i="1"/>
  <c r="U799" i="1"/>
  <c r="U791" i="1"/>
  <c r="Z692" i="1"/>
  <c r="V692" i="1"/>
  <c r="AG692" i="1"/>
  <c r="AE692" i="1"/>
  <c r="AB692" i="1"/>
  <c r="AE585" i="1"/>
  <c r="V620" i="1"/>
  <c r="AE620" i="1"/>
  <c r="AB620" i="1"/>
  <c r="Z620" i="1"/>
  <c r="AG620" i="1"/>
  <c r="AG675" i="1"/>
  <c r="AE675" i="1"/>
  <c r="AB675" i="1"/>
  <c r="V675" i="1"/>
  <c r="Z675" i="1"/>
  <c r="AM616" i="1"/>
  <c r="AB604" i="1"/>
  <c r="Z604" i="1"/>
  <c r="AG604" i="1"/>
  <c r="AE604" i="1"/>
  <c r="V604" i="1"/>
  <c r="V349" i="1"/>
  <c r="U465" i="1"/>
  <c r="V231" i="1"/>
  <c r="V342" i="1"/>
  <c r="V235" i="1"/>
  <c r="V254" i="1"/>
  <c r="V119" i="1"/>
  <c r="V154" i="1"/>
  <c r="V186" i="1"/>
  <c r="AL34" i="1"/>
  <c r="AJ34" i="1"/>
  <c r="AM34" i="1" s="1"/>
  <c r="V77" i="1"/>
  <c r="V252" i="1"/>
  <c r="V158" i="1"/>
  <c r="AN820" i="1"/>
  <c r="AO820" i="1" s="1"/>
  <c r="U820" i="1"/>
  <c r="AN839" i="1"/>
  <c r="AO839" i="1" s="1"/>
  <c r="U839" i="1"/>
  <c r="U801" i="1"/>
  <c r="AB825" i="1"/>
  <c r="V825" i="1"/>
  <c r="AG825" i="1"/>
  <c r="AE825" i="1"/>
  <c r="Z825" i="1"/>
  <c r="U767" i="1"/>
  <c r="U709" i="1"/>
  <c r="U705" i="1"/>
  <c r="AN663" i="1"/>
  <c r="AO663" i="1" s="1"/>
  <c r="U663" i="1"/>
  <c r="Z656" i="1"/>
  <c r="V656" i="1"/>
  <c r="AB656" i="1"/>
  <c r="AG656" i="1"/>
  <c r="AE656" i="1"/>
  <c r="V637" i="1"/>
  <c r="AG637" i="1"/>
  <c r="AE637" i="1"/>
  <c r="AB637" i="1"/>
  <c r="Z637" i="1"/>
  <c r="AB614" i="1"/>
  <c r="V614" i="1"/>
  <c r="AG614" i="1"/>
  <c r="AE614" i="1"/>
  <c r="Z614" i="1"/>
  <c r="V619" i="1"/>
  <c r="AG619" i="1"/>
  <c r="AE619" i="1"/>
  <c r="AB619" i="1"/>
  <c r="Z619" i="1"/>
  <c r="AB600" i="1"/>
  <c r="Z600" i="1"/>
  <c r="AG600" i="1"/>
  <c r="AE600" i="1"/>
  <c r="V600" i="1"/>
  <c r="AN523" i="1"/>
  <c r="AO523" i="1" s="1"/>
  <c r="U523" i="1"/>
  <c r="Z581" i="1"/>
  <c r="U481" i="1"/>
  <c r="V281" i="1"/>
  <c r="V323" i="1"/>
  <c r="V222" i="1"/>
  <c r="V232" i="1"/>
  <c r="V337" i="1"/>
  <c r="V182" i="1"/>
  <c r="V263" i="1"/>
  <c r="V150" i="1"/>
  <c r="V191" i="1"/>
  <c r="V188" i="1"/>
  <c r="V85" i="1"/>
  <c r="AG85" i="1"/>
  <c r="AE85" i="1"/>
  <c r="AM85" i="1" s="1"/>
  <c r="V54" i="1"/>
  <c r="U58" i="1"/>
  <c r="AE828" i="1"/>
  <c r="V568" i="1"/>
  <c r="AN490" i="1"/>
  <c r="AO490" i="1" s="1"/>
  <c r="U490" i="1"/>
  <c r="V352" i="1"/>
  <c r="V266" i="1"/>
  <c r="AL32" i="1"/>
  <c r="AJ32" i="1"/>
  <c r="AM32" i="1" s="1"/>
  <c r="V32" i="1"/>
  <c r="AN817" i="1"/>
  <c r="AO817" i="1" s="1"/>
  <c r="U817" i="1"/>
  <c r="AN836" i="1"/>
  <c r="AO836" i="1" s="1"/>
  <c r="U836" i="1"/>
  <c r="U797" i="1"/>
  <c r="AN823" i="1"/>
  <c r="AO823" i="1" s="1"/>
  <c r="U823" i="1"/>
  <c r="AB814" i="1"/>
  <c r="AE814" i="1"/>
  <c r="Z784" i="1"/>
  <c r="V784" i="1"/>
  <c r="AG784" i="1"/>
  <c r="AE784" i="1"/>
  <c r="AB784" i="1"/>
  <c r="AB841" i="1"/>
  <c r="V841" i="1"/>
  <c r="AG841" i="1"/>
  <c r="AE841" i="1"/>
  <c r="Z841" i="1"/>
  <c r="Z768" i="1"/>
  <c r="AG768" i="1"/>
  <c r="AE768" i="1"/>
  <c r="AB768" i="1"/>
  <c r="V768" i="1"/>
  <c r="V727" i="1"/>
  <c r="AG727" i="1"/>
  <c r="AE727" i="1"/>
  <c r="AB727" i="1"/>
  <c r="Z727" i="1"/>
  <c r="AG646" i="1"/>
  <c r="V646" i="1"/>
  <c r="AE646" i="1"/>
  <c r="AB646" i="1"/>
  <c r="Z646" i="1"/>
  <c r="AB597" i="1"/>
  <c r="AB599" i="1"/>
  <c r="Z599" i="1"/>
  <c r="AG599" i="1"/>
  <c r="AE599" i="1"/>
  <c r="V599" i="1"/>
  <c r="W522" i="1"/>
  <c r="AE502" i="1"/>
  <c r="AB502" i="1"/>
  <c r="Z502" i="1"/>
  <c r="AG502" i="1"/>
  <c r="V502" i="1"/>
  <c r="AN443" i="1"/>
  <c r="AO443" i="1" s="1"/>
  <c r="U443" i="1"/>
  <c r="U508" i="1"/>
  <c r="W439" i="1"/>
  <c r="U538" i="1"/>
  <c r="AB555" i="1"/>
  <c r="Z555" i="1"/>
  <c r="V555" i="1"/>
  <c r="AG555" i="1"/>
  <c r="AE555" i="1"/>
  <c r="V489" i="1"/>
  <c r="AB489" i="1"/>
  <c r="AG489" i="1"/>
  <c r="AE489" i="1"/>
  <c r="Z489" i="1"/>
  <c r="V435" i="1"/>
  <c r="V345" i="1"/>
  <c r="Z469" i="1"/>
  <c r="AG469" i="1"/>
  <c r="AE469" i="1"/>
  <c r="AB469" i="1"/>
  <c r="V469" i="1"/>
  <c r="V210" i="1"/>
  <c r="V339" i="1"/>
  <c r="V305" i="1"/>
  <c r="V181" i="1"/>
  <c r="M844" i="1"/>
  <c r="V189" i="1"/>
  <c r="V198" i="1"/>
  <c r="V139" i="1"/>
  <c r="V129" i="1"/>
  <c r="V64" i="1"/>
  <c r="V42" i="1"/>
  <c r="AG42" i="1"/>
  <c r="AE42" i="1"/>
  <c r="AM42" i="1" s="1"/>
  <c r="AB816" i="1"/>
  <c r="U808" i="1"/>
  <c r="U726" i="1"/>
  <c r="AB729" i="1"/>
  <c r="V666" i="1"/>
  <c r="AE666" i="1"/>
  <c r="Z666" i="1"/>
  <c r="V683" i="1"/>
  <c r="AG683" i="1"/>
  <c r="AE683" i="1"/>
  <c r="Z683" i="1"/>
  <c r="AB683" i="1"/>
  <c r="AG665" i="1"/>
  <c r="AE665" i="1"/>
  <c r="Z665" i="1"/>
  <c r="AB665" i="1"/>
  <c r="V665" i="1"/>
  <c r="Z647" i="1"/>
  <c r="AB605" i="1"/>
  <c r="Z605" i="1"/>
  <c r="AG605" i="1"/>
  <c r="AE605" i="1"/>
  <c r="V605" i="1"/>
  <c r="AG579" i="1"/>
  <c r="AE579" i="1"/>
  <c r="AB579" i="1"/>
  <c r="Z579" i="1"/>
  <c r="V579" i="1"/>
  <c r="V557" i="1"/>
  <c r="AG524" i="1"/>
  <c r="AE524" i="1"/>
  <c r="AB524" i="1"/>
  <c r="Z524" i="1"/>
  <c r="V524" i="1"/>
  <c r="AN440" i="1"/>
  <c r="AO440" i="1" s="1"/>
  <c r="U440" i="1"/>
  <c r="V341" i="1"/>
  <c r="V336" i="1"/>
  <c r="V233" i="1"/>
  <c r="V205" i="1"/>
  <c r="V185" i="1"/>
  <c r="V228" i="1"/>
  <c r="V285" i="1"/>
  <c r="V203" i="1"/>
  <c r="V176" i="1"/>
  <c r="U63" i="1"/>
  <c r="V88" i="1"/>
  <c r="V399" i="1"/>
  <c r="AN833" i="1"/>
  <c r="AO833" i="1" s="1"/>
  <c r="U833" i="1"/>
  <c r="Z776" i="1"/>
  <c r="V776" i="1"/>
  <c r="AG776" i="1"/>
  <c r="AE776" i="1"/>
  <c r="AB776" i="1"/>
  <c r="AN830" i="1"/>
  <c r="AO830" i="1" s="1"/>
  <c r="U830" i="1"/>
  <c r="U809" i="1"/>
  <c r="AG764" i="1"/>
  <c r="AE764" i="1"/>
  <c r="AB764" i="1"/>
  <c r="Z764" i="1"/>
  <c r="V764" i="1"/>
  <c r="Z766" i="1"/>
  <c r="V766" i="1"/>
  <c r="AG766" i="1"/>
  <c r="AE766" i="1"/>
  <c r="AB766" i="1"/>
  <c r="U812" i="1"/>
  <c r="AM781" i="1"/>
  <c r="U725" i="1"/>
  <c r="Z744" i="1"/>
  <c r="AE744" i="1"/>
  <c r="AB744" i="1"/>
  <c r="V744" i="1"/>
  <c r="AG744" i="1"/>
  <c r="U722" i="1"/>
  <c r="U703" i="1"/>
  <c r="AN703" i="1"/>
  <c r="AO703" i="1" s="1"/>
  <c r="U667" i="1"/>
  <c r="V644" i="1"/>
  <c r="Z644" i="1"/>
  <c r="AG644" i="1"/>
  <c r="AE644" i="1"/>
  <c r="AB644" i="1"/>
  <c r="Z652" i="1"/>
  <c r="AB652" i="1"/>
  <c r="V652" i="1"/>
  <c r="AG652" i="1"/>
  <c r="AE652" i="1"/>
  <c r="V627" i="1"/>
  <c r="AG578" i="1"/>
  <c r="AE578" i="1"/>
  <c r="AB578" i="1"/>
  <c r="V578" i="1"/>
  <c r="Z578" i="1"/>
  <c r="V560" i="1"/>
  <c r="AB532" i="1"/>
  <c r="Z532" i="1"/>
  <c r="V532" i="1"/>
  <c r="AG532" i="1"/>
  <c r="AE532" i="1"/>
  <c r="AN518" i="1"/>
  <c r="AO518" i="1" s="1"/>
  <c r="U518" i="1"/>
  <c r="V559" i="1"/>
  <c r="U534" i="1"/>
  <c r="U537" i="1"/>
  <c r="AG441" i="1"/>
  <c r="V441" i="1"/>
  <c r="AB441" i="1"/>
  <c r="Z441" i="1"/>
  <c r="AM441" i="1" s="1"/>
  <c r="V426" i="1"/>
  <c r="V340" i="1"/>
  <c r="V335" i="1"/>
  <c r="V356" i="1"/>
  <c r="V227" i="1"/>
  <c r="V269" i="1"/>
  <c r="V103" i="1"/>
  <c r="AB52" i="1"/>
  <c r="V52" i="1"/>
  <c r="Z52" i="1"/>
  <c r="AM52" i="1" s="1"/>
  <c r="U484" i="1"/>
  <c r="Z596" i="1"/>
  <c r="V596" i="1"/>
  <c r="AB596" i="1"/>
  <c r="AG596" i="1"/>
  <c r="AE596" i="1"/>
  <c r="AG540" i="1"/>
  <c r="AE540" i="1"/>
  <c r="AB540" i="1"/>
  <c r="Z540" i="1"/>
  <c r="V540" i="1"/>
  <c r="Z687" i="1"/>
  <c r="V687" i="1"/>
  <c r="AG687" i="1"/>
  <c r="AE687" i="1"/>
  <c r="AB687" i="1"/>
  <c r="AB681" i="1"/>
  <c r="AB653" i="1"/>
  <c r="Z653" i="1"/>
  <c r="AE653" i="1"/>
  <c r="AG653" i="1"/>
  <c r="V653" i="1"/>
  <c r="Z624" i="1"/>
  <c r="AB655" i="1"/>
  <c r="AE655" i="1"/>
  <c r="AG655" i="1"/>
  <c r="Z655" i="1"/>
  <c r="V655" i="1"/>
  <c r="AE621" i="1"/>
  <c r="V621" i="1"/>
  <c r="AG621" i="1"/>
  <c r="AB621" i="1"/>
  <c r="Z621" i="1"/>
  <c r="AG634" i="1"/>
  <c r="AB634" i="1"/>
  <c r="AE634" i="1"/>
  <c r="Z634" i="1"/>
  <c r="V634" i="1"/>
  <c r="AE645" i="1"/>
  <c r="V645" i="1"/>
  <c r="AG645" i="1"/>
  <c r="AB645" i="1"/>
  <c r="Z645" i="1"/>
  <c r="AN517" i="1"/>
  <c r="AO517" i="1" s="1"/>
  <c r="U517" i="1"/>
  <c r="AG556" i="1"/>
  <c r="AE556" i="1"/>
  <c r="AB556" i="1"/>
  <c r="Z556" i="1"/>
  <c r="V556" i="1"/>
  <c r="AB459" i="1"/>
  <c r="Z459" i="1"/>
  <c r="AM459" i="1" s="1"/>
  <c r="V459" i="1"/>
  <c r="AG536" i="1"/>
  <c r="AE536" i="1"/>
  <c r="AB536" i="1"/>
  <c r="Z536" i="1"/>
  <c r="V536" i="1"/>
  <c r="V427" i="1"/>
  <c r="V543" i="1"/>
  <c r="Z543" i="1"/>
  <c r="AG543" i="1"/>
  <c r="AE543" i="1"/>
  <c r="AB543" i="1"/>
  <c r="V411" i="1"/>
  <c r="V355" i="1"/>
  <c r="Z464" i="1"/>
  <c r="AM464" i="1" s="1"/>
  <c r="AB464" i="1"/>
  <c r="V464" i="1"/>
  <c r="V346" i="1"/>
  <c r="V221" i="1"/>
  <c r="V161" i="1"/>
  <c r="V187" i="1"/>
  <c r="V196" i="1"/>
  <c r="V111" i="1"/>
  <c r="V116" i="1"/>
  <c r="AB104" i="1"/>
  <c r="Z104" i="1"/>
  <c r="AM104" i="1" s="1"/>
  <c r="AB84" i="1"/>
  <c r="Z84" i="1"/>
  <c r="AM84" i="1" s="1"/>
  <c r="V84" i="1"/>
  <c r="AN835" i="1"/>
  <c r="AO835" i="1" s="1"/>
  <c r="U835" i="1"/>
  <c r="AB794" i="1"/>
  <c r="V794" i="1"/>
  <c r="AG794" i="1"/>
  <c r="AE794" i="1"/>
  <c r="Z794" i="1"/>
  <c r="U743" i="1"/>
  <c r="AN743" i="1"/>
  <c r="AO743" i="1" s="1"/>
  <c r="AB598" i="1"/>
  <c r="Z598" i="1"/>
  <c r="AG598" i="1"/>
  <c r="AE598" i="1"/>
  <c r="V598" i="1"/>
  <c r="AG633" i="1"/>
  <c r="AE633" i="1"/>
  <c r="Z633" i="1"/>
  <c r="AB633" i="1"/>
  <c r="V633" i="1"/>
  <c r="V463" i="1"/>
  <c r="AB463" i="1"/>
  <c r="Z463" i="1"/>
  <c r="AM463" i="1" s="1"/>
  <c r="V262" i="1"/>
  <c r="V193" i="1"/>
  <c r="AN824" i="1"/>
  <c r="AO824" i="1" s="1"/>
  <c r="U824" i="1"/>
  <c r="AB831" i="1"/>
  <c r="V831" i="1"/>
  <c r="AG831" i="1"/>
  <c r="AE831" i="1"/>
  <c r="Z831" i="1"/>
  <c r="V723" i="1"/>
  <c r="AG723" i="1"/>
  <c r="AE723" i="1"/>
  <c r="AB723" i="1"/>
  <c r="Z723" i="1"/>
  <c r="AB819" i="1"/>
  <c r="V819" i="1"/>
  <c r="AG819" i="1"/>
  <c r="AE819" i="1"/>
  <c r="Z819" i="1"/>
  <c r="V713" i="1"/>
  <c r="AG713" i="1"/>
  <c r="AE713" i="1"/>
  <c r="AB713" i="1"/>
  <c r="Z713" i="1"/>
  <c r="U704" i="1"/>
  <c r="Z728" i="1"/>
  <c r="AB728" i="1"/>
  <c r="V728" i="1"/>
  <c r="AG728" i="1"/>
  <c r="AE728" i="1"/>
  <c r="AG711" i="1"/>
  <c r="AE711" i="1"/>
  <c r="AB711" i="1"/>
  <c r="Z711" i="1"/>
  <c r="V711" i="1"/>
  <c r="U707" i="1"/>
  <c r="AG678" i="1"/>
  <c r="AB678" i="1"/>
  <c r="Z678" i="1"/>
  <c r="AE678" i="1"/>
  <c r="V678" i="1"/>
  <c r="AG677" i="1"/>
  <c r="V642" i="1"/>
  <c r="Z642" i="1"/>
  <c r="AG642" i="1"/>
  <c r="AE642" i="1"/>
  <c r="AB642" i="1"/>
  <c r="AG623" i="1"/>
  <c r="V623" i="1"/>
  <c r="AE623" i="1"/>
  <c r="AB623" i="1"/>
  <c r="Z623" i="1"/>
  <c r="U649" i="1"/>
  <c r="AM587" i="1"/>
  <c r="AE577" i="1"/>
  <c r="AB577" i="1"/>
  <c r="Z577" i="1"/>
  <c r="V577" i="1"/>
  <c r="AG577" i="1"/>
  <c r="AB602" i="1"/>
  <c r="Z602" i="1"/>
  <c r="AG602" i="1"/>
  <c r="AE602" i="1"/>
  <c r="V602" i="1"/>
  <c r="U505" i="1"/>
  <c r="V549" i="1"/>
  <c r="AG549" i="1"/>
  <c r="AE549" i="1"/>
  <c r="AB549" i="1"/>
  <c r="Z549" i="1"/>
  <c r="V408" i="1"/>
  <c r="V350" i="1"/>
  <c r="V314" i="1"/>
  <c r="V147" i="1"/>
  <c r="V234" i="1"/>
  <c r="V91" i="1"/>
  <c r="AB91" i="1"/>
  <c r="Z91" i="1"/>
  <c r="AM91" i="1" s="1"/>
  <c r="V94" i="1"/>
  <c r="V6" i="1"/>
  <c r="AB815" i="1"/>
  <c r="AG815" i="1"/>
  <c r="Z815" i="1"/>
  <c r="V815" i="1"/>
  <c r="AE815" i="1"/>
  <c r="Z670" i="1"/>
  <c r="V670" i="1"/>
  <c r="AE670" i="1"/>
  <c r="AB670" i="1"/>
  <c r="AG670" i="1"/>
  <c r="V372" i="1"/>
  <c r="AN827" i="1"/>
  <c r="AO827" i="1" s="1"/>
  <c r="U827" i="1"/>
  <c r="Z685" i="1"/>
  <c r="V685" i="1"/>
  <c r="AG685" i="1"/>
  <c r="AE685" i="1"/>
  <c r="AB685" i="1"/>
  <c r="U702" i="1"/>
  <c r="AB672" i="1"/>
  <c r="Z672" i="1"/>
  <c r="AG672" i="1"/>
  <c r="V672" i="1"/>
  <c r="AE672" i="1"/>
  <c r="AN651" i="1"/>
  <c r="AO651" i="1" s="1"/>
  <c r="U651" i="1"/>
  <c r="AN618" i="1"/>
  <c r="AO618" i="1" s="1"/>
  <c r="U618" i="1"/>
  <c r="U659" i="1"/>
  <c r="AB501" i="1"/>
  <c r="Z501" i="1"/>
  <c r="AG501" i="1"/>
  <c r="AE501" i="1"/>
  <c r="V501" i="1"/>
  <c r="AB628" i="1"/>
  <c r="Z628" i="1"/>
  <c r="AG628" i="1"/>
  <c r="AE628" i="1"/>
  <c r="V628" i="1"/>
  <c r="U539" i="1"/>
  <c r="U500" i="1"/>
  <c r="U506" i="1"/>
  <c r="AN506" i="1"/>
  <c r="AO506" i="1" s="1"/>
  <c r="AG494" i="1"/>
  <c r="AB494" i="1"/>
  <c r="Z494" i="1"/>
  <c r="AM494" i="1" s="1"/>
  <c r="V494" i="1"/>
  <c r="V418" i="1"/>
  <c r="V527" i="1"/>
  <c r="AG480" i="1"/>
  <c r="AE480" i="1"/>
  <c r="AB480" i="1"/>
  <c r="Z480" i="1"/>
  <c r="V366" i="1"/>
  <c r="V405" i="1"/>
  <c r="V344" i="1"/>
  <c r="AB449" i="1"/>
  <c r="Z449" i="1"/>
  <c r="AM449" i="1" s="1"/>
  <c r="V449" i="1"/>
  <c r="V329" i="1"/>
  <c r="V458" i="1"/>
  <c r="Z452" i="1"/>
  <c r="AM452" i="1" s="1"/>
  <c r="AG452" i="1"/>
  <c r="V452" i="1"/>
  <c r="V306" i="1"/>
  <c r="V301" i="1"/>
  <c r="V212" i="1"/>
  <c r="V217" i="1"/>
  <c r="V197" i="1"/>
  <c r="V167" i="1"/>
  <c r="V194" i="1"/>
  <c r="V15" i="1"/>
  <c r="V69" i="1"/>
  <c r="Z735" i="1"/>
  <c r="V735" i="1"/>
  <c r="AG735" i="1"/>
  <c r="AE735" i="1"/>
  <c r="AB735" i="1"/>
  <c r="AN821" i="1"/>
  <c r="AO821" i="1" s="1"/>
  <c r="U821" i="1"/>
  <c r="U807" i="1"/>
  <c r="AN818" i="1"/>
  <c r="AO818" i="1" s="1"/>
  <c r="U818" i="1"/>
  <c r="AB837" i="1"/>
  <c r="V837" i="1"/>
  <c r="AG837" i="1"/>
  <c r="AE837" i="1"/>
  <c r="Z837" i="1"/>
  <c r="V716" i="1"/>
  <c r="AG716" i="1"/>
  <c r="AE716" i="1"/>
  <c r="AB716" i="1"/>
  <c r="Z716" i="1"/>
  <c r="V721" i="1"/>
  <c r="AG721" i="1"/>
  <c r="AE721" i="1"/>
  <c r="AB721" i="1"/>
  <c r="Z721" i="1"/>
  <c r="V640" i="1"/>
  <c r="Z640" i="1"/>
  <c r="AG640" i="1"/>
  <c r="AE640" i="1"/>
  <c r="AB640" i="1"/>
  <c r="AN615" i="1"/>
  <c r="AO615" i="1" s="1"/>
  <c r="U615" i="1"/>
  <c r="AG593" i="1"/>
  <c r="AE593" i="1"/>
  <c r="AB593" i="1"/>
  <c r="Z593" i="1"/>
  <c r="V593" i="1"/>
  <c r="AG612" i="1"/>
  <c r="AE612" i="1"/>
  <c r="Z612" i="1"/>
  <c r="V612" i="1"/>
  <c r="AB612" i="1"/>
  <c r="AN495" i="1"/>
  <c r="AO495" i="1" s="1"/>
  <c r="U495" i="1"/>
  <c r="U533" i="1"/>
  <c r="AG497" i="1"/>
  <c r="AE497" i="1"/>
  <c r="Z497" i="1"/>
  <c r="V497" i="1"/>
  <c r="AB497" i="1"/>
  <c r="AB467" i="1"/>
  <c r="Z467" i="1"/>
  <c r="AM467" i="1" s="1"/>
  <c r="V467" i="1"/>
  <c r="V636" i="1"/>
  <c r="AG636" i="1"/>
  <c r="AE636" i="1"/>
  <c r="AB636" i="1"/>
  <c r="Z636" i="1"/>
  <c r="V401" i="1"/>
  <c r="AM530" i="1"/>
  <c r="V343" i="1"/>
  <c r="V324" i="1"/>
  <c r="V318" i="1"/>
  <c r="U493" i="1"/>
  <c r="V172" i="1"/>
  <c r="V260" i="1"/>
  <c r="V195" i="1"/>
  <c r="V71" i="1"/>
  <c r="V192" i="1"/>
  <c r="V44" i="1"/>
  <c r="AB81" i="1"/>
  <c r="Z81" i="1"/>
  <c r="AM81" i="1" s="1"/>
  <c r="V81" i="1"/>
  <c r="V76" i="1"/>
  <c r="U48" i="1"/>
  <c r="AJ36" i="1"/>
  <c r="AG36" i="1"/>
  <c r="AE36" i="1"/>
  <c r="AL36" i="1"/>
  <c r="V36" i="1"/>
  <c r="V717" i="1"/>
  <c r="AG717" i="1"/>
  <c r="AE717" i="1"/>
  <c r="AB717" i="1"/>
  <c r="Z717" i="1"/>
  <c r="AG547" i="1"/>
  <c r="AE547" i="1"/>
  <c r="AB547" i="1"/>
  <c r="Z547" i="1"/>
  <c r="V547" i="1"/>
  <c r="V362" i="1"/>
  <c r="V190" i="1"/>
  <c r="V13" i="1"/>
  <c r="AB798" i="1"/>
  <c r="V798" i="1"/>
  <c r="AG798" i="1"/>
  <c r="AE798" i="1"/>
  <c r="Z798" i="1"/>
  <c r="U700" i="1"/>
  <c r="AN700" i="1"/>
  <c r="AO700" i="1" s="1"/>
  <c r="Z698" i="1"/>
  <c r="V698" i="1"/>
  <c r="AG698" i="1"/>
  <c r="AE698" i="1"/>
  <c r="AB698" i="1"/>
  <c r="Z688" i="1"/>
  <c r="V688" i="1"/>
  <c r="AG688" i="1"/>
  <c r="AE688" i="1"/>
  <c r="AB688" i="1"/>
  <c r="V594" i="1"/>
  <c r="AB594" i="1"/>
  <c r="Z594" i="1"/>
  <c r="AG594" i="1"/>
  <c r="AE594" i="1"/>
  <c r="V641" i="1"/>
  <c r="AG641" i="1"/>
  <c r="AE641" i="1"/>
  <c r="AB641" i="1"/>
  <c r="Z641" i="1"/>
  <c r="AE606" i="1"/>
  <c r="V580" i="1"/>
  <c r="AG580" i="1"/>
  <c r="AE580" i="1"/>
  <c r="AB580" i="1"/>
  <c r="Z580" i="1"/>
  <c r="AG507" i="1"/>
  <c r="AE507" i="1"/>
  <c r="AB507" i="1"/>
  <c r="V507" i="1"/>
  <c r="Z507" i="1"/>
  <c r="V415" i="1"/>
  <c r="V457" i="1"/>
  <c r="V385" i="1"/>
  <c r="U550" i="1"/>
  <c r="V420" i="1"/>
  <c r="V272" i="1"/>
  <c r="V268" i="1"/>
  <c r="V328" i="1"/>
  <c r="V159" i="1"/>
  <c r="AE55" i="1"/>
  <c r="AM55" i="1" s="1"/>
  <c r="AG55" i="1"/>
  <c r="AG43" i="1"/>
  <c r="AE43" i="1"/>
  <c r="AM43" i="1" s="1"/>
  <c r="V43" i="1"/>
  <c r="AM38" i="1"/>
  <c r="AB786" i="1"/>
  <c r="V786" i="1"/>
  <c r="AG786" i="1"/>
  <c r="AE786" i="1"/>
  <c r="Z786" i="1"/>
  <c r="AB843" i="1"/>
  <c r="V843" i="1"/>
  <c r="AG843" i="1"/>
  <c r="AE843" i="1"/>
  <c r="Z843" i="1"/>
  <c r="U785" i="1"/>
  <c r="Z736" i="1"/>
  <c r="AB736" i="1"/>
  <c r="V736" i="1"/>
  <c r="AG736" i="1"/>
  <c r="AE736" i="1"/>
  <c r="V684" i="1"/>
  <c r="AG684" i="1"/>
  <c r="AE684" i="1"/>
  <c r="AB684" i="1"/>
  <c r="Z684" i="1"/>
  <c r="Z740" i="1"/>
  <c r="AB740" i="1"/>
  <c r="V740" i="1"/>
  <c r="AG740" i="1"/>
  <c r="AE740" i="1"/>
  <c r="V715" i="1"/>
  <c r="AG715" i="1"/>
  <c r="AE715" i="1"/>
  <c r="AB715" i="1"/>
  <c r="Z715" i="1"/>
  <c r="AE686" i="1"/>
  <c r="AE674" i="1"/>
  <c r="AB674" i="1"/>
  <c r="Z674" i="1"/>
  <c r="AG674" i="1"/>
  <c r="V674" i="1"/>
  <c r="V638" i="1"/>
  <c r="Z638" i="1"/>
  <c r="AG638" i="1"/>
  <c r="AE638" i="1"/>
  <c r="AB638" i="1"/>
  <c r="Z592" i="1"/>
  <c r="AM657" i="1"/>
  <c r="V573" i="1"/>
  <c r="V648" i="1"/>
  <c r="Z648" i="1"/>
  <c r="AG648" i="1"/>
  <c r="AE648" i="1"/>
  <c r="AB648" i="1"/>
  <c r="AN492" i="1"/>
  <c r="AO492" i="1" s="1"/>
  <c r="U492" i="1"/>
  <c r="V488" i="1"/>
  <c r="AE488" i="1"/>
  <c r="Z488" i="1"/>
  <c r="AG488" i="1"/>
  <c r="AB488" i="1"/>
  <c r="U499" i="1"/>
  <c r="AN515" i="1"/>
  <c r="AO515" i="1" s="1"/>
  <c r="U515" i="1"/>
  <c r="U476" i="1"/>
  <c r="AN476" i="1"/>
  <c r="AO476" i="1" s="1"/>
  <c r="V542" i="1"/>
  <c r="AG542" i="1"/>
  <c r="AE542" i="1"/>
  <c r="AB542" i="1"/>
  <c r="Z542" i="1"/>
  <c r="U503" i="1"/>
  <c r="V434" i="1"/>
  <c r="V325" i="1"/>
  <c r="V308" i="1"/>
  <c r="V265" i="1"/>
  <c r="V138" i="1"/>
  <c r="V199" i="1"/>
  <c r="V213" i="1"/>
  <c r="V174" i="1"/>
  <c r="U61" i="1"/>
  <c r="U53" i="1"/>
  <c r="AB592" i="1" l="1"/>
  <c r="V624" i="1"/>
  <c r="Z585" i="1"/>
  <c r="AG590" i="1"/>
  <c r="AG585" i="1"/>
  <c r="Z639" i="1"/>
  <c r="V585" i="1"/>
  <c r="AB639" i="1"/>
  <c r="AE590" i="1"/>
  <c r="AE639" i="1"/>
  <c r="AG639" i="1"/>
  <c r="Z511" i="1"/>
  <c r="AB719" i="1"/>
  <c r="Z514" i="1"/>
  <c r="Z680" i="1"/>
  <c r="V511" i="1"/>
  <c r="Z719" i="1"/>
  <c r="AE592" i="1"/>
  <c r="Z750" i="1"/>
  <c r="AE719" i="1"/>
  <c r="AE624" i="1"/>
  <c r="AE511" i="1"/>
  <c r="AG592" i="1"/>
  <c r="AG719" i="1"/>
  <c r="AG624" i="1"/>
  <c r="AB511" i="1"/>
  <c r="AG679" i="1"/>
  <c r="Z810" i="1"/>
  <c r="AE810" i="1"/>
  <c r="V650" i="1"/>
  <c r="AB482" i="1"/>
  <c r="AB590" i="1"/>
  <c r="V478" i="1"/>
  <c r="AM513" i="1"/>
  <c r="AG514" i="1"/>
  <c r="Z643" i="1"/>
  <c r="V606" i="1"/>
  <c r="AM796" i="1"/>
  <c r="Z747" i="1"/>
  <c r="V747" i="1"/>
  <c r="AE747" i="1"/>
  <c r="AB747" i="1"/>
  <c r="AG747" i="1"/>
  <c r="AG606" i="1"/>
  <c r="V738" i="1"/>
  <c r="AG708" i="1"/>
  <c r="Z800" i="1"/>
  <c r="V482" i="1"/>
  <c r="Z629" i="1"/>
  <c r="V658" i="1"/>
  <c r="AB738" i="1"/>
  <c r="AE516" i="1"/>
  <c r="Z606" i="1"/>
  <c r="AE738" i="1"/>
  <c r="AB718" i="1"/>
  <c r="V763" i="1"/>
  <c r="AM671" i="1"/>
  <c r="V680" i="1"/>
  <c r="AB772" i="1"/>
  <c r="AB694" i="1"/>
  <c r="AG738" i="1"/>
  <c r="AE611" i="1"/>
  <c r="AE694" i="1"/>
  <c r="AG611" i="1"/>
  <c r="AB647" i="1"/>
  <c r="Z504" i="1"/>
  <c r="Z617" i="1"/>
  <c r="AE680" i="1"/>
  <c r="AM680" i="1" s="1"/>
  <c r="AM664" i="1"/>
  <c r="AM590" i="1"/>
  <c r="V629" i="1"/>
  <c r="Z478" i="1"/>
  <c r="AE647" i="1"/>
  <c r="AB504" i="1"/>
  <c r="Z482" i="1"/>
  <c r="AG629" i="1"/>
  <c r="AB516" i="1"/>
  <c r="AE482" i="1"/>
  <c r="AE664" i="1"/>
  <c r="V772" i="1"/>
  <c r="AE514" i="1"/>
  <c r="AM514" i="1" s="1"/>
  <c r="V734" i="1"/>
  <c r="AE478" i="1"/>
  <c r="Z601" i="1"/>
  <c r="AG647" i="1"/>
  <c r="AB666" i="1"/>
  <c r="AG696" i="1"/>
  <c r="Z590" i="1"/>
  <c r="AG772" i="1"/>
  <c r="AE629" i="1"/>
  <c r="AB514" i="1"/>
  <c r="V552" i="1"/>
  <c r="Z552" i="1"/>
  <c r="AG552" i="1"/>
  <c r="AB552" i="1"/>
  <c r="AE552" i="1"/>
  <c r="AB478" i="1"/>
  <c r="AE601" i="1"/>
  <c r="AE753" i="1"/>
  <c r="AE772" i="1"/>
  <c r="AM772" i="1" s="1"/>
  <c r="AG810" i="1"/>
  <c r="AG658" i="1"/>
  <c r="AG601" i="1"/>
  <c r="V729" i="1"/>
  <c r="AG814" i="1"/>
  <c r="AB810" i="1"/>
  <c r="AB601" i="1"/>
  <c r="AB734" i="1"/>
  <c r="AE679" i="1"/>
  <c r="AE729" i="1"/>
  <c r="AB617" i="1"/>
  <c r="AB664" i="1"/>
  <c r="AE630" i="1"/>
  <c r="AB630" i="1"/>
  <c r="V630" i="1"/>
  <c r="AG630" i="1"/>
  <c r="Z630" i="1"/>
  <c r="AM630" i="1" s="1"/>
  <c r="AE734" i="1"/>
  <c r="AM734" i="1" s="1"/>
  <c r="Z724" i="1"/>
  <c r="V679" i="1"/>
  <c r="AG729" i="1"/>
  <c r="AG617" i="1"/>
  <c r="Z487" i="1"/>
  <c r="AG734" i="1"/>
  <c r="AB724" i="1"/>
  <c r="Z679" i="1"/>
  <c r="Z795" i="1"/>
  <c r="AM589" i="1"/>
  <c r="AE617" i="1"/>
  <c r="AG520" i="1"/>
  <c r="AE520" i="1"/>
  <c r="V520" i="1"/>
  <c r="AB520" i="1"/>
  <c r="Z520" i="1"/>
  <c r="AB487" i="1"/>
  <c r="AE724" i="1"/>
  <c r="V588" i="1"/>
  <c r="AE795" i="1"/>
  <c r="Z662" i="1"/>
  <c r="AG662" i="1"/>
  <c r="V662" i="1"/>
  <c r="AE662" i="1"/>
  <c r="AB662" i="1"/>
  <c r="AG487" i="1"/>
  <c r="AG724" i="1"/>
  <c r="Z588" i="1"/>
  <c r="AG795" i="1"/>
  <c r="AM745" i="1"/>
  <c r="AE487" i="1"/>
  <c r="AB588" i="1"/>
  <c r="V795" i="1"/>
  <c r="V708" i="1"/>
  <c r="AM759" i="1"/>
  <c r="Z658" i="1"/>
  <c r="AM658" i="1" s="1"/>
  <c r="AE588" i="1"/>
  <c r="Z708" i="1"/>
  <c r="AM708" i="1" s="1"/>
  <c r="AB754" i="1"/>
  <c r="AB658" i="1"/>
  <c r="AB708" i="1"/>
  <c r="Z814" i="1"/>
  <c r="AG664" i="1"/>
  <c r="V664" i="1"/>
  <c r="AG681" i="1"/>
  <c r="AG774" i="1"/>
  <c r="Z525" i="1"/>
  <c r="Z528" i="1"/>
  <c r="V681" i="1"/>
  <c r="AE800" i="1"/>
  <c r="AM800" i="1" s="1"/>
  <c r="AB774" i="1"/>
  <c r="V774" i="1"/>
  <c r="AB525" i="1"/>
  <c r="AB528" i="1"/>
  <c r="V813" i="1"/>
  <c r="AG800" i="1"/>
  <c r="Z774" i="1"/>
  <c r="AE525" i="1"/>
  <c r="Z546" i="1"/>
  <c r="AE528" i="1"/>
  <c r="Z822" i="1"/>
  <c r="AE813" i="1"/>
  <c r="AM813" i="1" s="1"/>
  <c r="V800" i="1"/>
  <c r="AG525" i="1"/>
  <c r="AB546" i="1"/>
  <c r="AG528" i="1"/>
  <c r="AB483" i="1"/>
  <c r="AE822" i="1"/>
  <c r="Z813" i="1"/>
  <c r="AE681" i="1"/>
  <c r="V842" i="1"/>
  <c r="AE546" i="1"/>
  <c r="AM546" i="1" s="1"/>
  <c r="AG822" i="1"/>
  <c r="AG813" i="1"/>
  <c r="AE842" i="1"/>
  <c r="AM842" i="1" s="1"/>
  <c r="AB677" i="1"/>
  <c r="AG546" i="1"/>
  <c r="V822" i="1"/>
  <c r="AE650" i="1"/>
  <c r="V597" i="1"/>
  <c r="AM609" i="1"/>
  <c r="Z710" i="1"/>
  <c r="AG842" i="1"/>
  <c r="V677" i="1"/>
  <c r="AG650" i="1"/>
  <c r="AE597" i="1"/>
  <c r="AM597" i="1" s="1"/>
  <c r="AB842" i="1"/>
  <c r="Z677" i="1"/>
  <c r="Z650" i="1"/>
  <c r="AG597" i="1"/>
  <c r="AM584" i="1"/>
  <c r="AG448" i="1"/>
  <c r="AB826" i="1"/>
  <c r="V787" i="1"/>
  <c r="V483" i="1"/>
  <c r="Z512" i="1"/>
  <c r="AM512" i="1" s="1"/>
  <c r="AB787" i="1"/>
  <c r="Z483" i="1"/>
  <c r="AB512" i="1"/>
  <c r="Z828" i="1"/>
  <c r="AM828" i="1" s="1"/>
  <c r="AE512" i="1"/>
  <c r="AE483" i="1"/>
  <c r="AG512" i="1"/>
  <c r="AE793" i="1"/>
  <c r="AG676" i="1"/>
  <c r="AG793" i="1"/>
  <c r="Z793" i="1"/>
  <c r="V545" i="1"/>
  <c r="AG444" i="1"/>
  <c r="AM482" i="1"/>
  <c r="Z720" i="1"/>
  <c r="V793" i="1"/>
  <c r="Z545" i="1"/>
  <c r="V444" i="1"/>
  <c r="AB545" i="1"/>
  <c r="Z444" i="1"/>
  <c r="AM444" i="1" s="1"/>
  <c r="Z448" i="1"/>
  <c r="AM448" i="1" s="1"/>
  <c r="AB720" i="1"/>
  <c r="Z826" i="1"/>
  <c r="AE720" i="1"/>
  <c r="AE545" i="1"/>
  <c r="AB444" i="1"/>
  <c r="AE826" i="1"/>
  <c r="Z787" i="1"/>
  <c r="AG720" i="1"/>
  <c r="AE676" i="1"/>
  <c r="AM676" i="1" s="1"/>
  <c r="AG826" i="1"/>
  <c r="AE787" i="1"/>
  <c r="AM586" i="1"/>
  <c r="V718" i="1"/>
  <c r="AG748" i="1"/>
  <c r="AE748" i="1"/>
  <c r="AB748" i="1"/>
  <c r="Z748" i="1"/>
  <c r="AM748" i="1" s="1"/>
  <c r="V748" i="1"/>
  <c r="Z595" i="1"/>
  <c r="AB661" i="1"/>
  <c r="AB595" i="1"/>
  <c r="V749" i="1"/>
  <c r="AG749" i="1"/>
  <c r="AE749" i="1"/>
  <c r="Z749" i="1"/>
  <c r="AB749" i="1"/>
  <c r="AE595" i="1"/>
  <c r="V448" i="1"/>
  <c r="AG595" i="1"/>
  <c r="Z718" i="1"/>
  <c r="AG754" i="1"/>
  <c r="AE696" i="1"/>
  <c r="AM696" i="1" s="1"/>
  <c r="AE718" i="1"/>
  <c r="AM516" i="1"/>
  <c r="AB643" i="1"/>
  <c r="AG553" i="1"/>
  <c r="AE627" i="1"/>
  <c r="V712" i="1"/>
  <c r="AG765" i="1"/>
  <c r="V608" i="1"/>
  <c r="AE643" i="1"/>
  <c r="Z686" i="1"/>
  <c r="V553" i="1"/>
  <c r="AG643" i="1"/>
  <c r="Z627" i="1"/>
  <c r="Z712" i="1"/>
  <c r="AG828" i="1"/>
  <c r="AE712" i="1"/>
  <c r="V686" i="1"/>
  <c r="Z553" i="1"/>
  <c r="V456" i="1"/>
  <c r="AB627" i="1"/>
  <c r="AB712" i="1"/>
  <c r="V828" i="1"/>
  <c r="AE765" i="1"/>
  <c r="Z765" i="1"/>
  <c r="AB553" i="1"/>
  <c r="Z456" i="1"/>
  <c r="AB608" i="1"/>
  <c r="AG608" i="1"/>
  <c r="AB456" i="1"/>
  <c r="V802" i="1"/>
  <c r="AB699" i="1"/>
  <c r="AE456" i="1"/>
  <c r="AE699" i="1"/>
  <c r="AM699" i="1" s="1"/>
  <c r="Z816" i="1"/>
  <c r="AG699" i="1"/>
  <c r="AG686" i="1"/>
  <c r="V611" i="1"/>
  <c r="AE816" i="1"/>
  <c r="V699" i="1"/>
  <c r="AB611" i="1"/>
  <c r="AG816" i="1"/>
  <c r="Z608" i="1"/>
  <c r="AM608" i="1" s="1"/>
  <c r="AB765" i="1"/>
  <c r="AM491" i="1"/>
  <c r="AM631" i="1"/>
  <c r="AM46" i="5"/>
  <c r="AG40" i="5"/>
  <c r="AE40" i="5"/>
  <c r="AB40" i="5"/>
  <c r="Z40" i="5"/>
  <c r="AM40" i="5" s="1"/>
  <c r="V40" i="5"/>
  <c r="V42" i="5"/>
  <c r="AG42" i="5"/>
  <c r="AE42" i="5"/>
  <c r="AB42" i="5"/>
  <c r="Z42" i="5"/>
  <c r="AM42" i="5" s="1"/>
  <c r="AG694" i="1"/>
  <c r="AE710" i="1"/>
  <c r="AM710" i="1" s="1"/>
  <c r="AE789" i="1"/>
  <c r="AB583" i="1"/>
  <c r="AE661" i="1"/>
  <c r="Z803" i="1"/>
  <c r="Z763" i="1"/>
  <c r="AM763" i="1" s="1"/>
  <c r="AB763" i="1"/>
  <c r="AG710" i="1"/>
  <c r="AG789" i="1"/>
  <c r="V583" i="1"/>
  <c r="Z446" i="1"/>
  <c r="AM446" i="1" s="1"/>
  <c r="AB773" i="1"/>
  <c r="Z773" i="1"/>
  <c r="AM773" i="1" s="1"/>
  <c r="V773" i="1"/>
  <c r="AG773" i="1"/>
  <c r="AB710" i="1"/>
  <c r="V694" i="1"/>
  <c r="Z792" i="1"/>
  <c r="Z789" i="1"/>
  <c r="Z583" i="1"/>
  <c r="AB446" i="1"/>
  <c r="Z661" i="1"/>
  <c r="AE792" i="1"/>
  <c r="V789" i="1"/>
  <c r="AE583" i="1"/>
  <c r="AM583" i="1" s="1"/>
  <c r="AG446" i="1"/>
  <c r="AE803" i="1"/>
  <c r="AG792" i="1"/>
  <c r="Z682" i="1"/>
  <c r="AB803" i="1"/>
  <c r="V792" i="1"/>
  <c r="AB682" i="1"/>
  <c r="Z714" i="1"/>
  <c r="V805" i="1"/>
  <c r="AG661" i="1"/>
  <c r="AM761" i="1"/>
  <c r="Z527" i="1"/>
  <c r="AE682" i="1"/>
  <c r="AB714" i="1"/>
  <c r="AM756" i="1"/>
  <c r="AB527" i="1"/>
  <c r="AG682" i="1"/>
  <c r="AE581" i="1"/>
  <c r="AE714" i="1"/>
  <c r="AG803" i="1"/>
  <c r="AB581" i="1"/>
  <c r="AE527" i="1"/>
  <c r="AG581" i="1"/>
  <c r="AG714" i="1"/>
  <c r="AM521" i="1"/>
  <c r="V676" i="1"/>
  <c r="AB750" i="1"/>
  <c r="AB479" i="1"/>
  <c r="V479" i="1"/>
  <c r="Z479" i="1"/>
  <c r="AE479" i="1"/>
  <c r="AG479" i="1"/>
  <c r="Z613" i="1"/>
  <c r="AB613" i="1"/>
  <c r="V613" i="1"/>
  <c r="AG613" i="1"/>
  <c r="AE613" i="1"/>
  <c r="AE750" i="1"/>
  <c r="AM750" i="1" s="1"/>
  <c r="AG802" i="1"/>
  <c r="AE504" i="1"/>
  <c r="AM504" i="1" s="1"/>
  <c r="V519" i="1"/>
  <c r="AG750" i="1"/>
  <c r="AE802" i="1"/>
  <c r="AM802" i="1" s="1"/>
  <c r="AB519" i="1"/>
  <c r="AE519" i="1"/>
  <c r="AB802" i="1"/>
  <c r="AB691" i="1"/>
  <c r="Z691" i="1"/>
  <c r="V691" i="1"/>
  <c r="AE691" i="1"/>
  <c r="AG691" i="1"/>
  <c r="AB760" i="1"/>
  <c r="AG760" i="1"/>
  <c r="AE760" i="1"/>
  <c r="Z760" i="1"/>
  <c r="V760" i="1"/>
  <c r="V754" i="1"/>
  <c r="Z754" i="1"/>
  <c r="AM754" i="1" s="1"/>
  <c r="AG753" i="1"/>
  <c r="AG635" i="1"/>
  <c r="AE635" i="1"/>
  <c r="AM635" i="1" s="1"/>
  <c r="V635" i="1"/>
  <c r="AB635" i="1"/>
  <c r="Z519" i="1"/>
  <c r="AE804" i="1"/>
  <c r="AB806" i="1"/>
  <c r="AG806" i="1"/>
  <c r="AE806" i="1"/>
  <c r="Z806" i="1"/>
  <c r="V806" i="1"/>
  <c r="V753" i="1"/>
  <c r="Z753" i="1"/>
  <c r="AM753" i="1" s="1"/>
  <c r="AG504" i="1"/>
  <c r="V696" i="1"/>
  <c r="V804" i="1"/>
  <c r="Z804" i="1"/>
  <c r="AB696" i="1"/>
  <c r="AB804" i="1"/>
  <c r="AE607" i="1"/>
  <c r="AB607" i="1"/>
  <c r="AG755" i="1"/>
  <c r="AE755" i="1"/>
  <c r="V755" i="1"/>
  <c r="AB755" i="1"/>
  <c r="Z755" i="1"/>
  <c r="AG751" i="1"/>
  <c r="AE751" i="1"/>
  <c r="AB751" i="1"/>
  <c r="Z751" i="1"/>
  <c r="V751" i="1"/>
  <c r="Z607" i="1"/>
  <c r="AG607" i="1"/>
  <c r="AG622" i="1"/>
  <c r="AG535" i="1"/>
  <c r="AE535" i="1"/>
  <c r="AB535" i="1"/>
  <c r="Z535" i="1"/>
  <c r="V535" i="1"/>
  <c r="AB673" i="1"/>
  <c r="Z673" i="1"/>
  <c r="AG673" i="1"/>
  <c r="V673" i="1"/>
  <c r="AE673" i="1"/>
  <c r="V622" i="1"/>
  <c r="AG548" i="1"/>
  <c r="AE548" i="1"/>
  <c r="AB548" i="1"/>
  <c r="Z548" i="1"/>
  <c r="V548" i="1"/>
  <c r="AE695" i="1"/>
  <c r="AB695" i="1"/>
  <c r="Z695" i="1"/>
  <c r="V695" i="1"/>
  <c r="AG695" i="1"/>
  <c r="AM715" i="1"/>
  <c r="V752" i="1"/>
  <c r="AG752" i="1"/>
  <c r="AE752" i="1"/>
  <c r="AB752" i="1"/>
  <c r="Z752" i="1"/>
  <c r="AE739" i="1"/>
  <c r="AB739" i="1"/>
  <c r="AG739" i="1"/>
  <c r="Z739" i="1"/>
  <c r="V739" i="1"/>
  <c r="V701" i="1"/>
  <c r="Z654" i="1"/>
  <c r="AG654" i="1"/>
  <c r="AE654" i="1"/>
  <c r="V654" i="1"/>
  <c r="AB654" i="1"/>
  <c r="Z701" i="1"/>
  <c r="AM701" i="1" s="1"/>
  <c r="AB668" i="1"/>
  <c r="AB701" i="1"/>
  <c r="AE668" i="1"/>
  <c r="Z668" i="1"/>
  <c r="AG701" i="1"/>
  <c r="AG668" i="1"/>
  <c r="AB510" i="1"/>
  <c r="Z510" i="1"/>
  <c r="V510" i="1"/>
  <c r="AE510" i="1"/>
  <c r="AG510" i="1"/>
  <c r="AM45" i="5"/>
  <c r="AM37" i="5"/>
  <c r="AM41" i="5"/>
  <c r="AM39" i="5"/>
  <c r="AM36" i="1"/>
  <c r="AM665" i="1"/>
  <c r="AM579" i="1"/>
  <c r="AM488" i="1"/>
  <c r="AM577" i="1"/>
  <c r="Z622" i="1"/>
  <c r="AM622" i="1" s="1"/>
  <c r="AM620" i="1"/>
  <c r="AB622" i="1"/>
  <c r="AM740" i="1"/>
  <c r="AM578" i="1"/>
  <c r="AM717" i="1"/>
  <c r="AM735" i="1"/>
  <c r="AM637" i="1"/>
  <c r="AG496" i="1"/>
  <c r="AE496" i="1"/>
  <c r="AB496" i="1"/>
  <c r="Z496" i="1"/>
  <c r="V496" i="1"/>
  <c r="AM556" i="1"/>
  <c r="AM619" i="1"/>
  <c r="AM666" i="1"/>
  <c r="AB778" i="1"/>
  <c r="Z778" i="1"/>
  <c r="V778" i="1"/>
  <c r="AG778" i="1"/>
  <c r="AE778" i="1"/>
  <c r="AM511" i="1"/>
  <c r="AB762" i="1"/>
  <c r="Z762" i="1"/>
  <c r="V762" i="1"/>
  <c r="AG762" i="1"/>
  <c r="AE762" i="1"/>
  <c r="Z450" i="1"/>
  <c r="AM450" i="1" s="1"/>
  <c r="AB450" i="1"/>
  <c r="AG450" i="1"/>
  <c r="V450" i="1"/>
  <c r="AM784" i="1"/>
  <c r="AM545" i="1"/>
  <c r="AM766" i="1"/>
  <c r="AM675" i="1"/>
  <c r="AM736" i="1"/>
  <c r="AM727" i="1"/>
  <c r="AB780" i="1"/>
  <c r="Z780" i="1"/>
  <c r="V780" i="1"/>
  <c r="AG780" i="1"/>
  <c r="AE780" i="1"/>
  <c r="AM507" i="1"/>
  <c r="V741" i="1"/>
  <c r="Z741" i="1"/>
  <c r="AG741" i="1"/>
  <c r="AE741" i="1"/>
  <c r="AB741" i="1"/>
  <c r="V783" i="1"/>
  <c r="AG783" i="1"/>
  <c r="AE783" i="1"/>
  <c r="AB783" i="1"/>
  <c r="Z783" i="1"/>
  <c r="AM542" i="1"/>
  <c r="AM843" i="1"/>
  <c r="AM698" i="1"/>
  <c r="AM497" i="1"/>
  <c r="AM602" i="1"/>
  <c r="AM640" i="1"/>
  <c r="AM480" i="1"/>
  <c r="AB669" i="1"/>
  <c r="Z669" i="1"/>
  <c r="V669" i="1"/>
  <c r="AG669" i="1"/>
  <c r="AE669" i="1"/>
  <c r="AG551" i="1"/>
  <c r="AE551" i="1"/>
  <c r="AB551" i="1"/>
  <c r="Z551" i="1"/>
  <c r="V551" i="1"/>
  <c r="AM638" i="1"/>
  <c r="AB485" i="1"/>
  <c r="V485" i="1"/>
  <c r="AG485" i="1"/>
  <c r="Z485" i="1"/>
  <c r="AE485" i="1"/>
  <c r="AE840" i="1"/>
  <c r="Z840" i="1"/>
  <c r="V840" i="1"/>
  <c r="AB840" i="1"/>
  <c r="AG840" i="1"/>
  <c r="AM688" i="1"/>
  <c r="AM728" i="1"/>
  <c r="AM648" i="1"/>
  <c r="AM524" i="1"/>
  <c r="AM585" i="1"/>
  <c r="AM834" i="1"/>
  <c r="AM580" i="1"/>
  <c r="AM547" i="1"/>
  <c r="AM612" i="1"/>
  <c r="AM831" i="1"/>
  <c r="AM532" i="1"/>
  <c r="AG610" i="1"/>
  <c r="AE610" i="1"/>
  <c r="V610" i="1"/>
  <c r="AB610" i="1"/>
  <c r="Z610" i="1"/>
  <c r="Z697" i="1"/>
  <c r="V697" i="1"/>
  <c r="AG697" i="1"/>
  <c r="AE697" i="1"/>
  <c r="AB697" i="1"/>
  <c r="AM786" i="1"/>
  <c r="AM798" i="1"/>
  <c r="AM636" i="1"/>
  <c r="AM617" i="1"/>
  <c r="AM684" i="1"/>
  <c r="AM681" i="1"/>
  <c r="Z526" i="1"/>
  <c r="V526" i="1"/>
  <c r="AG526" i="1"/>
  <c r="AE526" i="1"/>
  <c r="AB526" i="1"/>
  <c r="Z732" i="1"/>
  <c r="AB732" i="1"/>
  <c r="V732" i="1"/>
  <c r="AG732" i="1"/>
  <c r="AE732" i="1"/>
  <c r="AE603" i="1"/>
  <c r="V603" i="1"/>
  <c r="AB603" i="1"/>
  <c r="Z603" i="1"/>
  <c r="AG603" i="1"/>
  <c r="AG632" i="1"/>
  <c r="AE632" i="1"/>
  <c r="Z632" i="1"/>
  <c r="AB632" i="1"/>
  <c r="V632" i="1"/>
  <c r="V625" i="1"/>
  <c r="AB625" i="1"/>
  <c r="Z625" i="1"/>
  <c r="AG625" i="1"/>
  <c r="AE625" i="1"/>
  <c r="AE829" i="1"/>
  <c r="Z829" i="1"/>
  <c r="AB829" i="1"/>
  <c r="AG829" i="1"/>
  <c r="V829" i="1"/>
  <c r="AM549" i="1"/>
  <c r="AM653" i="1"/>
  <c r="AM650" i="1"/>
  <c r="V60" i="1"/>
  <c r="AG60" i="1"/>
  <c r="AE60" i="1"/>
  <c r="AM60" i="1" s="1"/>
  <c r="Z770" i="1"/>
  <c r="V770" i="1"/>
  <c r="AG770" i="1"/>
  <c r="AE770" i="1"/>
  <c r="AB770" i="1"/>
  <c r="AM804" i="1"/>
  <c r="AM600" i="1"/>
  <c r="AM614" i="1"/>
  <c r="Z769" i="1"/>
  <c r="V769" i="1"/>
  <c r="AG769" i="1"/>
  <c r="AB769" i="1"/>
  <c r="AE769" i="1"/>
  <c r="AM594" i="1"/>
  <c r="AM642" i="1"/>
  <c r="AM711" i="1"/>
  <c r="AM644" i="1"/>
  <c r="AM795" i="1"/>
  <c r="AM646" i="1"/>
  <c r="AM634" i="1"/>
  <c r="AM776" i="1"/>
  <c r="V733" i="1"/>
  <c r="Z733" i="1"/>
  <c r="AG733" i="1"/>
  <c r="AE733" i="1"/>
  <c r="AB733" i="1"/>
  <c r="Z730" i="1"/>
  <c r="AG730" i="1"/>
  <c r="AE730" i="1"/>
  <c r="V730" i="1"/>
  <c r="AB730" i="1"/>
  <c r="AE477" i="1"/>
  <c r="V477" i="1"/>
  <c r="AB477" i="1"/>
  <c r="Z477" i="1"/>
  <c r="AG477" i="1"/>
  <c r="AB509" i="1"/>
  <c r="Z509" i="1"/>
  <c r="V509" i="1"/>
  <c r="AG509" i="1"/>
  <c r="AE509" i="1"/>
  <c r="Z811" i="1"/>
  <c r="V811" i="1"/>
  <c r="AB811" i="1"/>
  <c r="AG811" i="1"/>
  <c r="AE811" i="1"/>
  <c r="AB498" i="1"/>
  <c r="Z498" i="1"/>
  <c r="AG498" i="1"/>
  <c r="AE498" i="1"/>
  <c r="V498" i="1"/>
  <c r="Z591" i="1"/>
  <c r="AB591" i="1"/>
  <c r="V591" i="1"/>
  <c r="AG591" i="1"/>
  <c r="AE591" i="1"/>
  <c r="AM819" i="1"/>
  <c r="AE805" i="1"/>
  <c r="AM805" i="1" s="1"/>
  <c r="AG706" i="1"/>
  <c r="AE706" i="1"/>
  <c r="AB706" i="1"/>
  <c r="Z706" i="1"/>
  <c r="V706" i="1"/>
  <c r="AB779" i="1"/>
  <c r="AG779" i="1"/>
  <c r="AE779" i="1"/>
  <c r="Z779" i="1"/>
  <c r="V779" i="1"/>
  <c r="Z777" i="1"/>
  <c r="V777" i="1"/>
  <c r="AG777" i="1"/>
  <c r="AE777" i="1"/>
  <c r="AB777" i="1"/>
  <c r="Z689" i="1"/>
  <c r="V689" i="1"/>
  <c r="AG689" i="1"/>
  <c r="AE689" i="1"/>
  <c r="AB689" i="1"/>
  <c r="Z529" i="1"/>
  <c r="AE529" i="1"/>
  <c r="AB529" i="1"/>
  <c r="V529" i="1"/>
  <c r="AG529" i="1"/>
  <c r="AG805" i="1"/>
  <c r="AE554" i="1"/>
  <c r="V554" i="1"/>
  <c r="AB554" i="1"/>
  <c r="Z554" i="1"/>
  <c r="AG554" i="1"/>
  <c r="AB805" i="1"/>
  <c r="AG742" i="1"/>
  <c r="AE742" i="1"/>
  <c r="AB742" i="1"/>
  <c r="V742" i="1"/>
  <c r="Z742" i="1"/>
  <c r="AG690" i="1"/>
  <c r="AE690" i="1"/>
  <c r="AB690" i="1"/>
  <c r="Z690" i="1"/>
  <c r="V690" i="1"/>
  <c r="Z626" i="1"/>
  <c r="AE626" i="1"/>
  <c r="V626" i="1"/>
  <c r="AG626" i="1"/>
  <c r="AB626" i="1"/>
  <c r="AM489" i="1"/>
  <c r="AM825" i="1"/>
  <c r="AM714" i="1"/>
  <c r="AB782" i="1"/>
  <c r="Z782" i="1"/>
  <c r="V782" i="1"/>
  <c r="AG782" i="1"/>
  <c r="AE782" i="1"/>
  <c r="AB693" i="1"/>
  <c r="Z693" i="1"/>
  <c r="V693" i="1"/>
  <c r="AG693" i="1"/>
  <c r="AE693" i="1"/>
  <c r="AE503" i="1"/>
  <c r="AB503" i="1"/>
  <c r="Z503" i="1"/>
  <c r="V503" i="1"/>
  <c r="AG503" i="1"/>
  <c r="AG492" i="1"/>
  <c r="AB492" i="1"/>
  <c r="Z492" i="1"/>
  <c r="AE492" i="1"/>
  <c r="V492" i="1"/>
  <c r="AM721" i="1"/>
  <c r="AB807" i="1"/>
  <c r="Z807" i="1"/>
  <c r="AE807" i="1"/>
  <c r="V807" i="1"/>
  <c r="AG807" i="1"/>
  <c r="V649" i="1"/>
  <c r="Z649" i="1"/>
  <c r="AG649" i="1"/>
  <c r="AE649" i="1"/>
  <c r="AB649" i="1"/>
  <c r="AB824" i="1"/>
  <c r="AG824" i="1"/>
  <c r="AE824" i="1"/>
  <c r="V824" i="1"/>
  <c r="Z824" i="1"/>
  <c r="V725" i="1"/>
  <c r="AG725" i="1"/>
  <c r="AE725" i="1"/>
  <c r="AB725" i="1"/>
  <c r="Z725" i="1"/>
  <c r="AB830" i="1"/>
  <c r="AG830" i="1"/>
  <c r="AE830" i="1"/>
  <c r="V830" i="1"/>
  <c r="Z830" i="1"/>
  <c r="AB833" i="1"/>
  <c r="AG833" i="1"/>
  <c r="AE833" i="1"/>
  <c r="V833" i="1"/>
  <c r="Z833" i="1"/>
  <c r="AN522" i="1"/>
  <c r="AO522" i="1" s="1"/>
  <c r="U522" i="1"/>
  <c r="AB817" i="1"/>
  <c r="V817" i="1"/>
  <c r="AG817" i="1"/>
  <c r="Z817" i="1"/>
  <c r="AE817" i="1"/>
  <c r="AG709" i="1"/>
  <c r="AB709" i="1"/>
  <c r="Z709" i="1"/>
  <c r="V709" i="1"/>
  <c r="AE709" i="1"/>
  <c r="V53" i="1"/>
  <c r="AG550" i="1"/>
  <c r="AB550" i="1"/>
  <c r="Z550" i="1"/>
  <c r="V550" i="1"/>
  <c r="AE550" i="1"/>
  <c r="AB821" i="1"/>
  <c r="AG821" i="1"/>
  <c r="AE821" i="1"/>
  <c r="V821" i="1"/>
  <c r="Z821" i="1"/>
  <c r="AM553" i="1"/>
  <c r="AM501" i="1"/>
  <c r="AM543" i="1"/>
  <c r="AM655" i="1"/>
  <c r="AG508" i="1"/>
  <c r="AE508" i="1"/>
  <c r="AB508" i="1"/>
  <c r="V508" i="1"/>
  <c r="Z508" i="1"/>
  <c r="AM814" i="1"/>
  <c r="V61" i="1"/>
  <c r="AG702" i="1"/>
  <c r="AE702" i="1"/>
  <c r="AB702" i="1"/>
  <c r="Z702" i="1"/>
  <c r="V702" i="1"/>
  <c r="AM723" i="1"/>
  <c r="AM744" i="1"/>
  <c r="V443" i="1"/>
  <c r="AM841" i="1"/>
  <c r="AM694" i="1"/>
  <c r="AM837" i="1"/>
  <c r="V618" i="1"/>
  <c r="AG618" i="1"/>
  <c r="AE618" i="1"/>
  <c r="AB618" i="1"/>
  <c r="Z618" i="1"/>
  <c r="AE505" i="1"/>
  <c r="AB505" i="1"/>
  <c r="Z505" i="1"/>
  <c r="V505" i="1"/>
  <c r="AG505" i="1"/>
  <c r="AM764" i="1"/>
  <c r="AG499" i="1"/>
  <c r="V499" i="1"/>
  <c r="AB499" i="1"/>
  <c r="Z499" i="1"/>
  <c r="AE499" i="1"/>
  <c r="V785" i="1"/>
  <c r="AB785" i="1"/>
  <c r="Z785" i="1"/>
  <c r="AG785" i="1"/>
  <c r="AE785" i="1"/>
  <c r="AM719" i="1"/>
  <c r="AM641" i="1"/>
  <c r="AM623" i="1"/>
  <c r="AM678" i="1"/>
  <c r="AM598" i="1"/>
  <c r="AG517" i="1"/>
  <c r="AE517" i="1"/>
  <c r="AB517" i="1"/>
  <c r="Z517" i="1"/>
  <c r="V517" i="1"/>
  <c r="AB812" i="1"/>
  <c r="AG812" i="1"/>
  <c r="V812" i="1"/>
  <c r="AE812" i="1"/>
  <c r="Z812" i="1"/>
  <c r="AG490" i="1"/>
  <c r="AB490" i="1"/>
  <c r="Z490" i="1"/>
  <c r="AE490" i="1"/>
  <c r="V490" i="1"/>
  <c r="AG705" i="1"/>
  <c r="AE705" i="1"/>
  <c r="AB705" i="1"/>
  <c r="Z705" i="1"/>
  <c r="V705" i="1"/>
  <c r="AE533" i="1"/>
  <c r="AB533" i="1"/>
  <c r="Z533" i="1"/>
  <c r="V533" i="1"/>
  <c r="AG533" i="1"/>
  <c r="AE500" i="1"/>
  <c r="AB500" i="1"/>
  <c r="Z500" i="1"/>
  <c r="V500" i="1"/>
  <c r="AG500" i="1"/>
  <c r="Z651" i="1"/>
  <c r="V651" i="1"/>
  <c r="AB651" i="1"/>
  <c r="AE651" i="1"/>
  <c r="AG651" i="1"/>
  <c r="AB835" i="1"/>
  <c r="V835" i="1"/>
  <c r="AG835" i="1"/>
  <c r="AE835" i="1"/>
  <c r="Z835" i="1"/>
  <c r="V667" i="1"/>
  <c r="AG667" i="1"/>
  <c r="Z667" i="1"/>
  <c r="AE667" i="1"/>
  <c r="AB667" i="1"/>
  <c r="AG703" i="1"/>
  <c r="AE703" i="1"/>
  <c r="AB703" i="1"/>
  <c r="Z703" i="1"/>
  <c r="V703" i="1"/>
  <c r="AM599" i="1"/>
  <c r="AM768" i="1"/>
  <c r="AM581" i="1"/>
  <c r="AG493" i="1"/>
  <c r="AB493" i="1"/>
  <c r="Z493" i="1"/>
  <c r="AE493" i="1"/>
  <c r="V493" i="1"/>
  <c r="AG495" i="1"/>
  <c r="AB495" i="1"/>
  <c r="Z495" i="1"/>
  <c r="V495" i="1"/>
  <c r="AE495" i="1"/>
  <c r="AM593" i="1"/>
  <c r="AG539" i="1"/>
  <c r="AE539" i="1"/>
  <c r="AB539" i="1"/>
  <c r="Z539" i="1"/>
  <c r="V539" i="1"/>
  <c r="AG659" i="1"/>
  <c r="V659" i="1"/>
  <c r="AB659" i="1"/>
  <c r="Z659" i="1"/>
  <c r="AE659" i="1"/>
  <c r="AB827" i="1"/>
  <c r="AG827" i="1"/>
  <c r="AE827" i="1"/>
  <c r="V827" i="1"/>
  <c r="Z827" i="1"/>
  <c r="AM670" i="1"/>
  <c r="AM621" i="1"/>
  <c r="AM624" i="1"/>
  <c r="AM687" i="1"/>
  <c r="AM683" i="1"/>
  <c r="AM469" i="1"/>
  <c r="AM502" i="1"/>
  <c r="AM656" i="1"/>
  <c r="V63" i="1"/>
  <c r="V722" i="1"/>
  <c r="AG722" i="1"/>
  <c r="AE722" i="1"/>
  <c r="AB722" i="1"/>
  <c r="Z722" i="1"/>
  <c r="V726" i="1"/>
  <c r="AG726" i="1"/>
  <c r="AE726" i="1"/>
  <c r="AB726" i="1"/>
  <c r="Z726" i="1"/>
  <c r="AM555" i="1"/>
  <c r="AB823" i="1"/>
  <c r="V823" i="1"/>
  <c r="AG823" i="1"/>
  <c r="AE823" i="1"/>
  <c r="Z823" i="1"/>
  <c r="V58" i="1"/>
  <c r="AB801" i="1"/>
  <c r="V801" i="1"/>
  <c r="Z801" i="1"/>
  <c r="AG801" i="1"/>
  <c r="AE801" i="1"/>
  <c r="V515" i="1"/>
  <c r="AG515" i="1"/>
  <c r="AB515" i="1"/>
  <c r="Z515" i="1"/>
  <c r="AE515" i="1"/>
  <c r="AB700" i="1"/>
  <c r="Z700" i="1"/>
  <c r="V700" i="1"/>
  <c r="AG700" i="1"/>
  <c r="AE700" i="1"/>
  <c r="AM674" i="1"/>
  <c r="AG48" i="1"/>
  <c r="V48" i="1"/>
  <c r="AE48" i="1"/>
  <c r="AM48" i="1" s="1"/>
  <c r="AM686" i="1"/>
  <c r="AG506" i="1"/>
  <c r="AE506" i="1"/>
  <c r="AB506" i="1"/>
  <c r="V506" i="1"/>
  <c r="Z506" i="1"/>
  <c r="AM774" i="1"/>
  <c r="AM525" i="1"/>
  <c r="AM645" i="1"/>
  <c r="AG537" i="1"/>
  <c r="AE537" i="1"/>
  <c r="AB537" i="1"/>
  <c r="Z537" i="1"/>
  <c r="V537" i="1"/>
  <c r="AM652" i="1"/>
  <c r="AB808" i="1"/>
  <c r="AE808" i="1"/>
  <c r="AG808" i="1"/>
  <c r="Z808" i="1"/>
  <c r="V808" i="1"/>
  <c r="AB839" i="1"/>
  <c r="AG839" i="1"/>
  <c r="AE839" i="1"/>
  <c r="V839" i="1"/>
  <c r="Z839" i="1"/>
  <c r="AM692" i="1"/>
  <c r="AB791" i="1"/>
  <c r="V791" i="1"/>
  <c r="AG791" i="1"/>
  <c r="AE791" i="1"/>
  <c r="Z791" i="1"/>
  <c r="V615" i="1"/>
  <c r="AG615" i="1"/>
  <c r="AE615" i="1"/>
  <c r="AB615" i="1"/>
  <c r="Z615" i="1"/>
  <c r="AB809" i="1"/>
  <c r="Z809" i="1"/>
  <c r="V809" i="1"/>
  <c r="AG809" i="1"/>
  <c r="AE809" i="1"/>
  <c r="AM643" i="1"/>
  <c r="AM677" i="1"/>
  <c r="AG707" i="1"/>
  <c r="AB707" i="1"/>
  <c r="Z707" i="1"/>
  <c r="V707" i="1"/>
  <c r="AE707" i="1"/>
  <c r="AG704" i="1"/>
  <c r="Z704" i="1"/>
  <c r="V704" i="1"/>
  <c r="AE704" i="1"/>
  <c r="AB704" i="1"/>
  <c r="Z743" i="1"/>
  <c r="V743" i="1"/>
  <c r="AG743" i="1"/>
  <c r="AE743" i="1"/>
  <c r="AB743" i="1"/>
  <c r="AM540" i="1"/>
  <c r="AM596" i="1"/>
  <c r="AE534" i="1"/>
  <c r="AB534" i="1"/>
  <c r="Z534" i="1"/>
  <c r="V534" i="1"/>
  <c r="AG534" i="1"/>
  <c r="AM605" i="1"/>
  <c r="AB797" i="1"/>
  <c r="V797" i="1"/>
  <c r="Z797" i="1"/>
  <c r="AG797" i="1"/>
  <c r="AE797" i="1"/>
  <c r="AG523" i="1"/>
  <c r="AE523" i="1"/>
  <c r="AB523" i="1"/>
  <c r="Z523" i="1"/>
  <c r="V523" i="1"/>
  <c r="AB663" i="1"/>
  <c r="AE663" i="1"/>
  <c r="V663" i="1"/>
  <c r="AG663" i="1"/>
  <c r="Z663" i="1"/>
  <c r="AE465" i="1"/>
  <c r="V465" i="1"/>
  <c r="AG465" i="1"/>
  <c r="AB465" i="1"/>
  <c r="Z465" i="1"/>
  <c r="AM604" i="1"/>
  <c r="AB799" i="1"/>
  <c r="V799" i="1"/>
  <c r="AG799" i="1"/>
  <c r="AE799" i="1"/>
  <c r="Z799" i="1"/>
  <c r="AB832" i="1"/>
  <c r="V832" i="1"/>
  <c r="AG832" i="1"/>
  <c r="AE832" i="1"/>
  <c r="Z832" i="1"/>
  <c r="AM639" i="1"/>
  <c r="AM775" i="1"/>
  <c r="AG484" i="1"/>
  <c r="AE484" i="1"/>
  <c r="V484" i="1"/>
  <c r="AB484" i="1"/>
  <c r="Z484" i="1"/>
  <c r="AN439" i="1"/>
  <c r="AO439" i="1" s="1"/>
  <c r="U439" i="1"/>
  <c r="AM592" i="1"/>
  <c r="AM738" i="1"/>
  <c r="AG476" i="1"/>
  <c r="AB476" i="1"/>
  <c r="Z476" i="1"/>
  <c r="V476" i="1"/>
  <c r="AE476" i="1"/>
  <c r="AM810" i="1"/>
  <c r="AM606" i="1"/>
  <c r="AM487" i="1"/>
  <c r="AM716" i="1"/>
  <c r="AB818" i="1"/>
  <c r="AG818" i="1"/>
  <c r="AE818" i="1"/>
  <c r="V818" i="1"/>
  <c r="Z818" i="1"/>
  <c r="AM628" i="1"/>
  <c r="AM672" i="1"/>
  <c r="AM685" i="1"/>
  <c r="AM815" i="1"/>
  <c r="AM713" i="1"/>
  <c r="AM633" i="1"/>
  <c r="AM794" i="1"/>
  <c r="AM536" i="1"/>
  <c r="AM611" i="1"/>
  <c r="AG518" i="1"/>
  <c r="AE518" i="1"/>
  <c r="AB518" i="1"/>
  <c r="Z518" i="1"/>
  <c r="V518" i="1"/>
  <c r="AM647" i="1"/>
  <c r="AM729" i="1"/>
  <c r="AG538" i="1"/>
  <c r="AE538" i="1"/>
  <c r="AB538" i="1"/>
  <c r="Z538" i="1"/>
  <c r="V538" i="1"/>
  <c r="AB836" i="1"/>
  <c r="AG836" i="1"/>
  <c r="AE836" i="1"/>
  <c r="V836" i="1"/>
  <c r="Z836" i="1"/>
  <c r="Z481" i="1"/>
  <c r="V481" i="1"/>
  <c r="AG481" i="1"/>
  <c r="AE481" i="1"/>
  <c r="AB481" i="1"/>
  <c r="AE767" i="1"/>
  <c r="AB767" i="1"/>
  <c r="Z767" i="1"/>
  <c r="V767" i="1"/>
  <c r="AG767" i="1"/>
  <c r="AB820" i="1"/>
  <c r="V820" i="1"/>
  <c r="AG820" i="1"/>
  <c r="AE820" i="1"/>
  <c r="Z820" i="1"/>
  <c r="AM790" i="1"/>
  <c r="AM478" i="1" l="1"/>
  <c r="AM627" i="1"/>
  <c r="AM789" i="1"/>
  <c r="AM679" i="1"/>
  <c r="AM601" i="1"/>
  <c r="AM720" i="1"/>
  <c r="AM528" i="1"/>
  <c r="AM668" i="1"/>
  <c r="AM552" i="1"/>
  <c r="AM483" i="1"/>
  <c r="AM724" i="1"/>
  <c r="AM747" i="1"/>
  <c r="AM765" i="1"/>
  <c r="AM595" i="1"/>
  <c r="AM588" i="1"/>
  <c r="AM520" i="1"/>
  <c r="AM718" i="1"/>
  <c r="AM826" i="1"/>
  <c r="AM629" i="1"/>
  <c r="AM662" i="1"/>
  <c r="AM787" i="1"/>
  <c r="AM793" i="1"/>
  <c r="AM822" i="1"/>
  <c r="AM682" i="1"/>
  <c r="AM816" i="1"/>
  <c r="AM456" i="1"/>
  <c r="AM806" i="1"/>
  <c r="AM760" i="1"/>
  <c r="AM712" i="1"/>
  <c r="AM527" i="1"/>
  <c r="AM792" i="1"/>
  <c r="AM751" i="1"/>
  <c r="AM695" i="1"/>
  <c r="AM749" i="1"/>
  <c r="AM691" i="1"/>
  <c r="AM607" i="1"/>
  <c r="AM661" i="1"/>
  <c r="AM535" i="1"/>
  <c r="AM803" i="1"/>
  <c r="AM613" i="1"/>
  <c r="AM519" i="1"/>
  <c r="AM479" i="1"/>
  <c r="AM755" i="1"/>
  <c r="AM752" i="1"/>
  <c r="AM548" i="1"/>
  <c r="AM673" i="1"/>
  <c r="AM510" i="1"/>
  <c r="AM654" i="1"/>
  <c r="AM739" i="1"/>
  <c r="AM809" i="1"/>
  <c r="AM496" i="1"/>
  <c r="AM823" i="1"/>
  <c r="AM659" i="1"/>
  <c r="AM529" i="1"/>
  <c r="AM833" i="1"/>
  <c r="AM824" i="1"/>
  <c r="AM503" i="1"/>
  <c r="AM689" i="1"/>
  <c r="AM779" i="1"/>
  <c r="AM632" i="1"/>
  <c r="AM551" i="1"/>
  <c r="AM783" i="1"/>
  <c r="AM490" i="1"/>
  <c r="AM762" i="1"/>
  <c r="AM534" i="1"/>
  <c r="AM697" i="1"/>
  <c r="AM778" i="1"/>
  <c r="AM610" i="1"/>
  <c r="AM780" i="1"/>
  <c r="AM706" i="1"/>
  <c r="AM829" i="1"/>
  <c r="AM840" i="1"/>
  <c r="AM509" i="1"/>
  <c r="AM669" i="1"/>
  <c r="AM741" i="1"/>
  <c r="AM554" i="1"/>
  <c r="AM485" i="1"/>
  <c r="AM500" i="1"/>
  <c r="AM505" i="1"/>
  <c r="AM526" i="1"/>
  <c r="AM836" i="1"/>
  <c r="AM537" i="1"/>
  <c r="AM832" i="1"/>
  <c r="AM615" i="1"/>
  <c r="AM618" i="1"/>
  <c r="AM733" i="1"/>
  <c r="AM625" i="1"/>
  <c r="AM465" i="1"/>
  <c r="AM700" i="1"/>
  <c r="AM492" i="1"/>
  <c r="AM742" i="1"/>
  <c r="AM743" i="1"/>
  <c r="AM782" i="1"/>
  <c r="AM498" i="1"/>
  <c r="AM626" i="1"/>
  <c r="AM811" i="1"/>
  <c r="AM477" i="1"/>
  <c r="AM770" i="1"/>
  <c r="AM827" i="1"/>
  <c r="AM493" i="1"/>
  <c r="AM830" i="1"/>
  <c r="AM591" i="1"/>
  <c r="AM730" i="1"/>
  <c r="AM603" i="1"/>
  <c r="AM767" i="1"/>
  <c r="AM538" i="1"/>
  <c r="AM518" i="1"/>
  <c r="AM707" i="1"/>
  <c r="AM506" i="1"/>
  <c r="AM702" i="1"/>
  <c r="AM550" i="1"/>
  <c r="AM693" i="1"/>
  <c r="AM777" i="1"/>
  <c r="AM769" i="1"/>
  <c r="AM820" i="1"/>
  <c r="AM523" i="1"/>
  <c r="AM722" i="1"/>
  <c r="AM835" i="1"/>
  <c r="AM705" i="1"/>
  <c r="AM517" i="1"/>
  <c r="AM508" i="1"/>
  <c r="AM821" i="1"/>
  <c r="AM690" i="1"/>
  <c r="AM732" i="1"/>
  <c r="AM499" i="1"/>
  <c r="AM797" i="1"/>
  <c r="AM791" i="1"/>
  <c r="AM703" i="1"/>
  <c r="AM481" i="1"/>
  <c r="AM799" i="1"/>
  <c r="AM801" i="1"/>
  <c r="AM807" i="1"/>
  <c r="AG522" i="1"/>
  <c r="AE522" i="1"/>
  <c r="Z522" i="1"/>
  <c r="V522" i="1"/>
  <c r="AB522" i="1"/>
  <c r="AM709" i="1"/>
  <c r="V439" i="1"/>
  <c r="Z439" i="1"/>
  <c r="AM439" i="1" s="1"/>
  <c r="AB439" i="1"/>
  <c r="AM515" i="1"/>
  <c r="AM812" i="1"/>
  <c r="AM651" i="1"/>
  <c r="AM785" i="1"/>
  <c r="AM704" i="1"/>
  <c r="AM539" i="1"/>
  <c r="AM495" i="1"/>
  <c r="AM533" i="1"/>
  <c r="AM649" i="1"/>
  <c r="AM818" i="1"/>
  <c r="AM663" i="1"/>
  <c r="AM808" i="1"/>
  <c r="AM726" i="1"/>
  <c r="AM667" i="1"/>
  <c r="AM817" i="1"/>
  <c r="AM476" i="1"/>
  <c r="AM484" i="1"/>
  <c r="AM839" i="1"/>
  <c r="AM725" i="1"/>
  <c r="AM522" i="1" l="1"/>
</calcChain>
</file>

<file path=xl/sharedStrings.xml><?xml version="1.0" encoding="utf-8"?>
<sst xmlns="http://schemas.openxmlformats.org/spreadsheetml/2006/main" count="15856" uniqueCount="3899">
  <si>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</si>
  <si>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</si>
  <si>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</si>
  <si>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</si>
  <si>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</si>
  <si>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</si>
  <si>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</si>
  <si>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</si>
  <si>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</si>
  <si>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</si>
  <si>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</si>
  <si>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</si>
  <si>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</si>
  <si>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</si>
  <si>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</si>
  <si>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</si>
  <si>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</si>
  <si>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</si>
  <si>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</si>
  <si>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</si>
  <si>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</si>
  <si>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</si>
  <si>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</si>
  <si>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</si>
  <si>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</si>
  <si>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</si>
  <si>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</si>
  <si>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</si>
  <si>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</si>
  <si>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</si>
  <si>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</si>
  <si>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</si>
  <si>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</si>
  <si>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</si>
  <si>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</si>
  <si>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</si>
  <si>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</si>
  <si>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</si>
  <si>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</si>
  <si>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</si>
  <si>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</si>
  <si>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</si>
  <si>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</si>
  <si>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</si>
  <si>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</si>
  <si>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</si>
  <si>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</si>
  <si>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</si>
  <si>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</si>
  <si>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</si>
  <si>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</si>
  <si>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</si>
  <si>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</si>
  <si>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</si>
  <si>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</si>
  <si>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</si>
  <si>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</si>
  <si>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</si>
  <si>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</si>
  <si>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</si>
  <si>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</si>
  <si>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</si>
  <si>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</si>
  <si>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</si>
  <si>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</si>
  <si>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</si>
  <si>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</si>
  <si>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</si>
  <si>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исполнен 2 этап</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</si>
  <si>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</si>
  <si>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</si>
  <si>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</si>
  <si>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</si>
  <si>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</si>
  <si>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</si>
  <si>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</si>
  <si>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</si>
  <si>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</si>
  <si>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</si>
  <si>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</si>
  <si>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</si>
  <si>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</si>
  <si>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</si>
  <si>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</si>
  <si>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</si>
  <si>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</si>
  <si>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</si>
  <si>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исполнен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</si>
  <si>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</si>
  <si>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</si>
  <si>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</si>
  <si>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</si>
  <si>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</si>
  <si>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</si>
  <si>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</si>
  <si>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</si>
  <si>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</si>
  <si>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</si>
  <si>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</si>
  <si>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</si>
  <si>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</si>
  <si>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</si>
  <si>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</si>
  <si>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</si>
  <si>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</si>
  <si>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</si>
  <si>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</si>
  <si>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</si>
  <si>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</si>
  <si>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</si>
  <si>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</si>
  <si>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</si>
  <si>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</si>
  <si>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</si>
  <si>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</si>
  <si>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</si>
  <si>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</si>
  <si>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</si>
  <si>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</si>
  <si>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</si>
  <si>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</si>
  <si>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</si>
  <si>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</si>
  <si>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</si>
  <si>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</si>
  <si>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</si>
  <si>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</si>
  <si>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</si>
  <si>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</si>
  <si>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</si>
  <si>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</si>
  <si>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</si>
  <si>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</si>
  <si>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</si>
  <si>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</si>
  <si>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</si>
  <si>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</si>
  <si>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</si>
  <si>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</si>
  <si>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</si>
  <si>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</si>
  <si>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</si>
  <si>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</si>
  <si>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</si>
  <si>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</si>
  <si>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</si>
  <si>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</si>
  <si>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</si>
  <si>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</si>
  <si>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</si>
  <si>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</si>
  <si>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</si>
  <si>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</si>
  <si>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</si>
  <si>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</si>
  <si>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</si>
  <si>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</si>
  <si>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</si>
  <si>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</si>
  <si>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</si>
  <si>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</si>
  <si>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</si>
  <si>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</si>
  <si>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</si>
  <si>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</si>
  <si>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</si>
  <si>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</si>
  <si>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</si>
  <si>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</si>
  <si>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</si>
  <si>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</si>
  <si>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</si>
  <si>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</si>
  <si>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</si>
  <si>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</si>
  <si>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</si>
  <si>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</si>
  <si>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</si>
  <si>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</si>
  <si>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</si>
  <si>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</si>
  <si>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</si>
  <si>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</si>
  <si>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</si>
  <si>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</si>
  <si>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</si>
  <si>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</si>
  <si>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</si>
  <si>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</si>
  <si>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</si>
  <si>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</si>
  <si>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исполнен 5 этап</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</si>
  <si>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</si>
  <si>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</si>
  <si>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</si>
  <si>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</si>
  <si>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</si>
  <si>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</si>
  <si>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</si>
  <si>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</si>
  <si>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</si>
  <si>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</si>
  <si>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</si>
  <si>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</si>
  <si>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</si>
  <si>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</si>
  <si>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</si>
  <si>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</si>
  <si>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</si>
  <si>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</si>
  <si>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исплонен</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</si>
  <si>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</si>
  <si>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</si>
  <si>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</si>
  <si>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</si>
  <si>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</si>
  <si>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</si>
  <si>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</si>
  <si>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</si>
  <si>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</si>
  <si>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</si>
  <si>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</si>
  <si>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</si>
  <si>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</si>
  <si>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</si>
  <si>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</si>
  <si>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</si>
  <si>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</si>
  <si>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</si>
  <si>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</si>
  <si>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</si>
  <si>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</si>
  <si>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</si>
  <si>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</si>
  <si>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</si>
  <si>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</si>
  <si>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</si>
  <si>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</si>
  <si>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</si>
  <si>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</si>
  <si>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</si>
  <si>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</si>
  <si>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</si>
  <si>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</si>
  <si>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</si>
  <si>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</si>
  <si>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</si>
  <si>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</si>
  <si>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</si>
  <si>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</si>
  <si>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</si>
  <si>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</si>
  <si>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</si>
  <si>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</si>
  <si>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</si>
  <si>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</si>
  <si>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</si>
  <si>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</si>
  <si>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</si>
  <si>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</si>
  <si>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</si>
  <si>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</si>
  <si>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</si>
  <si>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</si>
  <si>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</si>
  <si>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</si>
  <si>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</si>
  <si>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</si>
  <si>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</si>
  <si>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</si>
  <si>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</si>
  <si>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</si>
  <si>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</si>
  <si>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</si>
  <si>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</si>
  <si>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</si>
  <si>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</si>
  <si>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</si>
  <si>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</si>
  <si>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</si>
  <si>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</si>
  <si>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</si>
  <si>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</si>
  <si>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</si>
  <si>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</si>
  <si>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</si>
  <si>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</si>
  <si>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</si>
  <si>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</si>
  <si>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</si>
  <si>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</si>
  <si>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</si>
  <si>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</si>
  <si>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</si>
  <si>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</si>
  <si>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</si>
  <si>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</si>
  <si>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</si>
  <si>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</si>
  <si>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</si>
  <si>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</si>
  <si>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</si>
  <si>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</si>
  <si>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</si>
  <si>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</si>
  <si>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</si>
  <si>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</si>
  <si>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</si>
  <si>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</si>
  <si>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</si>
  <si>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</si>
  <si>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</si>
  <si>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</si>
  <si>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</si>
  <si>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</si>
  <si>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</si>
  <si>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</si>
  <si>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</si>
  <si>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</si>
  <si>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</si>
  <si>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</si>
  <si>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</si>
  <si>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</si>
  <si>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</si>
  <si>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</si>
  <si>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</si>
  <si>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</si>
  <si>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</si>
  <si>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</si>
  <si>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</si>
  <si>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</si>
  <si>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</si>
  <si>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</si>
  <si>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</si>
  <si>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</si>
  <si>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</si>
  <si>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</si>
  <si>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</si>
  <si>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</si>
  <si>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</si>
  <si>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</si>
  <si>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</si>
  <si>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</si>
  <si>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</si>
  <si>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</si>
  <si>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</si>
  <si>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</si>
  <si>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</si>
  <si>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</si>
  <si>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</si>
  <si>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</si>
  <si>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</si>
  <si>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</si>
  <si>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</si>
  <si>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</si>
  <si>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</si>
  <si>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</si>
  <si>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</si>
  <si>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</si>
  <si>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</si>
  <si>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</si>
  <si>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</si>
  <si>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</si>
  <si>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</si>
  <si>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</si>
  <si>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</si>
  <si>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</si>
  <si>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</si>
  <si>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</si>
  <si>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</si>
  <si>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</si>
  <si>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</si>
  <si>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</si>
  <si>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</si>
  <si>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</si>
  <si>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</si>
  <si>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</si>
  <si>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</si>
  <si>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</si>
  <si>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</si>
  <si>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</si>
  <si>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</si>
  <si>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</si>
  <si>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</si>
  <si>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</si>
  <si>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</si>
  <si>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</si>
  <si>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</si>
  <si>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</si>
  <si>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</si>
  <si>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</si>
  <si>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</si>
  <si>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</si>
  <si>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</si>
  <si>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</si>
  <si>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</si>
  <si>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</si>
  <si>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</si>
  <si>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</si>
  <si>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</si>
  <si>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</si>
  <si>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</si>
  <si>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</si>
  <si>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</si>
  <si>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</si>
  <si>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</si>
  <si>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</si>
  <si>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</si>
  <si>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</si>
  <si>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</si>
  <si>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</si>
  <si>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</si>
  <si>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</si>
  <si>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</si>
  <si>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</si>
  <si>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</si>
  <si>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</si>
  <si>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</si>
  <si>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</si>
  <si>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</si>
  <si>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</si>
  <si>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</si>
  <si>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</si>
  <si>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</si>
  <si>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</si>
  <si>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</si>
  <si>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</si>
  <si>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</si>
  <si>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</si>
  <si>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</si>
  <si>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</si>
  <si>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</si>
  <si>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</si>
  <si>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</si>
  <si>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</si>
  <si>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</si>
  <si>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</si>
  <si>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</si>
  <si>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</si>
  <si>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</si>
  <si>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</si>
  <si>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</si>
  <si>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</si>
  <si>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</si>
  <si>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</si>
  <si>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</si>
  <si>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</si>
  <si>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</si>
  <si>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</si>
  <si>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</si>
  <si>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</si>
  <si>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</si>
  <si>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</si>
  <si>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</si>
  <si>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</si>
  <si>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</si>
  <si>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</si>
  <si>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</si>
  <si>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</si>
  <si>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</si>
  <si>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</si>
  <si>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</si>
  <si>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</si>
  <si>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</si>
  <si>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</si>
  <si>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</si>
  <si>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</si>
  <si>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</si>
  <si>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</si>
  <si>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</si>
  <si>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</si>
  <si>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</si>
  <si>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</si>
  <si>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</si>
  <si>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</si>
  <si>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</si>
  <si>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</si>
  <si>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</si>
  <si>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</si>
  <si>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</si>
  <si>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</si>
  <si>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</si>
  <si>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</si>
  <si>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</si>
  <si>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</si>
  <si>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</si>
  <si>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</si>
  <si>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</si>
  <si>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</si>
  <si>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</si>
  <si>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</si>
  <si>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закупка отменена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</si>
  <si>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</si>
  <si>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</si>
  <si>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</si>
  <si>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</si>
  <si>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</si>
  <si>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</si>
  <si>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</si>
  <si>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</si>
  <si>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</si>
  <si>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</si>
  <si>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</si>
  <si>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</si>
  <si>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</si>
  <si>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</si>
  <si>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</si>
  <si>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</si>
  <si>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</si>
  <si>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</si>
  <si>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</si>
  <si>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</si>
  <si>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</si>
  <si>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</si>
  <si>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</si>
  <si>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</si>
  <si>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</si>
  <si>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</si>
  <si>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</si>
  <si>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</si>
  <si>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</si>
  <si>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</si>
  <si>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</si>
  <si>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</si>
  <si>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</si>
  <si>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</si>
  <si>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</si>
  <si>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</si>
  <si>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</si>
  <si>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</si>
  <si>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</si>
  <si>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</si>
  <si>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</si>
  <si>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</si>
  <si>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</si>
  <si>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</si>
  <si>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</si>
  <si>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</si>
  <si>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</si>
  <si>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</si>
  <si>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</si>
  <si>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</si>
  <si>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</si>
  <si>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</si>
  <si>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</si>
  <si>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</si>
  <si>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</si>
  <si>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</si>
  <si>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</si>
  <si>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</si>
  <si>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</si>
  <si>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</si>
  <si>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</si>
  <si>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</si>
  <si>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</si>
  <si>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</si>
  <si>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</si>
  <si>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</si>
  <si>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</si>
  <si>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</si>
  <si>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</si>
  <si>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</si>
  <si>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</si>
  <si>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</si>
  <si>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</si>
  <si>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</si>
  <si>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</si>
  <si>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</si>
  <si>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</si>
  <si>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</si>
  <si>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</si>
  <si>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</si>
  <si>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</si>
  <si>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</si>
  <si>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</si>
  <si>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</si>
  <si>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</si>
  <si>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</si>
  <si>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</si>
  <si>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</si>
  <si>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</si>
  <si>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</si>
  <si>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</si>
  <si>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</si>
  <si>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</si>
  <si>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</si>
  <si>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</si>
  <si>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</si>
  <si>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</si>
  <si>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</si>
  <si>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</si>
  <si>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</si>
  <si>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</si>
  <si>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</si>
  <si>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</si>
  <si>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</si>
  <si>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</si>
  <si>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</si>
  <si>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</si>
  <si>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</si>
  <si>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</si>
  <si>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</si>
  <si>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</si>
  <si>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</si>
  <si>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</si>
  <si>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</si>
  <si>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</si>
  <si>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</si>
  <si>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</si>
  <si>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</si>
  <si>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</si>
  <si>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</si>
  <si>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</si>
  <si>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</si>
  <si>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</si>
  <si>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</si>
  <si>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</si>
  <si>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</si>
  <si>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</si>
  <si>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</si>
  <si>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</si>
  <si>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</si>
  <si>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</si>
  <si>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</si>
  <si>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</si>
  <si>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</si>
  <si>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</si>
  <si>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</si>
  <si>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</si>
  <si>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</si>
  <si>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</si>
  <si>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</si>
  <si>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</si>
  <si>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</si>
  <si>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</si>
  <si>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</si>
  <si>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</si>
  <si>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</si>
  <si>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</si>
  <si>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</si>
  <si>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</si>
  <si>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</si>
  <si>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</si>
  <si>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</si>
  <si>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</si>
  <si>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</si>
  <si>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</si>
  <si>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</si>
  <si>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</si>
  <si>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</si>
  <si>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</si>
  <si>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</si>
  <si>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</si>
  <si>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</si>
  <si>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</si>
  <si>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</si>
  <si>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</si>
  <si>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</si>
  <si>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</si>
  <si>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</si>
  <si>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</si>
  <si>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</si>
  <si>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</si>
  <si>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</si>
  <si>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</si>
  <si>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</si>
  <si>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</si>
  <si>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</si>
  <si>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</si>
  <si>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</si>
  <si>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</si>
  <si>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</si>
  <si>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</si>
  <si>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</si>
  <si>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</si>
  <si>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</si>
  <si>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</si>
  <si>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</si>
  <si>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</si>
  <si>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</si>
  <si>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</si>
  <si>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</si>
  <si>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</si>
  <si>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</si>
  <si>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</si>
  <si>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</si>
  <si>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</si>
  <si>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</si>
  <si>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</si>
  <si>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</si>
  <si>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</si>
  <si>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</si>
  <si>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</si>
  <si>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</si>
  <si>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</si>
  <si>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</si>
  <si>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</si>
  <si>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</si>
  <si>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</si>
  <si>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</si>
  <si>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</si>
  <si>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</si>
  <si>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</si>
  <si>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</si>
  <si>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</si>
  <si>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</si>
  <si>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</si>
  <si>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</si>
  <si>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</si>
  <si>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</si>
  <si>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</si>
  <si>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</si>
  <si>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</si>
  <si>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</si>
  <si>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</si>
  <si>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</si>
  <si>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</si>
  <si>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</si>
  <si>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</si>
  <si>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</si>
  <si>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</si>
  <si>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</si>
  <si>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</si>
  <si>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</si>
  <si>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</si>
  <si>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</si>
  <si>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</si>
  <si>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</si>
  <si>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</si>
  <si>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</si>
  <si>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</si>
  <si>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</si>
  <si>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</si>
  <si>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</si>
  <si>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</si>
  <si>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</si>
  <si>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</si>
  <si>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</si>
  <si>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</si>
  <si>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</si>
  <si>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</si>
  <si>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</si>
  <si>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</si>
  <si>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</si>
  <si>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</si>
  <si>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</si>
  <si>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</si>
  <si>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</si>
  <si>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</si>
  <si>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</si>
  <si>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</si>
  <si>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</si>
  <si>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</si>
  <si>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</si>
  <si>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</si>
  <si>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</si>
  <si>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</si>
  <si>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</si>
  <si>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</si>
  <si>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</si>
  <si>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</si>
  <si>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</si>
  <si>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</si>
  <si>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</si>
  <si>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</si>
  <si>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</si>
  <si>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</si>
  <si>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</si>
  <si>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</si>
  <si>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</si>
  <si>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</si>
  <si>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</si>
  <si>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</si>
  <si>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</si>
  <si>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</si>
  <si>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</si>
  <si>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</si>
  <si>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</si>
  <si>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</si>
  <si>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</si>
  <si>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</si>
  <si>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</si>
  <si>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</si>
  <si>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</si>
  <si>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</si>
  <si>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</si>
  <si>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</si>
  <si>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</si>
  <si>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</si>
  <si>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</si>
  <si>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</si>
  <si>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</si>
  <si>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</si>
  <si>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</si>
  <si>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</si>
  <si>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</si>
  <si>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</si>
  <si>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</si>
  <si>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</si>
  <si>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</si>
  <si>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</si>
  <si>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</si>
  <si>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</si>
  <si>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</si>
  <si>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</si>
  <si>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</si>
  <si>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</si>
  <si>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</si>
  <si>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</si>
  <si>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</si>
  <si>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</si>
  <si>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</si>
  <si>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</si>
  <si>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</si>
  <si>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</si>
  <si>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</si>
  <si>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</si>
  <si>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</si>
  <si>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</si>
  <si>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</si>
  <si>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</si>
  <si>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</si>
  <si>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</si>
  <si>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</si>
  <si>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</si>
  <si>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</si>
  <si>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</si>
  <si>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</si>
  <si>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</si>
  <si>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</si>
  <si>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</si>
  <si>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</si>
  <si>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</si>
  <si>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</si>
  <si>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</si>
  <si>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</si>
  <si>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</si>
  <si>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</si>
  <si>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</si>
  <si>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</si>
  <si>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</si>
  <si>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</si>
  <si>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</si>
  <si>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</si>
  <si>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</si>
  <si>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</si>
  <si>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</si>
  <si>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</si>
  <si>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</si>
  <si>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</si>
  <si>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</si>
  <si>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</si>
  <si>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</si>
  <si>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</si>
  <si>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</si>
  <si>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</si>
  <si>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</si>
  <si>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</si>
  <si>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</si>
  <si>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</si>
  <si>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</si>
  <si>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</si>
  <si>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</si>
  <si>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</si>
  <si>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</si>
  <si>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</si>
  <si>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</si>
  <si>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</si>
  <si>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</si>
  <si>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</si>
  <si>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</si>
  <si>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</si>
  <si>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</si>
  <si>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</si>
  <si>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</si>
  <si>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</si>
  <si>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</si>
  <si>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</si>
  <si>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</si>
  <si>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</si>
  <si>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</si>
  <si>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</si>
  <si>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</si>
  <si>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</si>
  <si>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</si>
  <si>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</si>
  <si>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</si>
  <si>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</si>
  <si>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</si>
  <si>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</si>
  <si>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</si>
  <si>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</si>
  <si>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</si>
  <si>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</si>
  <si>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</si>
  <si>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</si>
  <si>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</si>
  <si>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</si>
  <si>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</si>
  <si>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</si>
  <si>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</si>
  <si>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</si>
  <si>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</si>
  <si>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</si>
  <si>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</si>
  <si>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</si>
  <si>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</si>
  <si>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</si>
  <si>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</si>
  <si>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</si>
  <si>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</si>
  <si>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</si>
  <si>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</si>
  <si>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</si>
  <si>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</si>
  <si>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</si>
  <si>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</si>
  <si>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</si>
  <si>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</si>
  <si>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</si>
  <si>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</si>
  <si>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</si>
  <si>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</si>
  <si>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</si>
  <si>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</si>
  <si>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</si>
  <si>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</si>
  <si>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</si>
  <si>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</si>
  <si>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</si>
  <si>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</si>
  <si>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</si>
  <si>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</si>
  <si>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</si>
  <si>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</si>
  <si>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</si>
  <si>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</si>
  <si>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</si>
  <si>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</si>
  <si>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</si>
  <si>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</si>
  <si>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</si>
  <si>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</si>
  <si>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</si>
  <si>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</si>
  <si>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</si>
  <si>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</si>
  <si>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</si>
  <si>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</si>
  <si>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</si>
  <si>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</si>
  <si>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</si>
  <si>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</si>
  <si>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</si>
  <si>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</si>
  <si>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</si>
  <si>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</si>
  <si>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</si>
  <si>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</si>
  <si>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</si>
  <si>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</si>
  <si>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</si>
  <si>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</si>
  <si>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</si>
  <si>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</si>
  <si>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</si>
  <si>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</si>
  <si>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</si>
  <si>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</si>
  <si>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</si>
  <si>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</si>
  <si>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</si>
  <si>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</si>
  <si>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</si>
  <si>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</si>
  <si>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</si>
  <si>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</si>
  <si>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</si>
  <si>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</si>
  <si>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</si>
  <si>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</si>
  <si>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</si>
  <si>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</si>
  <si>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</si>
  <si>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</si>
  <si>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</si>
  <si>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</si>
  <si>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</si>
  <si>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</si>
  <si>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</si>
  <si>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</si>
  <si>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</si>
  <si>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</si>
  <si>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</si>
  <si>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</si>
  <si>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</si>
  <si>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</si>
  <si>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</si>
  <si>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</si>
  <si>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</si>
  <si>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</si>
  <si>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</si>
  <si>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</si>
  <si>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</si>
  <si>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</si>
  <si>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</si>
  <si>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</si>
  <si>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</si>
  <si>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</si>
  <si>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</si>
  <si>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</si>
  <si>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</si>
  <si>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</si>
  <si>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</si>
  <si>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</si>
  <si>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</si>
  <si>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</si>
  <si>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</si>
  <si>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</si>
  <si>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</si>
  <si>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</si>
  <si>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</si>
  <si>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</si>
  <si>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</si>
  <si>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</si>
  <si>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</si>
  <si>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</si>
  <si>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</si>
  <si>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</si>
  <si>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</si>
  <si>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</si>
  <si>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</si>
  <si>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</si>
  <si>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</si>
  <si>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</si>
  <si>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</si>
  <si>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</si>
  <si>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</si>
  <si>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</si>
  <si>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</si>
  <si>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</si>
  <si>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</si>
  <si>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</si>
  <si>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</si>
  <si>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</si>
  <si>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</si>
  <si>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</si>
  <si>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</si>
  <si>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</si>
  <si>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</si>
  <si>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</si>
  <si>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</si>
  <si>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</si>
  <si>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</si>
  <si>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</si>
  <si>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</si>
  <si>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</si>
  <si>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</si>
  <si>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</si>
  <si>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</si>
  <si>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</si>
  <si>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</si>
  <si>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</si>
  <si>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</si>
  <si>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</si>
  <si>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</si>
  <si>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</si>
  <si>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</si>
  <si>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</si>
  <si>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</si>
  <si>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</si>
  <si>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</si>
  <si>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</si>
  <si>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</si>
  <si>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</si>
  <si>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</si>
  <si>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</si>
  <si>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</si>
  <si>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</si>
  <si>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</si>
  <si>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</si>
  <si>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</si>
  <si>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</si>
  <si>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</si>
  <si>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</si>
  <si>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</si>
  <si>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</si>
  <si>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</si>
  <si>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</si>
  <si>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</si>
  <si>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</si>
  <si>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</si>
  <si>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</si>
  <si>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</si>
  <si>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</si>
  <si>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</si>
  <si>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</si>
  <si>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</si>
  <si>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</si>
  <si>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</si>
  <si>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</si>
  <si>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</si>
  <si>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</si>
  <si>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</si>
  <si>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</si>
  <si>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</si>
  <si>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</si>
  <si>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</si>
  <si>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</si>
  <si>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</si>
  <si>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</si>
  <si>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</si>
  <si>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</si>
  <si>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</si>
  <si>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</si>
  <si>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</si>
  <si>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</si>
  <si>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</si>
  <si>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</si>
  <si>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</si>
  <si>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</si>
  <si>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</si>
  <si>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</si>
  <si>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</si>
  <si>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</si>
  <si>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</si>
  <si>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</si>
  <si>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</si>
  <si>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</si>
  <si>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</si>
  <si>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</si>
  <si>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</si>
  <si>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</si>
  <si>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</si>
  <si>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</si>
  <si>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</si>
  <si>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</si>
  <si>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</si>
  <si>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</si>
  <si>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</si>
  <si>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</si>
  <si>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</si>
  <si>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</si>
  <si>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</si>
  <si>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</si>
  <si>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</si>
  <si>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</si>
  <si>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</si>
  <si>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</si>
  <si>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</si>
  <si>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</si>
  <si>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</si>
  <si>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</si>
  <si>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</si>
  <si>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</si>
  <si>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</si>
  <si>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</si>
  <si>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</si>
  <si>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</si>
  <si>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</si>
  <si>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</si>
  <si>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</si>
  <si>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</si>
  <si>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</si>
  <si>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</si>
  <si>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</si>
  <si>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</si>
  <si>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</si>
  <si>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</si>
  <si>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</si>
  <si>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</si>
  <si>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</si>
  <si>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</si>
  <si>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</si>
  <si>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</si>
  <si>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</si>
  <si>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</si>
  <si>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</si>
  <si>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</si>
  <si>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</si>
  <si>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</si>
  <si>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</si>
  <si>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</si>
  <si>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</si>
  <si>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</si>
  <si>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</si>
  <si>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</si>
  <si>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</si>
  <si>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</si>
  <si>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</si>
  <si>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</si>
  <si>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</si>
  <si>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</si>
  <si>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</si>
  <si>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</si>
  <si>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</si>
  <si>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</si>
  <si>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</si>
  <si>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</si>
  <si>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</si>
  <si>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</si>
  <si>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</si>
  <si>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</si>
  <si>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</si>
  <si>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</si>
  <si>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</si>
  <si>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</si>
  <si>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</si>
  <si>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</si>
  <si>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</si>
  <si>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</si>
  <si>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</si>
  <si>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</si>
  <si>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</si>
  <si>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</si>
  <si>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</si>
  <si>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</si>
  <si>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</si>
  <si>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</si>
  <si>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</si>
  <si>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</si>
  <si>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</si>
  <si>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</si>
  <si>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</si>
  <si>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</si>
  <si>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</si>
  <si>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</si>
  <si>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</si>
  <si>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</si>
  <si>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</si>
  <si>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</si>
  <si>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</si>
  <si>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</si>
  <si>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</si>
  <si>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</si>
  <si>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</si>
  <si>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</si>
  <si>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</si>
  <si>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</si>
  <si>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</si>
  <si>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</si>
  <si>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</si>
  <si>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</si>
  <si>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</si>
  <si>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</si>
  <si>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</si>
  <si>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</si>
  <si>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</si>
  <si>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</si>
  <si>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</si>
  <si>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</si>
  <si>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</si>
  <si>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</si>
  <si>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</si>
  <si>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</si>
  <si>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</si>
  <si>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</si>
  <si>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</si>
  <si>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</si>
  <si>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</si>
  <si>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</si>
  <si>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</si>
  <si>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</si>
  <si>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</si>
  <si>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</si>
  <si>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</si>
  <si>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</si>
  <si>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</si>
  <si>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</si>
  <si>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</si>
  <si>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</si>
  <si>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</si>
  <si>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</si>
  <si>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</si>
  <si>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</si>
  <si>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</si>
  <si>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</si>
  <si>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</si>
  <si>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</si>
  <si>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</si>
  <si>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</si>
  <si>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</si>
  <si>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</si>
  <si>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</si>
  <si>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</si>
  <si>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</si>
  <si>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</si>
  <si>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</si>
  <si>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</si>
  <si>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</si>
  <si>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</si>
  <si>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</si>
  <si>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</si>
  <si>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</si>
  <si>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</si>
  <si>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</si>
  <si>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</si>
  <si>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</si>
  <si>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</si>
  <si>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</si>
  <si>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</si>
  <si>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</si>
  <si>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</si>
  <si>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</si>
  <si>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</si>
  <si>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</si>
  <si>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</si>
  <si>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</si>
  <si>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</si>
  <si>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</si>
  <si>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</si>
  <si>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</si>
  <si>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</si>
  <si>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</si>
  <si>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</si>
  <si>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</si>
  <si>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</si>
  <si>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</si>
  <si>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</si>
  <si>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</si>
  <si>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</si>
  <si>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</si>
  <si>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</si>
  <si>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</si>
  <si>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</si>
  <si>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</si>
  <si>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</si>
  <si>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</si>
  <si>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</si>
  <si>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</si>
  <si>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</si>
  <si>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</si>
  <si>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</si>
  <si>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</si>
  <si>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</si>
  <si>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</si>
  <si>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</si>
  <si>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</si>
  <si>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</si>
  <si>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</si>
  <si>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</si>
  <si>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</si>
  <si>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</si>
  <si>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</si>
  <si>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</si>
  <si>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</si>
  <si>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</si>
  <si>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</si>
  <si>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</si>
  <si>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</si>
  <si>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</si>
  <si>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</si>
  <si>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</si>
  <si>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</si>
  <si>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</si>
  <si>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</si>
  <si>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</si>
  <si>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</si>
  <si>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</si>
  <si>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</si>
  <si>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</si>
  <si>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</si>
  <si>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</si>
  <si>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</si>
  <si>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</si>
  <si>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</si>
  <si>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</si>
  <si>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</si>
  <si>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</si>
  <si>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</si>
  <si>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</si>
  <si>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</si>
  <si>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</si>
  <si>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</si>
  <si>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</si>
  <si>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</si>
  <si>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</si>
  <si>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</si>
  <si>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</si>
  <si>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</si>
  <si>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</si>
  <si>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</si>
  <si>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</si>
  <si>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</si>
  <si>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</si>
  <si>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</si>
  <si>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</si>
  <si>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</si>
  <si>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</si>
  <si>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</si>
  <si>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</si>
  <si>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</si>
  <si>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</si>
  <si>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</si>
  <si>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</si>
  <si>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</si>
  <si>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</si>
  <si>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</si>
  <si>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</si>
  <si>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</si>
  <si>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</si>
  <si>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</si>
  <si>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</si>
  <si>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</si>
  <si>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</si>
  <si>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</si>
  <si>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</si>
  <si>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</si>
  <si>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</si>
  <si>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</si>
  <si>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</si>
  <si>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</si>
  <si>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</si>
  <si>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</si>
  <si>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</si>
  <si>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</si>
  <si>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</si>
  <si>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</si>
  <si>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</si>
  <si>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</si>
  <si>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</si>
  <si>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</si>
  <si>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</si>
  <si>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</si>
  <si>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</si>
  <si>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</si>
  <si>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</si>
  <si>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</si>
  <si>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</si>
  <si>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</si>
  <si>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</si>
  <si>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</si>
  <si>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</si>
  <si>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</si>
  <si>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</si>
  <si>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</si>
  <si>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</si>
  <si>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</si>
  <si>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</si>
  <si>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</si>
  <si>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</si>
  <si>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</si>
  <si>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</si>
  <si>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</si>
  <si>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</si>
  <si>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</si>
  <si>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</si>
  <si>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</si>
  <si>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</si>
  <si>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</si>
  <si>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</si>
  <si>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</si>
  <si>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</si>
  <si>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</si>
  <si>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</si>
  <si>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</si>
  <si>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</si>
  <si>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</si>
  <si>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</si>
  <si>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</si>
  <si>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</si>
  <si>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</si>
  <si>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</si>
  <si>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</si>
  <si>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</si>
  <si>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</si>
  <si>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</si>
  <si>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</si>
  <si>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</si>
  <si>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</si>
  <si>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</si>
  <si>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</si>
  <si>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</si>
  <si>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</si>
  <si>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</si>
  <si>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</si>
  <si>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</si>
  <si>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</si>
  <si>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</si>
  <si>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</si>
  <si>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</si>
  <si>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</si>
  <si>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</si>
  <si>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</si>
  <si>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</si>
  <si>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</si>
  <si>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</si>
  <si>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</si>
  <si>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</si>
  <si>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</si>
  <si>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</si>
  <si>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</si>
  <si>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</si>
  <si>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</si>
  <si>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</si>
  <si>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</si>
  <si>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</si>
  <si>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</si>
  <si>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</si>
  <si>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</si>
  <si>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</si>
  <si>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</si>
  <si>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</si>
  <si>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</si>
  <si>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</si>
  <si>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</si>
  <si>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</si>
  <si>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</si>
  <si>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</si>
  <si>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</si>
  <si>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</si>
  <si>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</si>
  <si>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</si>
  <si>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</si>
  <si>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</si>
  <si>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</si>
  <si>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</si>
  <si>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</si>
  <si>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</si>
  <si>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</si>
  <si>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</si>
  <si>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</si>
  <si>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</si>
  <si>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</si>
  <si>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</si>
  <si>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</si>
  <si>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</si>
  <si>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</si>
  <si>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</si>
  <si>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</si>
  <si>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</si>
  <si>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</si>
  <si>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</si>
  <si>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</si>
  <si>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</si>
  <si>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</si>
  <si>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</si>
  <si>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</si>
  <si>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</si>
  <si>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</si>
  <si>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</si>
  <si>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</si>
  <si>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</si>
  <si>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</si>
  <si>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</si>
  <si>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</si>
  <si>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</si>
  <si>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</si>
  <si>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</si>
  <si>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</si>
  <si>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</si>
  <si>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</si>
  <si>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</si>
  <si>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</si>
  <si>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</si>
  <si>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</si>
  <si>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</si>
  <si>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</si>
  <si>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</si>
  <si>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</si>
  <si>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</si>
  <si>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</si>
  <si>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</si>
  <si>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</si>
  <si>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</si>
  <si>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</si>
  <si>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</si>
  <si>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</si>
  <si>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</si>
  <si>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</si>
  <si>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</si>
  <si>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</si>
  <si>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</si>
  <si>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</si>
  <si>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</si>
  <si>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</si>
  <si>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</si>
  <si>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</si>
  <si>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</si>
  <si>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</si>
  <si>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</si>
  <si>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</si>
  <si>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</si>
  <si>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</si>
  <si>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</si>
  <si>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</si>
  <si>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</si>
  <si>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</si>
  <si>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</si>
  <si>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</si>
  <si>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</si>
  <si>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</si>
  <si>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</si>
  <si>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</si>
  <si>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</si>
  <si>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</si>
  <si>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</si>
  <si>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</si>
  <si>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</si>
  <si>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</si>
  <si>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</si>
  <si>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</si>
  <si>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</si>
  <si>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</si>
  <si>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</si>
  <si>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</si>
  <si>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</si>
  <si>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</si>
  <si>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</si>
  <si>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</si>
  <si>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</si>
  <si>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</si>
  <si>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</si>
  <si>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</si>
  <si>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</si>
  <si>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</si>
  <si>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</si>
  <si>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</si>
  <si>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</si>
  <si>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</si>
  <si>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</si>
  <si>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</si>
  <si>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</si>
  <si>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</si>
  <si>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</si>
  <si>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</si>
  <si>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</si>
  <si>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</si>
  <si>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</si>
  <si>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</si>
  <si>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</si>
  <si>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</si>
  <si>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</si>
  <si>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</si>
  <si>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</si>
  <si>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</si>
  <si>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</si>
  <si>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</si>
  <si>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</si>
  <si>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</si>
  <si>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</si>
  <si>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</si>
  <si>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</si>
  <si>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</si>
  <si>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</si>
  <si>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</si>
  <si>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</si>
  <si>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</si>
  <si>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</si>
  <si>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</si>
  <si>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</si>
  <si>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</si>
  <si>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</si>
  <si>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</si>
  <si>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</si>
  <si>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</si>
  <si>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</si>
  <si>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</si>
  <si>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</si>
  <si>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</si>
  <si>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</si>
  <si>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</si>
  <si>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</si>
  <si>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</si>
  <si>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</si>
  <si>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</si>
  <si>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</si>
  <si>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</si>
  <si>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</si>
  <si>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</si>
  <si>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</si>
  <si>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</si>
  <si>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</si>
  <si>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</si>
  <si>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</si>
  <si>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</si>
  <si>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</si>
  <si>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</si>
  <si>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</si>
  <si>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</si>
  <si>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</si>
  <si>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</si>
  <si>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</si>
  <si>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</si>
  <si>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</si>
  <si>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</si>
  <si>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</si>
  <si>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</si>
  <si>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</si>
  <si>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</si>
  <si>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</si>
  <si>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</si>
  <si>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</si>
  <si>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</si>
  <si>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</si>
  <si>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</si>
  <si>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</si>
  <si>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</si>
  <si>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</si>
  <si>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</si>
  <si>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</si>
  <si>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</si>
  <si>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</si>
  <si>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</si>
  <si>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</si>
  <si>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</si>
  <si>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</si>
  <si>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</si>
  <si>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</si>
  <si>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</si>
  <si>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</si>
  <si>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</si>
  <si>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</si>
  <si>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</si>
  <si>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</si>
  <si>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</si>
  <si>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</si>
  <si>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</si>
  <si>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</si>
  <si>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</si>
  <si>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</si>
  <si>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</si>
  <si>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</si>
  <si>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</si>
  <si>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</si>
  <si>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</si>
  <si>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</si>
  <si>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</si>
  <si>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</si>
  <si>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</si>
  <si>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</si>
  <si>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</si>
  <si>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</si>
  <si>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</si>
  <si>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</si>
  <si>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</si>
  <si>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</si>
  <si>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</si>
  <si>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</si>
  <si>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</si>
  <si>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</si>
  <si>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</si>
  <si>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</si>
  <si>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</si>
  <si>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</si>
  <si>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</si>
  <si>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</si>
  <si>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</si>
  <si>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</si>
  <si>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</si>
  <si>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</si>
  <si>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</si>
  <si>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</si>
  <si>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</si>
  <si>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</si>
  <si>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</si>
  <si>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</si>
  <si>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</si>
  <si>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</si>
  <si>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</si>
  <si>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</si>
  <si>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</si>
  <si>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</si>
  <si>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</si>
  <si>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</si>
  <si>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</si>
  <si>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</si>
  <si>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</si>
  <si>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</si>
  <si>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</si>
  <si>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</si>
  <si>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</si>
  <si>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</si>
  <si>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</si>
  <si>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</si>
  <si>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</si>
  <si>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</si>
  <si>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</si>
  <si>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</si>
  <si>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</si>
  <si>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</si>
  <si>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</si>
  <si>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</si>
  <si>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</si>
  <si>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</si>
  <si>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</si>
  <si>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</si>
  <si>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</si>
  <si>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</si>
  <si>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</si>
  <si>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</si>
  <si>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</si>
  <si>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</si>
  <si>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</si>
  <si>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</si>
  <si>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</si>
  <si>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</si>
  <si>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</si>
  <si>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</si>
  <si>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</si>
  <si>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</si>
  <si>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</si>
  <si>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</si>
  <si>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</si>
  <si>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</si>
  <si>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</si>
  <si>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</si>
  <si>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</si>
  <si>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</si>
  <si>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</si>
  <si>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</si>
  <si>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</si>
  <si>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</si>
  <si>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</si>
  <si>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</si>
  <si>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</si>
  <si>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</si>
  <si>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</si>
  <si>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</si>
  <si>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</si>
  <si>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</si>
  <si>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</si>
  <si>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</si>
  <si>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</si>
  <si>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</si>
  <si>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</si>
  <si>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</si>
  <si>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</si>
  <si>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</si>
  <si>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</si>
  <si>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</si>
  <si>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</si>
  <si>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</si>
  <si>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</si>
  <si>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</si>
  <si>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</si>
  <si>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</si>
  <si>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</si>
  <si>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</si>
  <si>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</si>
  <si>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</si>
  <si>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</si>
  <si>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</si>
  <si>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</si>
  <si>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</si>
  <si>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</si>
  <si>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</si>
  <si>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</si>
  <si>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</si>
  <si>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</si>
  <si>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</si>
  <si>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</si>
  <si>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</si>
  <si>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</si>
  <si>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</si>
  <si>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</si>
  <si>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</si>
  <si>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</si>
  <si>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</si>
  <si>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</si>
  <si>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</si>
  <si>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</si>
  <si>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</si>
  <si>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</si>
  <si>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</si>
  <si>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</si>
  <si>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</si>
  <si>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</si>
  <si>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</si>
  <si>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</si>
  <si>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</si>
  <si>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</si>
  <si>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</si>
  <si>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</si>
  <si>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</si>
  <si>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</si>
  <si>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</si>
  <si>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</si>
  <si>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</si>
  <si>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</si>
  <si>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</si>
  <si>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</si>
  <si>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</si>
  <si>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</si>
  <si>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</si>
  <si>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</si>
  <si>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</si>
  <si>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</si>
  <si>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</si>
  <si>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</si>
  <si>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</si>
  <si>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</si>
  <si>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</si>
  <si>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</si>
  <si>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</si>
  <si>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</si>
  <si>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</si>
  <si>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</si>
  <si>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</si>
  <si>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</si>
  <si>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</si>
  <si>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</si>
  <si>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</si>
  <si>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</si>
  <si>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</si>
  <si>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</si>
  <si>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</si>
  <si>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</si>
  <si>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</si>
  <si>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</si>
  <si>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</si>
  <si>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</si>
  <si>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</si>
  <si>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</si>
  <si>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</si>
  <si>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</si>
  <si>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</si>
  <si>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</si>
  <si>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</si>
  <si>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</si>
  <si>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</si>
  <si>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</si>
  <si>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</si>
  <si>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</si>
  <si>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</si>
  <si>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</si>
  <si>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</si>
  <si>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</si>
  <si>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</si>
  <si>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</si>
  <si>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</si>
  <si>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</si>
  <si>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</si>
  <si>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</si>
  <si>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</si>
  <si>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</si>
  <si>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</si>
  <si>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</si>
  <si>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</si>
  <si>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</si>
  <si>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</si>
  <si>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</si>
  <si>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</si>
  <si>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</si>
  <si>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</si>
  <si>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</si>
  <si>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</si>
  <si>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</si>
  <si>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</si>
  <si>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</si>
  <si>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</si>
  <si>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</si>
  <si>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</si>
  <si>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</si>
  <si>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</si>
  <si>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</si>
  <si>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</si>
  <si>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</si>
  <si>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</si>
  <si>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</si>
  <si>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</si>
  <si>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</si>
  <si>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</si>
  <si>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</si>
  <si>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</si>
  <si>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</si>
  <si>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</si>
  <si>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</si>
  <si>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</si>
  <si>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</si>
  <si>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</si>
  <si>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</si>
  <si>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</si>
  <si>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</si>
  <si>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</si>
  <si>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</si>
  <si>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</si>
  <si>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</si>
  <si>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</si>
  <si>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</si>
  <si>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</si>
  <si>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</si>
  <si>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</si>
  <si>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</si>
  <si>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</si>
  <si>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</si>
  <si>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</si>
  <si>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</si>
  <si>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</si>
  <si>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</si>
  <si>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</si>
  <si>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</si>
  <si>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</si>
  <si>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</si>
  <si>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</si>
  <si>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</si>
  <si>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</si>
  <si>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</si>
  <si>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</si>
  <si>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</si>
  <si>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</si>
  <si>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</si>
  <si>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</si>
  <si>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</si>
  <si>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</si>
  <si>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</si>
  <si>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</si>
  <si>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</si>
  <si>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</si>
  <si>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</si>
  <si>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</si>
  <si>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</si>
  <si>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</si>
  <si>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</si>
  <si>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</si>
  <si>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</si>
  <si>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</si>
  <si>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</si>
  <si>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</si>
  <si>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</si>
  <si>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</si>
  <si>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</si>
  <si>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</si>
  <si>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</si>
  <si>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</si>
  <si>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</si>
  <si>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</si>
  <si>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</si>
  <si>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</si>
  <si>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</si>
  <si>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</si>
  <si>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</si>
  <si>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</si>
  <si>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</si>
  <si>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</si>
  <si>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</si>
  <si>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</si>
  <si>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</si>
  <si>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</si>
  <si>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</si>
  <si>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</si>
  <si>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</si>
  <si>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</si>
  <si>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</si>
  <si>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</si>
  <si>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</si>
  <si>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</si>
  <si>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</si>
  <si>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</si>
  <si>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</si>
  <si>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</si>
  <si>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</si>
  <si>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</si>
  <si>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</si>
  <si>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</si>
  <si>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</si>
  <si>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</si>
  <si>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</si>
  <si>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</si>
  <si>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</si>
  <si>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</si>
  <si>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</si>
  <si>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</si>
  <si>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</si>
  <si>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</si>
  <si>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</si>
  <si>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</si>
  <si>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</si>
  <si>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</si>
  <si>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</si>
  <si>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</si>
  <si>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</si>
  <si>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</si>
  <si>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</si>
  <si>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</si>
  <si>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</si>
  <si>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</si>
  <si>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</si>
  <si>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</si>
  <si>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</si>
  <si>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</si>
  <si>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</si>
  <si>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</si>
  <si>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</si>
  <si>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</si>
  <si>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</si>
  <si>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</si>
  <si>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</si>
  <si>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</si>
  <si>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</si>
  <si>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</si>
  <si>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</si>
  <si>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</si>
  <si>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</si>
  <si>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</si>
  <si>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</si>
  <si>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</si>
  <si>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</si>
  <si>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</si>
  <si>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</si>
  <si>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</si>
  <si>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</si>
  <si>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</si>
  <si>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</si>
  <si>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</si>
  <si>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</si>
  <si>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</si>
  <si>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</si>
  <si>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</si>
  <si>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</si>
  <si>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</si>
  <si>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</si>
  <si>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</si>
  <si>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</si>
  <si>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</si>
  <si>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</si>
  <si>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</si>
  <si>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</si>
  <si>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</si>
  <si>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</si>
  <si>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</si>
  <si>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</si>
  <si>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</si>
  <si>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</si>
  <si>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</si>
  <si>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</si>
  <si>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</si>
  <si>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</si>
  <si>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</si>
  <si>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</si>
  <si>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</si>
  <si>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</si>
  <si>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</si>
  <si>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</si>
  <si>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</si>
  <si>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</si>
  <si>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</si>
  <si>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</si>
  <si>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</si>
  <si>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</si>
  <si>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</si>
  <si>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</si>
  <si>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</si>
  <si>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</si>
  <si>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</si>
  <si>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</si>
  <si>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</si>
  <si>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</si>
  <si>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</si>
  <si>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</si>
  <si>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</si>
  <si>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</si>
  <si>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</si>
  <si>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</si>
  <si>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</si>
  <si>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</si>
  <si>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</si>
  <si>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</si>
  <si>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</si>
  <si>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</si>
  <si>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</si>
  <si>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</si>
  <si>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</si>
  <si>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</si>
  <si>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</si>
  <si>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</si>
  <si>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</si>
  <si>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</si>
  <si>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</si>
  <si>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</si>
  <si>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</si>
  <si>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</si>
  <si>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</si>
  <si>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</si>
  <si>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</si>
  <si>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</si>
  <si>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</si>
  <si>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</si>
  <si>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</si>
  <si>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</si>
  <si>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</si>
  <si>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</si>
  <si>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</si>
  <si>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</si>
  <si>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</si>
  <si>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</si>
  <si>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</si>
  <si>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</si>
  <si>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</si>
  <si>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</si>
  <si>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</si>
  <si>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</si>
  <si>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</si>
  <si>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</si>
  <si>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</si>
  <si>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</si>
  <si>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</si>
  <si>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</si>
  <si>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</si>
  <si>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</si>
  <si>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</si>
  <si>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</si>
  <si>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</si>
  <si>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</si>
  <si>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</si>
  <si>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</si>
  <si>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</si>
  <si>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</si>
  <si>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</si>
  <si>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</si>
  <si>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</si>
  <si>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</si>
  <si>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</si>
  <si>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</si>
  <si>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</si>
  <si>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</si>
  <si>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</si>
  <si>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</si>
  <si>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</si>
  <si>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</si>
  <si>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</si>
  <si>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</si>
  <si>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</si>
  <si>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</si>
  <si>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</si>
  <si>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</si>
  <si>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</si>
  <si>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</si>
  <si>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</si>
  <si>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</si>
  <si>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</si>
  <si>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</si>
  <si>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</si>
  <si>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</si>
  <si>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</si>
  <si>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</si>
  <si>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</si>
  <si>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</si>
  <si>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</si>
  <si>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</si>
  <si>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</si>
  <si>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</si>
  <si>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</si>
  <si>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</si>
  <si>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</si>
  <si>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</si>
  <si>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</si>
  <si>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</si>
  <si>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</si>
  <si>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</si>
  <si>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</si>
  <si>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</si>
  <si>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</si>
  <si>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</si>
  <si>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</si>
  <si>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</si>
  <si>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</si>
  <si>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</si>
  <si>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</si>
  <si>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</si>
  <si>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</si>
  <si>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</si>
  <si>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</si>
  <si>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</si>
  <si>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</si>
  <si>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</si>
  <si>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</si>
  <si>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</si>
  <si>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</si>
  <si>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</si>
  <si>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</si>
  <si>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</si>
  <si>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</si>
  <si>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</si>
  <si>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</si>
  <si>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</si>
  <si>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</si>
  <si>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</si>
  <si>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</si>
  <si>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</si>
  <si>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</si>
  <si>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</si>
  <si>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</si>
  <si>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</si>
  <si>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</si>
  <si>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</si>
  <si>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</si>
  <si>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</si>
  <si>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</si>
  <si>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</si>
  <si>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</si>
  <si>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</si>
  <si>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</si>
  <si>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</si>
  <si>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</si>
  <si>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</si>
  <si>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</si>
  <si>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</si>
  <si>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</si>
  <si>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</si>
  <si>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</si>
  <si>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</si>
  <si>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</si>
  <si>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</si>
  <si>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</si>
  <si>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</si>
  <si>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</si>
  <si>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</si>
  <si>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</si>
  <si>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</si>
  <si>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</si>
  <si>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</si>
  <si>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</si>
  <si>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</si>
  <si>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</si>
  <si>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</si>
  <si>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</si>
  <si>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</si>
  <si>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</si>
  <si>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</si>
  <si>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</si>
  <si>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</si>
  <si>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</si>
  <si>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</si>
  <si>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</si>
  <si>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</si>
  <si>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</si>
  <si>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</si>
  <si>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</si>
  <si>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</si>
  <si>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</si>
  <si>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</si>
  <si>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</si>
  <si>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</si>
  <si>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</si>
  <si>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</si>
  <si>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</si>
  <si>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</si>
  <si>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</si>
  <si>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</si>
  <si>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</si>
  <si>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</si>
  <si>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</si>
  <si>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</si>
  <si>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</si>
  <si>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</si>
  <si>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</si>
  <si>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</si>
  <si>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</si>
  <si>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</si>
  <si>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</si>
  <si>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</si>
  <si>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</si>
  <si>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</si>
  <si>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</si>
  <si>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</si>
  <si>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</si>
  <si>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</si>
  <si>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</si>
  <si>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</si>
  <si>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</si>
  <si>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</si>
  <si>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</si>
  <si>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</si>
  <si>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</si>
  <si>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</si>
  <si>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</si>
  <si>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</si>
  <si>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</si>
  <si>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</si>
  <si>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</si>
  <si>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</si>
  <si>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</si>
  <si>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</si>
  <si>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</si>
  <si>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</si>
  <si>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</si>
  <si>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</si>
  <si>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</si>
  <si>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</si>
  <si>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</si>
  <si>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</si>
  <si>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</si>
  <si>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</si>
  <si>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</si>
  <si>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</si>
  <si>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</si>
  <si>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</si>
  <si>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</si>
  <si>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</si>
  <si>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</si>
  <si>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</si>
  <si>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</si>
  <si>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</si>
  <si>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</si>
  <si>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</si>
  <si>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</si>
  <si>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</si>
  <si>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</si>
  <si>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</si>
  <si>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</si>
  <si>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</si>
  <si>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</si>
  <si>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</si>
  <si>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</si>
  <si>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</si>
  <si>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</si>
  <si>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</si>
  <si>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</si>
  <si>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</si>
  <si>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</si>
  <si>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</si>
  <si>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</si>
  <si>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</si>
  <si>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</si>
  <si>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</si>
  <si>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</si>
  <si>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</si>
  <si>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</si>
  <si>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</si>
  <si>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</si>
  <si>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</si>
  <si>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</si>
  <si>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</si>
  <si>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</si>
  <si>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</si>
  <si>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</si>
  <si>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</si>
  <si>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</si>
  <si>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</si>
  <si>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</si>
  <si>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</si>
  <si>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</si>
  <si>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</si>
  <si>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</si>
  <si>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</si>
  <si>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</si>
  <si>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</si>
  <si>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</si>
  <si>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</si>
  <si>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</si>
  <si>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</si>
  <si>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</si>
  <si>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</si>
  <si>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</si>
  <si>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</si>
  <si>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</si>
  <si>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</si>
  <si>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</si>
  <si>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</si>
  <si>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</si>
  <si>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</si>
  <si>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</si>
  <si>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</si>
  <si>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</si>
  <si>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</si>
  <si>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</si>
  <si>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</si>
  <si>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</si>
  <si>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</si>
  <si>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</si>
  <si>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</si>
  <si>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</si>
  <si>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</si>
  <si>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</si>
  <si>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</si>
  <si>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</si>
  <si>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</si>
  <si>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</si>
  <si>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</si>
  <si>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</si>
  <si>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</si>
  <si>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</si>
  <si>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</si>
  <si>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</si>
  <si>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</si>
  <si>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</si>
  <si>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</si>
  <si>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</si>
  <si>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</si>
  <si>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</si>
  <si>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</si>
  <si>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</si>
  <si>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</si>
  <si>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</si>
  <si>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</si>
  <si>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</si>
  <si>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</si>
  <si>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</si>
  <si>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</si>
  <si>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</si>
  <si>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</si>
  <si>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</si>
  <si>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</si>
  <si>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</si>
  <si>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</si>
  <si>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</si>
  <si>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</si>
  <si>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</si>
  <si>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</si>
  <si>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</si>
  <si>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</si>
  <si>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</si>
  <si>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</si>
  <si>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</si>
  <si>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</si>
  <si>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</si>
  <si>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</si>
  <si>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</si>
  <si>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</si>
  <si>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</si>
  <si>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</si>
  <si>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</si>
  <si>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</si>
  <si>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</si>
  <si>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</si>
  <si>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</si>
  <si>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</si>
  <si>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</si>
  <si>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</si>
  <si>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</si>
  <si>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</si>
  <si>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</si>
  <si>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</si>
  <si>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</si>
  <si>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</si>
  <si>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</si>
  <si>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</si>
  <si>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</si>
  <si>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</si>
  <si>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</si>
  <si>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</si>
  <si>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</si>
  <si>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</si>
  <si>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</si>
  <si>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</si>
  <si>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</si>
  <si>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</si>
  <si>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</si>
  <si>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</si>
  <si>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</si>
  <si>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</si>
  <si>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</si>
  <si>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</si>
  <si>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</si>
  <si>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</si>
  <si>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</si>
  <si>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</si>
  <si>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</si>
  <si>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</si>
  <si>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</si>
  <si>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</si>
  <si>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</si>
  <si>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</si>
  <si>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</si>
  <si>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</si>
  <si>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</si>
  <si>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</si>
  <si>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</si>
  <si>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</si>
  <si>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</si>
  <si>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</si>
  <si>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</si>
  <si>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</si>
  <si>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</si>
  <si>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</si>
  <si>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</si>
  <si>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</si>
  <si>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</si>
  <si>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</si>
  <si>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</si>
  <si>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</si>
  <si>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</si>
  <si>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</si>
  <si>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</si>
  <si>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</si>
  <si>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</si>
  <si>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</si>
  <si>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</si>
  <si>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</si>
  <si>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</si>
  <si>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</si>
  <si>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</si>
  <si>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</si>
  <si>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</si>
  <si>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</si>
  <si>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</si>
  <si>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</si>
  <si>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</si>
  <si>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</si>
  <si>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</si>
  <si>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</si>
  <si>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</si>
  <si>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</si>
  <si>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</si>
  <si>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</si>
  <si>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</si>
  <si>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</si>
  <si>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</si>
  <si>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</si>
  <si>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</si>
  <si>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</si>
  <si>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</si>
  <si>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</si>
  <si>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</si>
  <si>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</si>
  <si>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</si>
  <si>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</si>
  <si>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</si>
  <si>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</si>
  <si>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</si>
  <si>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</si>
  <si>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</si>
  <si>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</si>
  <si>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</si>
  <si>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</si>
  <si>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</si>
  <si>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</si>
  <si>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</si>
  <si>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</si>
  <si>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</si>
  <si>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</si>
  <si>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</si>
  <si>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</si>
  <si>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</si>
  <si>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</si>
  <si>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</si>
  <si>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</si>
  <si>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</si>
  <si>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</si>
  <si>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</si>
  <si>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</si>
  <si>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</si>
  <si>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</si>
  <si>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</si>
  <si>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</si>
  <si>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</si>
  <si>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</si>
  <si>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</si>
  <si>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</si>
  <si>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</si>
  <si>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</si>
  <si>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</si>
  <si>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</si>
  <si>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</si>
  <si>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</si>
  <si>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</si>
  <si>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</si>
  <si>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</si>
  <si>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</si>
  <si>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</si>
  <si>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</si>
  <si>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</si>
  <si>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</si>
  <si>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</si>
  <si>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</si>
  <si>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</si>
  <si>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</si>
  <si>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</si>
  <si>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</si>
  <si>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</si>
  <si>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</si>
  <si>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</si>
  <si>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</si>
  <si>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</si>
  <si>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</si>
  <si>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</si>
  <si>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</si>
  <si>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</si>
  <si>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</si>
  <si>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</si>
  <si>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</si>
  <si>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</si>
  <si>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</si>
  <si>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</si>
  <si>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</si>
  <si>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</si>
  <si>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</si>
  <si>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</si>
  <si>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</si>
  <si>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</si>
  <si>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</si>
  <si>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</si>
  <si>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</si>
  <si>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</si>
  <si>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</si>
  <si>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</si>
  <si>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</si>
  <si>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</si>
  <si>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</si>
  <si>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</si>
  <si>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</si>
  <si>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</si>
  <si>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</si>
  <si>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</si>
  <si>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</si>
  <si>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</si>
  <si>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</si>
  <si>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</si>
  <si>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</si>
  <si>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</si>
  <si>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</si>
  <si>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</si>
  <si>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</si>
  <si>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</si>
  <si>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</si>
  <si>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</si>
  <si>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</si>
  <si>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</si>
  <si>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</si>
  <si>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</si>
  <si>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</si>
  <si>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</si>
  <si>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</si>
  <si>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</si>
  <si>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</si>
  <si>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</si>
  <si>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</si>
  <si>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</si>
  <si>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</si>
  <si>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</si>
  <si>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</si>
  <si>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</si>
  <si>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</si>
  <si>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</si>
  <si>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</si>
  <si>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</si>
  <si>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</si>
  <si>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</si>
  <si>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</si>
  <si>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</si>
  <si>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</si>
  <si>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</si>
  <si>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</si>
  <si>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</si>
  <si>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</si>
  <si>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</si>
  <si>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</si>
  <si>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</si>
  <si>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</si>
  <si>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</si>
  <si>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</si>
  <si>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</si>
  <si>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</si>
  <si>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</si>
  <si>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</si>
  <si>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</si>
  <si>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</si>
  <si>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</si>
  <si>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</si>
  <si>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</si>
  <si>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</si>
  <si>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</si>
  <si>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</si>
  <si>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</si>
  <si>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</si>
  <si>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</si>
  <si>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</si>
  <si>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</si>
  <si>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</si>
  <si>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</si>
  <si>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</si>
  <si>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</si>
  <si>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</si>
  <si>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</si>
  <si>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</si>
  <si>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</si>
  <si>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</si>
  <si>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</si>
  <si>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</si>
  <si>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</si>
  <si>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</si>
  <si>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</si>
  <si>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</si>
  <si>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</si>
  <si>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</si>
  <si>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</si>
  <si>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</si>
  <si>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</si>
  <si>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</si>
  <si>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</si>
  <si>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</si>
  <si>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</si>
  <si>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</si>
  <si>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</si>
  <si>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</si>
  <si>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</si>
  <si>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</si>
  <si>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</si>
  <si>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</si>
  <si>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</si>
  <si>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</si>
  <si>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</si>
  <si>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</si>
  <si>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</si>
  <si>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</si>
  <si>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</si>
  <si>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</si>
  <si>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</si>
  <si>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</si>
  <si>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</si>
  <si>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</si>
  <si>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</si>
  <si>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</si>
  <si>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</si>
  <si>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</si>
  <si>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</si>
  <si>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</si>
  <si>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</si>
  <si>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</si>
  <si>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</si>
  <si>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</si>
  <si>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</si>
  <si>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</si>
  <si>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</si>
  <si>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</si>
  <si>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</si>
  <si>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</si>
  <si>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</si>
  <si>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</si>
  <si>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</si>
  <si>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</si>
  <si>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</si>
  <si>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</si>
  <si>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</si>
  <si>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</si>
  <si>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</si>
  <si>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</si>
  <si>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</si>
  <si>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</si>
  <si>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</si>
  <si>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</si>
  <si>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</si>
  <si>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</si>
  <si>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</si>
  <si>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</si>
  <si>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</si>
  <si>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</si>
  <si>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</si>
  <si>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</si>
  <si>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</si>
  <si>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</si>
  <si>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</si>
  <si>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</si>
  <si>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</si>
  <si>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</si>
  <si>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</si>
  <si>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</si>
  <si>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</si>
  <si>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</si>
  <si>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</si>
  <si>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</si>
  <si>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</si>
  <si>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</si>
  <si>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</si>
  <si>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</si>
  <si>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</si>
  <si>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</si>
  <si>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</si>
  <si>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</si>
  <si>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</si>
  <si>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</si>
  <si>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</si>
  <si>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</si>
  <si>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</si>
  <si>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</si>
  <si>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</si>
  <si>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</si>
  <si>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</si>
  <si>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</si>
  <si>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</si>
  <si>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</si>
  <si>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</si>
  <si>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</si>
  <si>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</si>
  <si>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</si>
  <si>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</si>
  <si>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</si>
  <si>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</si>
  <si>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</si>
  <si>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</si>
  <si>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</si>
  <si>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Фармимэкс</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</si>
  <si>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</si>
  <si>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</si>
  <si>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</si>
  <si>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</si>
  <si>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</si>
  <si>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</si>
  <si>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</si>
  <si>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</si>
  <si>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</si>
  <si>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</si>
  <si>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</si>
  <si>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</si>
  <si>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</si>
  <si>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</si>
  <si>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</si>
  <si>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</si>
  <si>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</si>
  <si>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</si>
  <si>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</si>
  <si>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</si>
  <si>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</si>
  <si>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</si>
  <si>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</si>
  <si>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</si>
  <si>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</si>
  <si>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</si>
  <si>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</si>
  <si>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</si>
  <si>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</si>
  <si>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</si>
  <si>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</si>
  <si>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</si>
  <si>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</si>
  <si>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</si>
  <si>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</si>
  <si>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</si>
  <si>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</si>
  <si>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</si>
  <si>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</si>
  <si>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</si>
  <si>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</si>
  <si>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</si>
  <si>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</si>
  <si>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</si>
  <si>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</si>
  <si>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</si>
  <si>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</si>
  <si>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</si>
  <si>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</si>
  <si>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</si>
  <si>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</si>
  <si>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</si>
  <si>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</si>
  <si>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</si>
  <si>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</si>
  <si>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</si>
  <si>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</si>
  <si>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</si>
  <si>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</si>
  <si>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</si>
  <si>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</si>
  <si>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</si>
  <si>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</si>
  <si>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</si>
  <si>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</si>
  <si>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</si>
  <si>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</si>
  <si>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</si>
  <si>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</si>
  <si>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</si>
  <si>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</si>
  <si>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</si>
  <si>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</si>
  <si>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</si>
  <si>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</si>
  <si>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</si>
  <si>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</si>
  <si>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</si>
  <si>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</si>
  <si>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</si>
  <si>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</si>
  <si>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</si>
  <si>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</si>
  <si>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</si>
  <si>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</si>
  <si>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</si>
  <si>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</si>
  <si>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</si>
  <si>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</si>
  <si>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</si>
  <si>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</si>
  <si>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</si>
  <si>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</si>
  <si>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</si>
  <si>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</si>
  <si>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</si>
  <si>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</si>
  <si>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</si>
  <si>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</si>
  <si>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</si>
  <si>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</si>
  <si>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</si>
  <si>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</si>
  <si>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</si>
  <si>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</si>
  <si>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</si>
  <si>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</si>
  <si>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</si>
  <si>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</si>
  <si>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</si>
  <si>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</si>
  <si>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</si>
  <si>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</si>
  <si>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</si>
  <si>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</si>
  <si>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</si>
  <si>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</si>
  <si>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</si>
  <si>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</si>
  <si>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</si>
  <si>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</si>
  <si>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</si>
  <si>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</si>
  <si>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</si>
  <si>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</si>
  <si>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</si>
  <si>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</si>
  <si>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</si>
  <si>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</si>
  <si>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</si>
  <si>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</si>
  <si>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</si>
  <si>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</si>
  <si>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</si>
  <si>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</si>
  <si>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</si>
  <si>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</si>
  <si>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</si>
  <si>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</si>
  <si>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</si>
  <si>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</si>
  <si>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</si>
  <si>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</si>
  <si>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</si>
  <si>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</si>
  <si>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</si>
  <si>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</si>
  <si>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</si>
  <si>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</si>
  <si>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</si>
  <si>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</si>
  <si>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</si>
  <si>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</si>
  <si>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</si>
  <si>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</si>
  <si>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</si>
  <si>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</si>
  <si>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</si>
  <si>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</si>
  <si>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</si>
  <si>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</si>
  <si>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</si>
  <si>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</si>
  <si>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</si>
  <si>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</si>
  <si>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</si>
  <si>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</si>
  <si>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</si>
  <si>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</si>
  <si>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</si>
  <si>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</si>
  <si>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</si>
  <si>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</si>
  <si>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</si>
  <si>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</si>
  <si>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</si>
  <si>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</si>
  <si>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</si>
  <si>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</si>
  <si>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</si>
  <si>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</si>
  <si>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</si>
  <si>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</si>
  <si>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</si>
  <si>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</si>
  <si>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</si>
  <si>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</si>
  <si>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</si>
  <si>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</si>
  <si>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</si>
  <si>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</si>
  <si>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</si>
  <si>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</si>
  <si>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</si>
  <si>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</si>
  <si>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</si>
  <si>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</si>
  <si>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</si>
  <si>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</si>
  <si>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</si>
  <si>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</si>
  <si>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</si>
  <si>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</si>
  <si>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</si>
  <si>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</si>
  <si>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</si>
  <si>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</si>
  <si>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</si>
  <si>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</si>
  <si>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</si>
  <si>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</si>
  <si>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</si>
  <si>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</si>
  <si>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</si>
  <si>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</si>
  <si>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</si>
  <si>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</si>
  <si>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</si>
  <si>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1970515020223000240</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</si>
  <si>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</si>
  <si>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</si>
  <si>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</si>
  <si>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</si>
  <si>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</si>
  <si>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</si>
  <si>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</si>
  <si>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</si>
  <si>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</si>
  <si>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</si>
  <si>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</si>
  <si>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</si>
  <si>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</si>
  <si>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</si>
  <si>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</si>
  <si>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</si>
  <si>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</si>
  <si>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</si>
  <si>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</si>
  <si>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</si>
  <si>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</si>
  <si>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</si>
  <si>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</si>
  <si>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</si>
  <si>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</si>
  <si>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</si>
  <si>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</si>
  <si>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</si>
  <si>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</si>
  <si>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</si>
  <si>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</si>
  <si>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</si>
  <si>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</si>
  <si>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</si>
  <si>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</si>
  <si>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</si>
  <si>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</si>
  <si>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</si>
  <si>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</si>
  <si>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</si>
  <si>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</si>
  <si>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</si>
  <si>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</si>
  <si>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</si>
  <si>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</si>
  <si>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</si>
  <si>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</si>
  <si>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</si>
  <si>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</si>
  <si>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</si>
  <si>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</si>
  <si>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1970515020223000231</t>
  </si>
  <si>
    <t>0873400003923000247_358372</t>
  </si>
  <si>
    <t>0873400003923000248</t>
  </si>
  <si>
    <t>1970515020223000232</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</si>
  <si>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</si>
  <si>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</si>
  <si>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</si>
  <si>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</si>
  <si>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1970515020223000229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</si>
  <si>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</si>
  <si>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</si>
  <si>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</si>
  <si>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</si>
  <si>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</si>
  <si>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</si>
  <si>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</si>
  <si>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</si>
  <si>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</si>
  <si>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</si>
  <si>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</si>
  <si>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</si>
  <si>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</si>
  <si>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</si>
  <si>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</si>
  <si>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1970515020223000244</t>
  </si>
  <si>
    <t>https://zakupki.gov.ru/epz/order/notice/ea20/view/common-info.html?regNumber=0873400003923000253</t>
  </si>
  <si>
    <t>0873400003923000253_358372</t>
  </si>
  <si>
    <t>0873400003923000254</t>
  </si>
  <si>
    <t>1970515020223000243</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</si>
  <si>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</si>
  <si>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</si>
  <si>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</si>
  <si>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</si>
  <si>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расторгнут</t>
  </si>
  <si>
    <t>1970515020223000245</t>
  </si>
  <si>
    <t>https://zakupki.gov.ru/epz/order/notice/ea20/view/common-info.html?regNumber=0873400003923000255</t>
  </si>
  <si>
    <t>0873400003923000255-0001 расторгнут</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</si>
  <si>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</si>
  <si>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</si>
  <si>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</si>
  <si>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</si>
  <si>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</si>
  <si>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</si>
  <si>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</si>
  <si>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</si>
  <si>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</si>
  <si>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</si>
  <si>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</si>
  <si>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1970515020223000242</t>
  </si>
  <si>
    <t>https://zakupki.gov.ru/epz/order/notice/ea20/view/common-info.html?regNumber=0873400003923000257</t>
  </si>
  <si>
    <t>0873400003923000257-0001 расторгнут</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</si>
  <si>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</si>
  <si>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</si>
  <si>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</si>
  <si>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</si>
  <si>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</si>
  <si>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</si>
  <si>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</si>
  <si>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</si>
  <si>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</si>
  <si>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</si>
  <si>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</si>
  <si>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</si>
  <si>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</si>
  <si>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</si>
  <si>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</si>
  <si>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</si>
  <si>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</si>
  <si>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</si>
  <si>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</si>
  <si>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</si>
  <si>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</si>
  <si>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</si>
  <si>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</si>
  <si>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</si>
  <si>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</si>
  <si>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</si>
  <si>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</si>
  <si>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</si>
  <si>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</si>
  <si>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</si>
  <si>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</si>
  <si>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</si>
  <si>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0873400003923000263</t>
  </si>
  <si>
    <t>1970515020223000247</t>
  </si>
  <si>
    <t>https://zakupki.gov.ru/epz/order/notice/ea20/view/common-info.html?regNumber=0873400003923000263</t>
  </si>
  <si>
    <t>0873400003923000263_358372</t>
  </si>
  <si>
    <t>0873400003923000264</t>
  </si>
  <si>
    <t>1970515020223000250</t>
  </si>
  <si>
    <t>https://zakupki.gov.ru/epz/order/notice/ea20/view/common-info.html?regNumber=0873400003923000264</t>
  </si>
  <si>
    <t>0873400003923000264_358372</t>
  </si>
  <si>
    <t>0873400003923000265</t>
  </si>
  <si>
    <t>1970515020223000295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</si>
  <si>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</si>
  <si>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</si>
  <si>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</si>
  <si>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</si>
  <si>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</si>
  <si>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0873400003923000266</t>
  </si>
  <si>
    <t>1970515020223000248</t>
  </si>
  <si>
    <t>https://zakupki.gov.ru/epz/order/notice/ea20/view/common-info.html?regNumber=0873400003923000266</t>
  </si>
  <si>
    <t>0873400003923000266-0001</t>
  </si>
  <si>
    <t>Помалидомид, капсулы, 2 мг</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</si>
  <si>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</si>
  <si>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</si>
  <si>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</si>
  <si>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</si>
  <si>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</si>
  <si>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</si>
  <si>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</si>
  <si>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</si>
  <si>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</si>
  <si>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</si>
  <si>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</si>
  <si>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</si>
  <si>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</si>
  <si>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</si>
  <si>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</si>
  <si>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</si>
  <si>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</si>
  <si>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</si>
  <si>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</si>
  <si>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</si>
  <si>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</si>
  <si>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</si>
  <si>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</si>
  <si>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</si>
  <si>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</si>
  <si>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</si>
  <si>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</si>
  <si>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</si>
  <si>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</si>
  <si>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</si>
  <si>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</si>
  <si>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</si>
  <si>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</si>
  <si>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</si>
  <si>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</si>
  <si>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</si>
  <si>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</si>
  <si>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</si>
  <si>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</si>
  <si>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</si>
  <si>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</si>
  <si>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</si>
  <si>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</si>
  <si>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</si>
  <si>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</si>
  <si>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</si>
  <si>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</si>
  <si>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</si>
  <si>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</si>
  <si>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</si>
  <si>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</si>
  <si>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</si>
  <si>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</si>
  <si>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</si>
  <si>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</si>
  <si>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</si>
  <si>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</si>
  <si>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</si>
  <si>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</si>
  <si>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</si>
  <si>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</si>
  <si>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</si>
  <si>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</si>
  <si>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</si>
  <si>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</si>
  <si>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</si>
  <si>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</si>
  <si>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</si>
  <si>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</si>
  <si>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</si>
  <si>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</si>
  <si>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</si>
  <si>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</si>
  <si>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</si>
  <si>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</si>
  <si>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</si>
  <si>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</si>
  <si>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1970515020223000267</t>
  </si>
  <si>
    <t>https://zakupki.gov.ru/epz/order/notice/ea20/view/event-journal.html?regNumber=0873400003923000286#</t>
  </si>
  <si>
    <t>0873400003923000286-0001</t>
  </si>
  <si>
    <t>капсулы, 300 мг (контурная ячейковая упаковка) 10 х 3 (пачка картонная)</t>
  </si>
  <si>
    <t>0873400003923000287</t>
  </si>
  <si>
    <t>1970515020223000278</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</si>
  <si>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</si>
  <si>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</si>
  <si>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</si>
  <si>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</si>
  <si>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</si>
  <si>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0873400003923000288</t>
  </si>
  <si>
    <t>1970515020223000265</t>
  </si>
  <si>
    <t>https://zakupki.gov.ru/epz/order/notice/ea20/view/common-info.html?regNumber=0873400003923000288</t>
  </si>
  <si>
    <t>0873400003923000288_358372</t>
  </si>
  <si>
    <t>капсулы, 25 мг (флакон) 60 х 1
(пачка картонная)</t>
  </si>
  <si>
    <t>0873400003923000291</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</si>
  <si>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</si>
  <si>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</si>
  <si>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</si>
  <si>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</si>
  <si>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</si>
  <si>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</si>
  <si>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0873400003923000293</t>
  </si>
  <si>
    <t>Велпатасвир + Софосбувир, таблетки,
покрытые пленочной оболочкой, 100 мг + 400 мг</t>
  </si>
  <si>
    <t>0873400003923000294</t>
  </si>
  <si>
    <t>Глекапревир+Пибрентасвир, гранулы,
покрытые оболочкой, 50 мг+20 мг</t>
  </si>
  <si>
    <t>0873400003923000295</t>
  </si>
  <si>
    <t>Глекапревир + Пибрентасвир, таблетки, покрытые пленочной оболочкой, 100 мг +40 мг</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</si>
  <si>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</si>
  <si>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</si>
  <si>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</si>
  <si>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</si>
  <si>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</si>
  <si>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</si>
  <si>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0873400003923000297</t>
  </si>
  <si>
    <t>1970515020223000276</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</si>
  <si>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</si>
  <si>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</si>
  <si>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</si>
  <si>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</si>
  <si>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</si>
  <si>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</si>
  <si>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</si>
  <si>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</si>
  <si>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</si>
  <si>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</si>
  <si>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</si>
  <si>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</si>
  <si>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</si>
  <si>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</si>
  <si>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</si>
  <si>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</si>
  <si>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</si>
  <si>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</si>
  <si>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</si>
  <si>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</si>
  <si>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</si>
  <si>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</si>
  <si>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</si>
  <si>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</si>
  <si>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</si>
  <si>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</si>
  <si>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</si>
  <si>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</si>
  <si>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</si>
  <si>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</si>
  <si>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</si>
  <si>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</si>
  <si>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</si>
  <si>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</si>
  <si>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</si>
  <si>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</si>
  <si>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</si>
  <si>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</si>
  <si>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</si>
  <si>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</si>
  <si>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</si>
  <si>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1970515020223000282</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</si>
  <si>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</si>
  <si>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</si>
  <si>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</si>
  <si>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</si>
  <si>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0873400003923000308</t>
  </si>
  <si>
    <t>1970515020223000283</t>
  </si>
  <si>
    <t>https://zakupki.gov.ru/epz/order/notice/ea20/view/common-info.html?regNumber=0873400003923000308</t>
  </si>
  <si>
    <t>0873400003923000308-0001</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</si>
  <si>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</si>
  <si>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</si>
  <si>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</si>
  <si>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</si>
  <si>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</si>
  <si>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</si>
  <si>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1970515020223000277</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</si>
  <si>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</si>
  <si>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</si>
  <si>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</si>
  <si>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</si>
  <si>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0873400003923000312</t>
  </si>
  <si>
    <t>https://zakupki.gov.ru/epz/order/notice/ea20/view/common-info.html?regNumber=0873400003923000312</t>
  </si>
  <si>
    <t>0873400003923000313</t>
  </si>
  <si>
    <t>1970515020223000285</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</si>
  <si>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</si>
  <si>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</si>
  <si>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</si>
  <si>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</si>
  <si>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0873400003923000314</t>
  </si>
  <si>
    <t>1970515020223000280</t>
  </si>
  <si>
    <t>https://zakupki.gov.ru/epz/order/notice/ea20/view/common-info.html?regNumber=0873400003923000314</t>
  </si>
  <si>
    <t>0873400003923000314-0001</t>
  </si>
  <si>
    <t>0873400003923000315</t>
  </si>
  <si>
    <t>1970515020223000291</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</si>
  <si>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</si>
  <si>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</si>
  <si>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</si>
  <si>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</si>
  <si>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</si>
  <si>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</si>
  <si>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</si>
  <si>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1970515020223000279</t>
  </si>
  <si>
    <t>https://zakupki.gov.ru/epz/order/notice/ea20/view/common-info.html?regNumber=0873400003923000316</t>
  </si>
  <si>
    <t>0873400003923000316_358372</t>
  </si>
  <si>
    <t>Ланаделумаб, раствор для подкожного
введения, 150 мг/мл</t>
  </si>
  <si>
    <t>Камчатский край, Кузбасс, Московская область, Мурманская область, Ростовская область</t>
  </si>
  <si>
    <t>0873400003923000317</t>
  </si>
  <si>
    <t>1970515020223000288</t>
  </si>
  <si>
    <t>https://zakupki.gov.ru/epz/order/notice/ea20/view/common-info.html?regNumber=0873400003923000317</t>
  </si>
  <si>
    <t>0873400003923000317_358372</t>
  </si>
  <si>
    <t>0873400003923000318</t>
  </si>
  <si>
    <t>1970515020223000286</t>
  </si>
  <si>
    <t>https://zakupki.gov.ru/epz/order/notice/ea20/view/common-info.html?regNumber=0873400003923000318</t>
  </si>
  <si>
    <t>0873400003923000318_358372</t>
  </si>
  <si>
    <t>Эпклюза®</t>
  </si>
  <si>
    <t>таблетки, покрытые пленочной оболочкой, 
100 мг + 400 мг (флакон) 28 х 1 (пачка картонная)</t>
  </si>
  <si>
    <t>0873400003923000319</t>
  </si>
  <si>
    <t>1970515020223000281</t>
  </si>
  <si>
    <t>https://zakupki.gov.ru/epz/order/notice/ea20/view/common-info.html?regNumber=0873400003923000319</t>
  </si>
  <si>
    <t>0873400003923000319_358372</t>
  </si>
  <si>
    <t>Брянская область, Кабардино-Балкарская Республика, Кировская область, Ставропольский край</t>
  </si>
  <si>
    <t>0873400003923000320</t>
  </si>
  <si>
    <t>1970515020223000287</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</si>
  <si>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</si>
  <si>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</si>
  <si>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</si>
  <si>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</si>
  <si>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</si>
  <si>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</si>
  <si>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0873400003923000321</t>
  </si>
  <si>
    <t>https://zakupki.gov.ru/epz/order/notice/ea20/view/common-info.html?regNumber=0873400003923000321</t>
  </si>
  <si>
    <t>0873400003923000322</t>
  </si>
  <si>
    <t>1970515020223000284</t>
  </si>
  <si>
    <t>https://zakupki.gov.ru/epz/order/notice/ea20/view/common-info.html?regNumber=0873400003923000322</t>
  </si>
  <si>
    <t>0873400003923000322_358372</t>
  </si>
  <si>
    <t>0873400003923000324</t>
  </si>
  <si>
    <t>1970515020223000292</t>
  </si>
  <si>
    <t>https://zakupki.gov.ru/epz/order/notice/ea20/view/common-info.html?regNumber=0873400003923000324</t>
  </si>
  <si>
    <t>0873400003923000324_358372</t>
  </si>
  <si>
    <t>0873400003923000325</t>
  </si>
  <si>
    <t>1970515020223000289</t>
  </si>
  <si>
    <t>https://zakupki.gov.ru/epz/order/notice/ea20/view/common-info.html?regNumber=0873400003923000325</t>
  </si>
  <si>
    <t>0873400003923000325_358372</t>
  </si>
  <si>
    <t>Красноярский край, Омская область, Пермский край, Северная Осетия, Республика Татарстан, Ставропольский край, Челябинская область</t>
  </si>
  <si>
    <t>0873400003923000326</t>
  </si>
  <si>
    <t>1970515020223000290</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</si>
  <si>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</si>
  <si>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</si>
  <si>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</si>
  <si>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</si>
  <si>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</si>
  <si>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0873400003923000327</t>
  </si>
  <si>
    <t>1970515020223000294</t>
  </si>
  <si>
    <t>https://zakupki.gov.ru/epz/order/notice/ea20/view/common-info.html?regNumber=0873400003923000327</t>
  </si>
  <si>
    <t>0873400003923000327_358372</t>
  </si>
  <si>
    <t>0873400003923000328</t>
  </si>
  <si>
    <t>1970515020223000293</t>
  </si>
  <si>
    <t>https://zakupki.gov.ru/epz/order/notice/ea20/view/common-info.html?regNumber=0873400003923000328</t>
  </si>
  <si>
    <t>0873400003923000328_358372</t>
  </si>
  <si>
    <t>0873400003923000329</t>
  </si>
  <si>
    <t>1970515020223000306</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</si>
  <si>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</si>
  <si>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</si>
  <si>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</si>
  <si>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</si>
  <si>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</si>
  <si>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0873400003923000330</t>
  </si>
  <si>
    <t>1970515020223000296</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</si>
  <si>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</si>
  <si>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</si>
  <si>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</si>
  <si>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0873400003923000331</t>
  </si>
  <si>
    <t>1970515020223000305</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</si>
  <si>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</si>
  <si>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</si>
  <si>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</si>
  <si>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</si>
  <si>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1970515020223000304</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</si>
  <si>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</si>
  <si>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</si>
  <si>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</si>
  <si>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0873400003923000333</t>
  </si>
  <si>
    <t>1970515020223000303</t>
  </si>
  <si>
    <t>https://zakupki.gov.ru/epz/order/notice/ea20/view/common-info.html?regNumber=0873400003923000333</t>
  </si>
  <si>
    <t>0873400003923000333-0001</t>
  </si>
  <si>
    <t>0873400003923000334</t>
  </si>
  <si>
    <t>1970515020223000301</t>
  </si>
  <si>
    <t>https://zakupki.gov.ru/epz/order/notice/ea20/view/common-info.html?regNumber=0873400003923000334</t>
  </si>
  <si>
    <t>0873400003923000334-0001</t>
  </si>
  <si>
    <t>Эмицизумаб, раствор для подкожного
введения 30 мг/мл</t>
  </si>
  <si>
    <t>0873400003923000335</t>
  </si>
  <si>
    <t>1970515020223000302</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</si>
  <si>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</si>
  <si>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</si>
  <si>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</si>
  <si>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0873400003923000336</t>
  </si>
  <si>
    <t>1970515020223000297</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</si>
  <si>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</si>
  <si>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</si>
  <si>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</si>
  <si>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0873400003923000337</t>
  </si>
  <si>
    <t>1970515020223000300</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</si>
  <si>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</si>
  <si>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</si>
  <si>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</si>
  <si>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0873400003923000338</t>
  </si>
  <si>
    <t>1970515020223000299</t>
  </si>
  <si>
    <t>https://zakupki.gov.ru/epz/order/notice/ea20/view/common-info.html?regNumber=0873400003923000338</t>
  </si>
  <si>
    <t>0873400003923000338-0001</t>
  </si>
  <si>
    <t>Адалимумаб, раствор для подкожного
введения, 100 мг/мл и/или 40 мг/ 0,4 мл</t>
  </si>
  <si>
    <t>0873400003923000339</t>
  </si>
  <si>
    <t>1970515020223000298</t>
  </si>
  <si>
    <t>https://zakupki.gov.ru/epz/order/notice/ea20/view/common-info.html?regNumber=0873400003923000339</t>
  </si>
  <si>
    <t>0873400003923000339-0001</t>
  </si>
  <si>
    <t>0873400003923000340</t>
  </si>
  <si>
    <t>1970515020223000311</t>
  </si>
  <si>
    <t>https://zakupki.gov.ru/epz/order/notice/ea20/view/common-info.html?regNumber=0873400003923000340</t>
  </si>
  <si>
    <t>0873400003923000340-0001</t>
  </si>
  <si>
    <t>0873400003923000342</t>
  </si>
  <si>
    <t>1970515020223000308</t>
  </si>
  <si>
    <t>https://zakupki.gov.ru/epz/order/notice/ea20/view/common-info.html?regNumber=0873400003923000342</t>
  </si>
  <si>
    <t>0873400003923000342_358372</t>
  </si>
  <si>
    <t>Глекапревир + Пибрентасвир, таблетки, покрытые пленочной оболочкой, 100 мг + 40 мг</t>
  </si>
  <si>
    <t>Мавирет</t>
  </si>
  <si>
    <t>таблетки, покрытые пленочной оболочкой, 
100 мг + 40 мг (блистер) 3 х 28 (пачка картонная)</t>
  </si>
  <si>
    <t>0873400003923000343</t>
  </si>
  <si>
    <t>https://zakupki.gov.ru/epz/order/notice/ea20/view/common-info.html?regNumber=0873400003923000343</t>
  </si>
  <si>
    <t>0873400003923000343-0001</t>
  </si>
  <si>
    <t>концентрат для приготовления раствора для инфузий, 2 мг/мл (флакон) 3 мл х 1 (пачка картонная)</t>
  </si>
  <si>
    <t>0873400003923000344</t>
  </si>
  <si>
    <t>https://zakupki.gov.ru/epz/order/notice/ea20/view/common-info.html?regNumber=0873400003923000344</t>
  </si>
  <si>
    <t>0873400003923000344-0001</t>
  </si>
  <si>
    <t>Эмицизумаб, раствор для подкожного
введения 150 мг/мл, 0,4 мл</t>
  </si>
  <si>
    <t>0873400003923000345</t>
  </si>
  <si>
    <t>1970515020223000307</t>
  </si>
  <si>
    <t>https://zakupki.gov.ru/epz/order/notice/ea20/view/common-info.html?regNumber=0873400003923000345</t>
  </si>
  <si>
    <t>0873400003923000345_358372</t>
  </si>
  <si>
    <t>Глекапревир + Пибрентасвир, гранулы, покрытые оболочкой, 50 мг + 20 мг</t>
  </si>
  <si>
    <t>гранулы, покрытые оболочкой, для детей, 50 мг + 20 мг (саше) х 28 (пачка картонная)</t>
  </si>
  <si>
    <t>0873400003923000346</t>
  </si>
  <si>
    <t>1970515020223000315</t>
  </si>
  <si>
    <t>https://zakupki.gov.ru/epz/order/notice/ea20/view/common-info.html?regNumber=0873400003923000346</t>
  </si>
  <si>
    <t>0873400003923000346-0001</t>
  </si>
  <si>
    <t>[лиофилизат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</si>
  <si>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0873400003923000347</t>
  </si>
  <si>
    <t>1970515020223000314</t>
  </si>
  <si>
    <t>https://zakupki.gov.ru/epz/order/notice/ea20/view/common-info.html?regNumber=0873400003923000347</t>
  </si>
  <si>
    <t>0873400003923000347-0001 </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</si>
  <si>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</si>
  <si>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0873400003923000350</t>
  </si>
  <si>
    <t>https://zakupki.gov.ru/epz/order/notice/ea20/view/common-info.html?regNumber=0873400003923000350</t>
  </si>
  <si>
    <t>0873400003923000351</t>
  </si>
  <si>
    <t>1970515020223000328</t>
  </si>
  <si>
    <t>https://zakupki.gov.ru/epz/order/notice/ea20/view/common-info.html?regNumber=0873400003923000351</t>
  </si>
  <si>
    <t>0873400003923000351-0001</t>
  </si>
  <si>
    <t>1. Вилате;
2. Вилате.</t>
  </si>
  <si>
    <t>1.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</si>
  <si>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0873400003923000352</t>
  </si>
  <si>
    <t>1970515020223000327</t>
  </si>
  <si>
    <t>https://zakupki.gov.ru/epz/order/notice/ea20/view/common-info.html?regNumber=0873400003923000352</t>
  </si>
  <si>
    <t>0873400003923000352-0001</t>
  </si>
  <si>
    <t>ООО "РБ Трейд"</t>
  </si>
  <si>
    <t>0873400003923000353</t>
  </si>
  <si>
    <t>1970515020223000313</t>
  </si>
  <si>
    <t>https://zakupki.gov.ru/epz/order/notice/ea20/view/common-info.html?regNumber=0873400003923000353</t>
  </si>
  <si>
    <t xml:space="preserve">0873400003923000353-0001 </t>
  </si>
  <si>
    <t>0873400003923000354</t>
  </si>
  <si>
    <t>1970515020223000312</t>
  </si>
  <si>
    <t>https://zakupki.gov.ru/epz/order/notice/ea20/view/common-info.html?regNumber=0873400003923000354</t>
  </si>
  <si>
    <t>0873400003923000354-0001</t>
  </si>
  <si>
    <t>Тиоуреидоиминометилпиридиния перхлорат, таблетки покрытые пленочной оболочкой, 400 мг</t>
  </si>
  <si>
    <t>1. Перхлозон®;
2. Перхлозон®.</t>
  </si>
  <si>
    <t>1. таблетки, покрытые пленочной оболочкой, 200 мг (банка) 100 х 1 (пачка картонная);
2. таблетки, покрытые пленочной оболочкой, 400 мг (банка) 100 х 1 (пачка картонная).</t>
  </si>
  <si>
    <t>0873400003923000355</t>
  </si>
  <si>
    <t>1970515020223000309</t>
  </si>
  <si>
    <t>https://zakupki.gov.ru/epz/order/notice/ea20/view/common-info.html?regNumber=0873400003923000355</t>
  </si>
  <si>
    <t>0873400003923000355-0001</t>
  </si>
  <si>
    <t>Вилате;
Вилате.</t>
  </si>
  <si>
    <t>1.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</si>
  <si>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0873400003923000356</t>
  </si>
  <si>
    <t>1970515020223000331</t>
  </si>
  <si>
    <t>https://zakupki.gov.ru/epz/order/notice/ea20/view/common-info.html?regNumber=0873400003923000356</t>
  </si>
  <si>
    <t>0873400003923000356_358372</t>
  </si>
  <si>
    <t>1. Карбаглю;
2. Карглумовая кислота Вэймейд.</t>
  </si>
  <si>
    <t>1.таблетки диспергируемые, 200 мг (флакон)
60 х 1 (пачка картонная);
2. таблетки диспергируемые, 200 мг (флакон) 60 х 1 (пачка картонная).</t>
  </si>
  <si>
    <t>Франция, Индия</t>
  </si>
  <si>
    <t>0873400003923000357</t>
  </si>
  <si>
    <t>1970515020223000326</t>
  </si>
  <si>
    <t>https://zakupki.gov.ru/epz/order/notice/ea20/view/common-info.html?regNumber=0873400003923000357</t>
  </si>
  <si>
    <t>0873400003923000357-0001</t>
  </si>
  <si>
    <t>Тенофовир, таблетки, покрытые пленочной оболочкой, 300 мг и/или 245 мг</t>
  </si>
  <si>
    <t>1. Вирфотен; 
2.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</si>
  <si>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t>
  </si>
  <si>
    <t>0873400003923000358</t>
  </si>
  <si>
    <t>1970515020223000317</t>
  </si>
  <si>
    <t>https://zakupki.gov.ru/epz/order/notice/ea20/view/common-info.html?regNumber=0873400003923000358</t>
  </si>
  <si>
    <t>0873400003923000358-0001</t>
  </si>
  <si>
    <t>ООО "МЛК"</t>
  </si>
  <si>
    <t>1. Мофлокс® 400;
2. Моксифлоксацин;
3. Моксифлоксацин;
4. Моксифло.</t>
  </si>
  <si>
    <t>1. таблетки, покрытые пленочной оболочкой, 400 мг (контурная ячейковая упаковка (блистер) 5 х 1 (пачка картонная);
2. таблетки, покрытые пленочной оболочкой, 400 мг (блистер)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5 х 1 (пачка картонная).</t>
  </si>
  <si>
    <t>0873400003923000359</t>
  </si>
  <si>
    <t>https://zakupki.gov.ru/epz/order/notice/ea20/view/common-info.html?regNumber=0873400003923000359</t>
  </si>
  <si>
    <t>0873400003923000359-0001</t>
  </si>
  <si>
    <t>Интерферон бета-1а, лиофилизат для
приготовления раствора для
внутримышечного введения, 30 мкг</t>
  </si>
  <si>
    <t>0873400003923000360</t>
  </si>
  <si>
    <t>1970515020223000318</t>
  </si>
  <si>
    <t>https://zakupki.gov.ru/epz/order/notice/ea20/view/common-info.html?regNumber=0873400003923000360</t>
  </si>
  <si>
    <t>0873400003923000360-0001</t>
  </si>
  <si>
    <t>Даклатасвир, таблетки, покрытые пленочной оболочкой, 60 мг</t>
  </si>
  <si>
    <t>Даклавизар</t>
  </si>
  <si>
    <t>таблетки, покрытые пленочной оболочкой, 60 мг (контурная ячейковая упаковка) 14 х 2 (пачка картонная)</t>
  </si>
  <si>
    <t>0873400003923000361</t>
  </si>
  <si>
    <t>1970515020223000325</t>
  </si>
  <si>
    <t>https://zakupki.gov.ru/epz/order/notice/ea20/view/common-info.html?regNumber=0873400003923000361</t>
  </si>
  <si>
    <t>0873400003923000361-0001</t>
  </si>
  <si>
    <t>0873400003923000362</t>
  </si>
  <si>
    <t>1970515020223000310</t>
  </si>
  <si>
    <t>https://zakupki.gov.ru/epz/order/notice/ea20/view/common-info.html?regNumber=0873400003923000362</t>
  </si>
  <si>
    <t>0873400003923000362-0001</t>
  </si>
  <si>
    <t>раствор для ингаляций 2.5мг/2.5мл (ампула) 6 х 1 (пачка картонная)</t>
  </si>
  <si>
    <t>0873400003923000363</t>
  </si>
  <si>
    <t>1970515020223000324</t>
  </si>
  <si>
    <t>https://zakupki.gov.ru/epz/order/notice/ea20/view/common-info.html?regNumber=0873400003923000363</t>
  </si>
  <si>
    <t>0873400003923000363-0001</t>
  </si>
  <si>
    <t>ООО "Р-Фарм"</t>
  </si>
  <si>
    <t>0873400003923000364</t>
  </si>
  <si>
    <t>1970515020223000316</t>
  </si>
  <si>
    <t>https://zakupki.gov.ru/epz/order/notice/ea20/view/common-info.html?regNumber=0873400003923000364</t>
  </si>
  <si>
    <t>0873400003923000364_358372</t>
  </si>
  <si>
    <t>Эверолимус, таблетки диспергируемые, 5 мг,</t>
  </si>
  <si>
    <t>0873400003923000365</t>
  </si>
  <si>
    <t>1970515020223000330</t>
  </si>
  <si>
    <t>https://zakupki.gov.ru/epz/order/notice/ea20/view/common-info.html?regNumber=0873400003923000365</t>
  </si>
  <si>
    <t>0873400003923000365_358372</t>
  </si>
  <si>
    <t>Алглюкозидаза альфа, лиофилизат для
приготовления концентрата для
приготовления раствора для инфузий, 50 мг</t>
  </si>
  <si>
    <t>0873400003923000366</t>
  </si>
  <si>
    <t>1970515020223000329</t>
  </si>
  <si>
    <t>https://zakupki.gov.ru/epz/order/notice/ea20/view/common-info.html?regNumber=0873400003923000366</t>
  </si>
  <si>
    <t>0873400003923000366-0001</t>
  </si>
  <si>
    <t>0873400003923000367</t>
  </si>
  <si>
    <t>1970515020223000323</t>
  </si>
  <si>
    <t>https://zakupki.gov.ru/epz/order/notice/ea20/view/common-info.html?regNumber=0873400003923000367</t>
  </si>
  <si>
    <t>0873400003923000367-0001</t>
  </si>
  <si>
    <t>Идурсульфаза бета, концентрат для
приготовления раствора для инфузий, 2 мг/мл</t>
  </si>
  <si>
    <t>0873400003923000368</t>
  </si>
  <si>
    <t>1970515020223000322</t>
  </si>
  <si>
    <t>https://zakupki.gov.ru/epz/order/notice/ea20/view/common-info.html?regNumber=0873400003923000368</t>
  </si>
  <si>
    <t>0873400003923000368-0001</t>
  </si>
  <si>
    <t>Велаглюцераза альфа, лиофилизат для
приготовления раствора для инфузий, 400 ЕД</t>
  </si>
  <si>
    <t>ед</t>
  </si>
  <si>
    <t>0873400003923000369</t>
  </si>
  <si>
    <t>1970515020223000321</t>
  </si>
  <si>
    <t>https://zakupki.gov.ru/epz/order/notice/ea20/view/common-info.html?regNumber=0873400003923000369</t>
  </si>
  <si>
    <t>0873400003923000369-0001</t>
  </si>
  <si>
    <t>0873400003923000370</t>
  </si>
  <si>
    <t>https://zakupki.gov.ru/epz/order/notice/ea20/view/common-info.html?regNumber=0873400003923000370</t>
  </si>
  <si>
    <t>0873400003923000370-0001</t>
  </si>
  <si>
    <t>1. Помалидомид;
2. ПОМАЛИДОМИД-ТЛ;
3. Иматанго®;
4. Миелодест.</t>
  </si>
  <si>
    <t>1. капсулы, 4 мг (контурная ячейковая упаковка) 7 х 3 (пачка картонная);
2. капсулы, 4 мг (банка) 21 х 1 (пачка картонная);
3. капсулы, 4 мг (контурная ячейковая упаковка) 7 х 3 (пачка картонная);
4.  капсулы, 4 мг (банка) 21 х 1 (пачка картонная).</t>
  </si>
  <si>
    <t>0873400003923000371</t>
  </si>
  <si>
    <t>1970515020223000320</t>
  </si>
  <si>
    <t>https://zakupki.gov.ru/epz/order/notice/ea20/view/common-info.html?regNumber=0873400003923000371</t>
  </si>
  <si>
    <t>0873400003923000371-0001</t>
  </si>
  <si>
    <t>0873400003923000372</t>
  </si>
  <si>
    <t>1970515020223000319</t>
  </si>
  <si>
    <t>https://zakupki.gov.ru/epz/order/notice/ea20/view/common-info.html?regNumber=0873400003923000372</t>
  </si>
  <si>
    <t>0873400003923000372-0001</t>
  </si>
  <si>
    <t>1. Наглазим®;
2. Наглазим®;
3. Наглазим®;
4. Наглазим®;
5. 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</si>
  <si>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
4. концентрат для приготовления раствора для инфузий, 1 мг/мл (флакон) 5 мл х 1 (пачка картонная);
5. концентрат для приготовления раствора для инфузий, 1 мг/мл (флакон) 5 мл х 1 (пачка картонная).</t>
  </si>
  <si>
    <t>0873400003923000373</t>
  </si>
  <si>
    <t>https://zakupki.gov.ru/epz/order/notice/ea20/view/common-info.html?regNumber=0873400003923000373</t>
  </si>
  <si>
    <t>0873400003923000374</t>
  </si>
  <si>
    <t>https://zakupki.gov.ru/epz/order/notice/ea20/view/common-info.html?regNumber=0873400003923000374</t>
  </si>
  <si>
    <t>0873400003923000374-0001</t>
  </si>
  <si>
    <t>ООО "ФК Гранд Капитал"</t>
  </si>
  <si>
    <t>0873400003923000375</t>
  </si>
  <si>
    <t>https://zakupki.gov.ru/epz/order/notice/ea20/view/common-info.html?regNumber=0873400003923000375</t>
  </si>
  <si>
    <t>0873400003923000375-0001</t>
  </si>
  <si>
    <t>Октоког альфа</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</si>
  <si>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4.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</si>
  <si>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0873400003923000376</t>
  </si>
  <si>
    <t>https://zakupki.gov.ru/epz/order/notice/ea20/view/common-info.html?regNumber=0873400003923000376</t>
  </si>
  <si>
    <t>0873400003923000376-0001</t>
  </si>
  <si>
    <t>0873400003923000377</t>
  </si>
  <si>
    <t>https://zakupki.gov.ru/epz/order/notice/ea20/view/common-info.html?regNumber=0873400003923000377</t>
  </si>
  <si>
    <t>0873400003923000377-0001</t>
  </si>
  <si>
    <t>[раствор для подкожного введения, 44 мкг/0.5 мл (шприц) 0.5 мл х 3 + салфетка спиртовая х 3] х 1 (пачка картонная)</t>
  </si>
  <si>
    <t>0873400003923000378</t>
  </si>
  <si>
    <t>1970515020223000333</t>
  </si>
  <si>
    <t>https://zakupki.gov.ru/epz/order/notice/ea20/view/common-info.html?regNumber=0873400003923000378</t>
  </si>
  <si>
    <t>0873400003923000378-0001</t>
  </si>
  <si>
    <t>0873400003923000379</t>
  </si>
  <si>
    <t>https://zakupki.gov.ru/epz/order/notice/ea20/view/common-info.html?regNumber=0873400003923000379</t>
  </si>
  <si>
    <t>0873400003923000379-0001</t>
  </si>
  <si>
    <t>ООО "Эпидбиомед-Импэкс"</t>
  </si>
  <si>
    <t>0873400003923000380</t>
  </si>
  <si>
    <t>https://zakupki.gov.ru/epz/order/notice/ea20/view/common-info.html?regNumber=0873400003923000380</t>
  </si>
  <si>
    <t>0873400003923000380-0001</t>
  </si>
  <si>
    <t>Эмицизумаб, раствор для подкожного
введения, 150 мг/мл, 0,7 мл</t>
  </si>
  <si>
    <t>0873400003923000381</t>
  </si>
  <si>
    <t>https://zakupki.gov.ru/epz/order/notice/ea20/view/common-info.html?regNumber=0873400003923000381</t>
  </si>
  <si>
    <t>0873400003923000381-0001</t>
  </si>
  <si>
    <t>0873400003923000382</t>
  </si>
  <si>
    <t>https://zakupki.gov.ru/epz/order/notice/ea20/view/common-info.html?regNumber=0873400003923000382</t>
  </si>
  <si>
    <t>0873400003923000383</t>
  </si>
  <si>
    <t>https://zakupki.gov.ru/epz/order/notice/ea20/view/common-info.html?regNumber=0873400003923000383</t>
  </si>
  <si>
    <t>0873400003923000383-0001</t>
  </si>
  <si>
    <t>раствор для инфузий, 10 мг/мл (флакон) 200мг/20мл x 5 (коробка картонная)</t>
  </si>
  <si>
    <t>0873400003923000384</t>
  </si>
  <si>
    <t>https://zakupki.gov.ru/epz/order/notice/ea20/view/common-info.html?regNumber=0873400003923000384</t>
  </si>
  <si>
    <t>0873400003923000384-0001</t>
  </si>
  <si>
    <t>таблетки, покрытые пленочной оболочкой, 250 мг (контурная ячейковая упаковка) 10 х 1 (пачка картонная)</t>
  </si>
  <si>
    <t>0873400003923000385</t>
  </si>
  <si>
    <t>https://zakupki.gov.ru/epz/order/notice/ea20/view/common-info.html?regNumber=0873400003923000385</t>
  </si>
  <si>
    <t>Энтекавир, таблетки покрытые пленочной оболочкой, 1 мг</t>
  </si>
  <si>
    <t>0873400003923000386</t>
  </si>
  <si>
    <t>https://zakupki.gov.ru/epz/order/notice/ea20/view/common-info.html?regNumber=0873400003923000386</t>
  </si>
  <si>
    <t>0873400003923000386-0001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</si>
  <si>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</si>
  <si>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</si>
  <si>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г х 1 (пачка картонная).</t>
  </si>
  <si>
    <t>0873400003923000387</t>
  </si>
  <si>
    <t>https://zakupki.gov.ru/epz/order/notice/ea20/view/common-info.html?regNumber=0873400003923000387</t>
  </si>
  <si>
    <t>0873400003923000387_358372</t>
  </si>
  <si>
    <t>0873400003923000388</t>
  </si>
  <si>
    <t>https://zakupki.gov.ru/epz/order/notice/ea20/view/common-info.html?regNumber=0873400003923000388</t>
  </si>
  <si>
    <t>0873400003923000388_358372</t>
  </si>
  <si>
    <t>0873400003923000389</t>
  </si>
  <si>
    <t>https://zakupki.gov.ru/epz/order/notice/ea20/view/common-info.html?regNumber=0873400003923000389</t>
  </si>
  <si>
    <t>0873400003923000389_358372</t>
  </si>
  <si>
    <t>0873400003923000390</t>
  </si>
  <si>
    <t>https://zakupki.gov.ru/epz/order/notice/ea20/view/common-info.html?regNumber=0873400003923000390</t>
  </si>
  <si>
    <t>0873400003923000390_358372</t>
  </si>
  <si>
    <t>раствор для подкожного введения, 150 мг/мл (предварительно заполненный шприц) 2.0 мл х 1 
(пачка картонная)</t>
  </si>
  <si>
    <t>0873400003923000391</t>
  </si>
  <si>
    <t>https://zakupki.gov.ru/epz/order/notice/ea20/view/common-info.html?regNumber=0873400003923000391</t>
  </si>
  <si>
    <t>0873400003923000391_358372</t>
  </si>
  <si>
    <t>1. ТРАНСЛАРНА®;
2. ТРАНСЛАРНА®.
3. ТРАНСЛАРНА®;
4. ТРАНСЛАРНА®;
5. ТРАНСЛАРНА®.</t>
  </si>
  <si>
    <t>Алтайский край, Московская область</t>
  </si>
  <si>
    <t>0873400003923000392</t>
  </si>
  <si>
    <t>https://zakupki.gov.ru/epz/order/notice/ea20/view/common-info.html?regNumber=0873400003923000392</t>
  </si>
  <si>
    <t>0873400003923000392-0001</t>
  </si>
  <si>
    <t>Тоцилизумаб, концентрат для приготовления раствора для инфузий, 20 мг/мл, 10 мл или 20 мл</t>
  </si>
  <si>
    <t>концентрат для приготовления раствора для инфузий, 
20 мг/мл (флакон) 10 мл (200 мг/10 мл) х 1 
(пачка картонная)</t>
  </si>
  <si>
    <t>0873400003923000393</t>
  </si>
  <si>
    <t>https://zakupki.gov.ru/epz/order/notice/ea20/view/common-info.html?regNumber=0873400003923000393</t>
  </si>
  <si>
    <t>0873400003923000393_358372</t>
  </si>
  <si>
    <t>0873400003923000394</t>
  </si>
  <si>
    <t>https://zakupki.gov.ru/epz/order/notice/ea20/view/common-info.html?regNumber=0873400003923000394</t>
  </si>
  <si>
    <t>0873400003923000394-0001</t>
  </si>
  <si>
    <t>Антиингибиторный коагулянтный комплекс, лиофилизат для приготовления раствора для
инфузий, 1000 ЕД</t>
  </si>
  <si>
    <t>0873400003923000395</t>
  </si>
  <si>
    <t>https://zakupki.gov.ru/epz/order/notice/ea20/view/common-info.html?regNumber=0873400003923000395</t>
  </si>
  <si>
    <t>0873400003923000395-0001</t>
  </si>
  <si>
    <t>0873400003923000396</t>
  </si>
  <si>
    <t>https://zakupki.gov.ru/epz/order/notice/ea20/view/common-info.html?regNumber=0873400003923000396</t>
  </si>
  <si>
    <t>0873400003923000396-0001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</si>
  <si>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</si>
  <si>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Амикацин</t>
  </si>
  <si>
    <t>порошок для приготовления раствора для внутривенного и внутримышечного введения, 1000 мг (флакон) х 50 (коробка картонная) (для стационаров)</t>
  </si>
  <si>
    <t>0873400003923000397</t>
  </si>
  <si>
    <t>https://zakupki.gov.ru/epz/order/notice/ea20/view/common-info.html?regNumber=0873400003923000397</t>
  </si>
  <si>
    <t>0873400003923000397-0001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</si>
  <si>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</si>
  <si>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порошок для приготовления раствора для внутривенного и внутримышечного введения 500 мг (флакон) х 50 (коробка картонная) (для стационаров)</t>
  </si>
  <si>
    <t>0873400003923000398</t>
  </si>
  <si>
    <t>https://zakupki.gov.ru/epz/order/notice/ea20/view/common-info.html?regNumber=0873400003923000398</t>
  </si>
  <si>
    <t>0873400003923000399</t>
  </si>
  <si>
    <t>https://zakupki.gov.ru/epz/order/notice/ea20/view/common-info.html?regNumber=0873400003923000399</t>
  </si>
  <si>
    <t>0873400003923000399_358372</t>
  </si>
  <si>
    <t>1.гранулы, 125 мг+100 мг (саше) 331.1 мг х 56 (пачка картонная);
2.гранулы, 125 мг+100 мг (саше) 331.1 мг х 56 (пачка картонная).</t>
  </si>
  <si>
    <t>Московская область, Краснодарский край. Калужская область, Саратовская область, Республика Крым, г. Москва</t>
  </si>
  <si>
    <t>0873400003923000400</t>
  </si>
  <si>
    <t>https://zakupki.gov.ru/epz/order/notice/ea20/view/common-info.html?regNumber=0873400003923000400</t>
  </si>
  <si>
    <t>0873400003923000400_358372</t>
  </si>
  <si>
    <t>Эверолимус, таблетки диспергируемые, 2 мг,</t>
  </si>
  <si>
    <t>Владимирская область, Вологодская область, Оренбургская область, Республика Татарстан, Свердловская область, Ставропольский край, Удмуртская Республика</t>
  </si>
  <si>
    <t>0873400003923000401</t>
  </si>
  <si>
    <t>https://zakupki.gov.ru/epz/order/notice/ea20/view/common-info.html?regNumber=0873400003923000401</t>
  </si>
  <si>
    <t>0873400003923000402</t>
  </si>
  <si>
    <t>https://zakupki.gov.ru/epz/order/notice/ea20/view/common-info.html?regNumber=0873400003923000402</t>
  </si>
  <si>
    <t>0873400003923000402_358372</t>
  </si>
  <si>
    <t>Иркутская область, Московская область, Нижегородская область, ЯНАО, Рекспублика Адыгея</t>
  </si>
  <si>
    <t>0873400003923000403</t>
  </si>
  <si>
    <t>https://zakupki.gov.ru/epz/order/notice/ea20/view/common-info.html?regNumber=0873400003923000403</t>
  </si>
  <si>
    <t>Адалимумаб, раствор для подкожного
введения, 40 мг/ 0,8 мл</t>
  </si>
  <si>
    <t>0873400003923000405</t>
  </si>
  <si>
    <t>https://zakupki.gov.ru/epz/order/notice/ea20/view/common-info.html?regNumber=0873400003923000405</t>
  </si>
  <si>
    <t>0873400003923000405-0001</t>
  </si>
  <si>
    <t>Тенофовир + Элсульфавирин + Эмтрицитабин, таблетки, покрытые пленочной оболочкой,245 мг + 20 мг + 200 мг</t>
  </si>
  <si>
    <t>таблетки, покрытые пленочной оболочкой, 245 мг + 20 мг + 200 мг (флакон) 30 х 1 (пачка картонная)</t>
  </si>
  <si>
    <t>0873400003923000406</t>
  </si>
  <si>
    <t>https://zakupki.gov.ru/epz/order/notice/ea20/view/common-info.html?regNumber=0873400003923000406</t>
  </si>
  <si>
    <t>0873400003923000406-0001</t>
  </si>
  <si>
    <t>Эверолимус, таблетки и/или таблетки
диспергируемые, 0,5 мг</t>
  </si>
  <si>
    <t>0873400003923000407</t>
  </si>
  <si>
    <t>https://zakupki.gov.ru/epz/order/notice/ea20/view/common-info.html?regNumber=0873400003923000407</t>
  </si>
  <si>
    <t>0873400003923000407_358372</t>
  </si>
  <si>
    <t>Волгоградская область</t>
  </si>
  <si>
    <t>0873400003923000408</t>
  </si>
  <si>
    <t>https://zakupki.gov.ru/epz/order/notice/ea20/view/common-info.html?regNumber=0873400003923000408</t>
  </si>
  <si>
    <t>0873400003923000408-0001</t>
  </si>
  <si>
    <t>Инфибета®</t>
  </si>
  <si>
    <t>[лиофилизат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t>
  </si>
  <si>
    <t>0873400003923000409</t>
  </si>
  <si>
    <t>https://zakupki.gov.ru/epz/order/notice/ea20/view/common-info.html?regNumber=0873400003923000409</t>
  </si>
  <si>
    <t>0873400003923000409-0001</t>
  </si>
  <si>
    <t>1. Ралтегра;
2. РОЛНАВИР®;
3.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</si>
  <si>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(контурная ячейковая упаковка) 10 х 6 (пачка картонная);
3. таблетки, покрытые пленочной оболочкой, 400 мг (блистер) 10 х 6 (пачка картонная).</t>
  </si>
  <si>
    <t>0873400003923000410</t>
  </si>
  <si>
    <t>https://zakupki.gov.ru/epz/order/notice/ea20/view/common-info.html?regNumber=0873400003923000410</t>
  </si>
  <si>
    <t>0873400003923000410-0001</t>
  </si>
  <si>
    <t>Левофлоксацин-АКОС</t>
  </si>
  <si>
    <t>раствор для инфузий 5 мг/мл (флакон) 100 мл х 1 (пачка картонная)</t>
  </si>
  <si>
    <t>0873400003923000411</t>
  </si>
  <si>
    <t>https://zakupki.gov.ru/epz/order/notice/ea20/view/common-info.html?regNumber=0873400003923000411</t>
  </si>
  <si>
    <t>0873400003923000411_358372</t>
  </si>
  <si>
    <t>Белгородская область, Чувашская Республка</t>
  </si>
  <si>
    <t>0873400003923000412</t>
  </si>
  <si>
    <t>https://zakupki.gov.ru/epz/order/notice/ea20/view/common-info.html?regNumber=0873400003923000412</t>
  </si>
  <si>
    <t>0873400003923000412_358372</t>
  </si>
  <si>
    <t>Забайкальский край, Иркутская область, Кузбасс, Липецкая область, Московская область, Приморский край, Республика Башкортостан, Республика Северная Осетия, Ставропольский край, Тюменская область, Челябинская область, Чувашская Республика, г. Санкт-Петербург</t>
  </si>
  <si>
    <t>0873400003923000413</t>
  </si>
  <si>
    <t>https://zakupki.gov.ru/epz/order/notice/ea20/view/common-info.html?regNumber=0873400003923000413</t>
  </si>
  <si>
    <t>0873400003923000413_358372</t>
  </si>
  <si>
    <t>Карачаево-Черкесская Республика, Приморский край</t>
  </si>
  <si>
    <t>0873400003923000414</t>
  </si>
  <si>
    <t>https://zakupki.gov.ru/epz/order/notice/ea20/view/common-info.html?regNumber=0873400003923000414</t>
  </si>
  <si>
    <t>0873400003923000414_358372</t>
  </si>
  <si>
    <t>Карачаево-Черкесская Республика, Курганская область, Приморский край</t>
  </si>
  <si>
    <t>0873400003923000415</t>
  </si>
  <si>
    <t>https://zakupki.gov.ru/epz/order/notice/ea20/view/common-info.html?regNumber=0873400003923000415</t>
  </si>
  <si>
    <t>0873400003923000416</t>
  </si>
  <si>
    <t>https://zakupki.gov.ru/epz/order/notice/ea20/view/common-info.html?regNumber=0873400003923000416</t>
  </si>
  <si>
    <t>0873400003923000417</t>
  </si>
  <si>
    <t>https://zakupki.gov.ru/epz/order/notice/ea20/view/common-info.html?regNumber=0873400003923000417</t>
  </si>
  <si>
    <t>0873400003923000417_358372</t>
  </si>
  <si>
    <t>Соединенное королевство</t>
  </si>
  <si>
    <t>Иркутская область, Краснодарский край, Ленинградская область, Московская область, Нижегородская область, Республика Татарстан, Удмуртская республика</t>
  </si>
  <si>
    <t>0873400003923000418</t>
  </si>
  <si>
    <t>https://zakupki.gov.ru/epz/order/notice/ea20/view/common-info.html?regNumber=0873400003923000418</t>
  </si>
  <si>
    <t>0873400003923000418-0001</t>
  </si>
  <si>
    <t>1.Абакавир;
2.Абакавир.</t>
  </si>
  <si>
    <t>1. [раствор для приема внутрь, 20 мг/мл (флакон) 240 мл х 1+ шприц-дозирующий) х 1] х 1 (пачка картонная);
2. [раствор для приема внутрь, 20 мг/мл (флакон) 240 мл х 1+ шприц-дозирующий) х 1] х 1 (пачка картонная).</t>
  </si>
  <si>
    <t>0873400003923000419</t>
  </si>
  <si>
    <t>https://zakupki.gov.ru/epz/order/notice/ea20/view/common-info.html?regNumber=0873400003923000419</t>
  </si>
  <si>
    <t>0873400003923000419-0001</t>
  </si>
  <si>
    <t>[раствор для приема внутрь, 10 мг/мл (флакон) 240 мл х 1+шприц-дозатор х 1] х 1 (пачка картонная)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</si>
</sst>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0"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90">
    <xf numFmtId="0" fontId="0" fillId="0" borderId="0" xfId="0"/>
    <xf numFmtId="0" fontId="3" fillId="0" borderId="9" xfId="1" applyFill="1" applyBorder="1" applyAlignment="1">
      <alignment horizontal="center" vertical="center" wrapText="1"/>
    </xf>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left" vertical="center"/>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0" fontId="1" fillId="0" borderId="0" xfId="0" applyFont="1" applyFill="1" applyAlignment="1">
      <alignment horizontal="center" vertical="center"/>
    </xf>
    <xf numFmtId="1"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textRotation="90" wrapText="1"/>
    </xf>
    <xf numFmtId="49" fontId="2" fillId="0" borderId="8" xfId="0" applyNumberFormat="1" applyFont="1" applyFill="1" applyBorder="1" applyAlignment="1">
      <alignment vertical="center" wrapText="1"/>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ill="1"/>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4"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center" vertical="center"/>
    </xf>
    <xf numFmtId="4" fontId="1"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locked="0"/>
    </xf>
    <xf numFmtId="14"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3" fontId="1" fillId="0" borderId="9" xfId="0" applyNumberFormat="1" applyFont="1" applyFill="1" applyBorder="1" applyAlignment="1">
      <alignment horizontal="center" vertical="center" wrapText="1"/>
    </xf>
    <xf numFmtId="1" fontId="1"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 fontId="1" fillId="0" borderId="9" xfId="0" applyNumberFormat="1" applyFont="1" applyFill="1" applyBorder="1" applyAlignment="1">
      <alignment horizontal="center" vertical="center" wrapText="1"/>
    </xf>
    <xf numFmtId="14" fontId="1" fillId="0" borderId="9" xfId="0" applyNumberFormat="1" applyFont="1" applyFill="1" applyBorder="1" applyAlignment="1" applyProtection="1">
      <alignment horizontal="center" vertical="center" wrapText="1"/>
      <protection locked="0"/>
    </xf>
    <xf numFmtId="3" fontId="1" fillId="0" borderId="9" xfId="0" applyNumberFormat="1" applyFont="1" applyFill="1" applyBorder="1" applyAlignment="1" applyProtection="1">
      <alignment horizontal="center" vertical="center"/>
      <protection locked="0"/>
    </xf>
    <xf numFmtId="49" fontId="4" fillId="0" borderId="9" xfId="1" applyNumberFormat="1" applyFont="1" applyFill="1" applyBorder="1" applyAlignment="1">
      <alignment horizontal="center" vertical="center" wrapText="1"/>
    </xf>
    <xf numFmtId="49" fontId="3" fillId="0" borderId="9" xfId="1" applyNumberFormat="1" applyFill="1" applyBorder="1" applyAlignment="1">
      <alignment horizontal="center" vertical="center" wrapText="1"/>
    </xf>
    <xf numFmtId="4" fontId="1" fillId="0" borderId="0" xfId="0" applyNumberFormat="1" applyFont="1" applyFill="1" applyAlignment="1">
      <alignment horizontal="center" vertical="center"/>
    </xf>
    <xf numFmtId="4" fontId="1"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xf>
    <xf numFmtId="166" fontId="1"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4" fontId="1" fillId="0" borderId="7"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4" fontId="7"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 fontId="2"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6" fontId="1" fillId="0" borderId="9" xfId="0" applyNumberFormat="1" applyFont="1" applyFill="1" applyBorder="1" applyAlignment="1">
      <alignment horizontal="center" vertical="center" wrapText="1"/>
    </xf>
    <xf numFmtId="4" fontId="2" fillId="0" borderId="0" xfId="0" applyNumberFormat="1" applyFont="1" applyFill="1" applyAlignment="1">
      <alignment horizontal="center" vertical="center" wrapText="1"/>
    </xf>
    <xf numFmtId="165" fontId="1" fillId="0" borderId="9" xfId="0" applyNumberFormat="1"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0" fontId="1" fillId="0" borderId="0" xfId="0" applyFont="1" applyFill="1" applyAlignment="1">
      <alignment horizontal="center" wrapText="1"/>
    </xf>
    <xf numFmtId="49"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54;&#1090;&#1076;&#1077;&#1083;%20&#1088;&#1072;&#1079;&#1084;&#1077;&#1097;&#1077;&#1085;&#1080;&#1103;%20&#1080;%20&#1079;&#1072;&#1082;&#1083;&#1102;&#1095;&#1077;&#1085;&#1080;&#1103;\&#1043;&#1050;%202022%20&#1060;&#1050;&#1059;\&#1055;&#1091;&#1073;&#1083;&#1080;&#1082;&#1072;&#1094;&#1080;&#1103;%20&#1043;&#1050;%20&#1074;%202022%20&#1075;&#1086;&#1076;&#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БО"/>
      <sheetName val="2022 года на ФКУ"/>
      <sheetName val="переходящие на 2022 года"/>
      <sheetName val="2022 год"/>
      <sheetName val="2022 (мед изд)"/>
      <sheetName val="Расторжение ЛП"/>
    </sheetNames>
    <sheetDataSet>
      <sheetData sheetId="0"/>
      <sheetData sheetId="1"/>
      <sheetData sheetId="2"/>
      <sheetData sheetId="3"/>
      <sheetData sheetId="4"/>
      <sheetData sheetId="5">
        <row r="51">
          <cell r="X51">
            <v>3099957587.3999996</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324" Type="http://schemas.openxmlformats.org/officeDocument/2006/relationships/hyperlink" Target="https://zakupki.gov.ru/epz/order/notice/ea20/view/common-info.html?regNumber=0873400003923000146" TargetMode="External"/><Relationship Id="rId531" Type="http://schemas.openxmlformats.org/officeDocument/2006/relationships/hyperlink" Target="https://zakupki.gov.ru/epz/order/notice/ea20/view/common-info.html?regNumber=0873400003923000383" TargetMode="External"/><Relationship Id="rId170" Type="http://schemas.openxmlformats.org/officeDocument/2006/relationships/hyperlink" Target="https://zakupki.gov.ru/epz/contract/contractCard/common-info.html?reestrNumber=1970515020221000187" TargetMode="External"/><Relationship Id="rId268" Type="http://schemas.openxmlformats.org/officeDocument/2006/relationships/hyperlink" Target="https://zakupki.gov.ru/epz/order/notice/ea20/view/common-info.html?regNumber=0873400003923000100" TargetMode="External"/><Relationship Id="rId475" Type="http://schemas.openxmlformats.org/officeDocument/2006/relationships/hyperlink" Target="https://zakupki.gov.ru/epz/order/notice/ea20/view/common-info.html?regNumber=0873400003923000324" TargetMode="External"/><Relationship Id="rId32" Type="http://schemas.openxmlformats.org/officeDocument/2006/relationships/hyperlink" Target="https://zakupki.gov.ru/epz/order/notice/ea20/view/common-info.html?regNumber=0873400003922000551"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42" Type="http://schemas.openxmlformats.org/officeDocument/2006/relationships/hyperlink" Target="https://zakupki.gov.ru/epz/order/notice/ea20/view/common-info.html?regNumber=0873400003923000394" TargetMode="External"/><Relationship Id="rId181" Type="http://schemas.openxmlformats.org/officeDocument/2006/relationships/hyperlink" Target="https://zakupki.gov.ru/epz/order/notice/ea44/view/common-info.html?regNumber=0873400003921000351"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86" Type="http://schemas.openxmlformats.org/officeDocument/2006/relationships/hyperlink" Target="https://zakupki.gov.ru/epz/order/notice/ea20/view/common-info.html?regNumber=0873400003923000335"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346" Type="http://schemas.openxmlformats.org/officeDocument/2006/relationships/hyperlink" Target="https://zakupki.gov.ru/epz/order/notice/ea20/view/common-info.html?regNumber=0873400003923000172" TargetMode="External"/><Relationship Id="rId553" Type="http://schemas.openxmlformats.org/officeDocument/2006/relationships/hyperlink" Target="https://zakupki.gov.ru/epz/order/notice/ea20/view/common-info.html?regNumber=0873400003923000406"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497" Type="http://schemas.openxmlformats.org/officeDocument/2006/relationships/hyperlink" Target="https://zakupki.gov.ru/epz/order/notice/ea20/view/common-info.html?regNumber=0873400003923000347"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217" Type="http://schemas.openxmlformats.org/officeDocument/2006/relationships/hyperlink" Target="https://zakupki.gov.ru/epz/order/notice/ea20/view/common-info.html?regNumber=0873400003923000029" TargetMode="External"/><Relationship Id="rId564" Type="http://schemas.openxmlformats.org/officeDocument/2006/relationships/hyperlink" Target="https://zakupki.gov.ru/epz/order/notice/ea20/view/common-info.html?regNumber=0873400003923000417" TargetMode="External"/><Relationship Id="rId424" Type="http://schemas.openxmlformats.org/officeDocument/2006/relationships/hyperlink" Target="https://zakupki.gov.ru/epz/order/notice/ea20/view/common-info.html?regNumber=0873400003923000257" TargetMode="External"/><Relationship Id="rId270" Type="http://schemas.openxmlformats.org/officeDocument/2006/relationships/hyperlink" Target="https://zakupki.gov.ru/epz/order/notice/ea20/view/common-info.html?regNumber=0873400003923000102"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477" Type="http://schemas.openxmlformats.org/officeDocument/2006/relationships/hyperlink" Target="https://zakupki.gov.ru/epz/order/notice/ea20/view/common-info.html?regNumber=0873400003923000326"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502" Type="http://schemas.openxmlformats.org/officeDocument/2006/relationships/hyperlink" Target="https://zakupki.gov.ru/epz/order/notice/ea20/view/common-info.html?regNumber=0873400003923000354"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544" Type="http://schemas.openxmlformats.org/officeDocument/2006/relationships/hyperlink" Target="https://zakupki.gov.ru/epz/order/notice/ea20/view/common-info.html?regNumber=0873400003923000396"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446" Type="http://schemas.openxmlformats.org/officeDocument/2006/relationships/hyperlink" Target="https://zakupki.gov.ru/epz/order/notice/ea20/view/common-info.html?regNumber=0873400003923000283"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88" Type="http://schemas.openxmlformats.org/officeDocument/2006/relationships/hyperlink" Target="https://zakupki.gov.ru/epz/order/notice/ea20/view/common-info.html?regNumber=0873400003923000337"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513" Type="http://schemas.openxmlformats.org/officeDocument/2006/relationships/hyperlink" Target="https://zakupki.gov.ru/epz/order/notice/ea20/view/common-info.html?regNumber=0873400003923000365" TargetMode="External"/><Relationship Id="rId555" Type="http://schemas.openxmlformats.org/officeDocument/2006/relationships/hyperlink" Target="https://zakupki.gov.ru/epz/order/notice/ea20/view/common-info.html?regNumber=0873400003923000408" TargetMode="External"/><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457" Type="http://schemas.openxmlformats.org/officeDocument/2006/relationships/hyperlink" Target="https://zakupki.gov.ru/epz/order/notice/ea20/view/common-info.html?regNumber=0873400003923000303" TargetMode="External"/><Relationship Id="rId261" Type="http://schemas.openxmlformats.org/officeDocument/2006/relationships/hyperlink" Target="https://zakupki.gov.ru/epz/order/notice/ea20/view/common-info.html?regNumber=0873400003923000093" TargetMode="External"/><Relationship Id="rId499" Type="http://schemas.openxmlformats.org/officeDocument/2006/relationships/hyperlink" Target="https://zakupki.gov.ru/epz/order/notice/ea20/view/common-info.html?regNumber=0873400003923000351" TargetMode="External"/><Relationship Id="rId14" Type="http://schemas.openxmlformats.org/officeDocument/2006/relationships/hyperlink" Target="https://zakupki.gov.ru/epz/order/notice/ea20/view/common-info.html?regNumber=0873400003922000417" TargetMode="External"/><Relationship Id="rId56" Type="http://schemas.openxmlformats.org/officeDocument/2006/relationships/hyperlink" Target="https://zakupki.gov.ru/epz/order/notice/ea20/view/common-info.html?regNumber=0873400003922000576" TargetMode="External"/><Relationship Id="rId317" Type="http://schemas.openxmlformats.org/officeDocument/2006/relationships/hyperlink" Target="https://zakupki.gov.ru/epz/order/notice/ea20/view/common-info.html?regNumber=0873400003923000134" TargetMode="External"/><Relationship Id="rId359" Type="http://schemas.openxmlformats.org/officeDocument/2006/relationships/hyperlink" Target="https://zakupki.gov.ru/epz/order/notice/ea20/view/common-info.html?regNumber=0873400003923000185" TargetMode="External"/><Relationship Id="rId524" Type="http://schemas.openxmlformats.org/officeDocument/2006/relationships/hyperlink" Target="https://zakupki.gov.ru/epz/order/notice/ea20/view/common-info.html?regNumber=0873400003923000376" TargetMode="External"/><Relationship Id="rId566" Type="http://schemas.openxmlformats.org/officeDocument/2006/relationships/hyperlink" Target="https://zakupki.gov.ru/epz/order/notice/ea20/view/common-info.html?regNumber=0873400003923000419"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63" Type="http://schemas.openxmlformats.org/officeDocument/2006/relationships/hyperlink" Target="https://zakupki.gov.ru/epz/order/notice/ea20/view/common-info.html?regNumber=0873400003922000292" TargetMode="External"/><Relationship Id="rId219" Type="http://schemas.openxmlformats.org/officeDocument/2006/relationships/hyperlink" Target="https://zakupki.gov.ru/epz/order/notice/ea20/view/common-info.html?regNumber=0873400003923000031" TargetMode="External"/><Relationship Id="rId370" Type="http://schemas.openxmlformats.org/officeDocument/2006/relationships/hyperlink" Target="https://zakupki.gov.ru/epz/order/notice/ea20/view/common-info.html?regNumber=0873400003923000203" TargetMode="External"/><Relationship Id="rId426" Type="http://schemas.openxmlformats.org/officeDocument/2006/relationships/hyperlink" Target="https://zakupki.gov.ru/epz/order/notice/ea20/view/common-info.html?regNumber=0873400003923000259" TargetMode="External"/><Relationship Id="rId230" Type="http://schemas.openxmlformats.org/officeDocument/2006/relationships/hyperlink" Target="https://zakupki.gov.ru/epz/order/notice/ea20/view/common-info.html?regNumber=0873400003923000044" TargetMode="External"/><Relationship Id="rId468" Type="http://schemas.openxmlformats.org/officeDocument/2006/relationships/hyperlink" Target="https://zakupki.gov.ru/epz/order/notice/ea20/view/common-info.html?regNumber=0873400003923000316" TargetMode="External"/><Relationship Id="rId25" Type="http://schemas.openxmlformats.org/officeDocument/2006/relationships/hyperlink" Target="https://zakupki.gov.ru/epz/order/notice/ea20/view/common-info.html?regNumber=0873400003922000544"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328" Type="http://schemas.openxmlformats.org/officeDocument/2006/relationships/hyperlink" Target="https://zakupki.gov.ru/epz/order/notice/ea20/view/common-info.html?regNumber=0873400003923000152" TargetMode="External"/><Relationship Id="rId535" Type="http://schemas.openxmlformats.org/officeDocument/2006/relationships/hyperlink" Target="https://zakupki.gov.ru/epz/order/notice/ea20/view/common-info.html?regNumber=0873400003923000387" TargetMode="External"/><Relationship Id="rId132" Type="http://schemas.openxmlformats.org/officeDocument/2006/relationships/hyperlink" Target="https://zakupki.gov.ru/epz/order/notice/ea20/view/common-info.html?regNumber=0873400003922000651"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241" Type="http://schemas.openxmlformats.org/officeDocument/2006/relationships/hyperlink" Target="https://zakupki.gov.ru/epz/order/notice/ea20/view/common-info.html?regNumber=0873400003923000057" TargetMode="External"/><Relationship Id="rId437" Type="http://schemas.openxmlformats.org/officeDocument/2006/relationships/hyperlink" Target="https://zakupki.gov.ru/epz/order/notice/ea20/view/common-info.html?regNumber=0873400003923000272" TargetMode="External"/><Relationship Id="rId479" Type="http://schemas.openxmlformats.org/officeDocument/2006/relationships/hyperlink" Target="https://zakupki.gov.ru/epz/order/notice/ea20/view/common-info.html?regNumber=0873400003923000328" TargetMode="External"/><Relationship Id="rId36" Type="http://schemas.openxmlformats.org/officeDocument/2006/relationships/hyperlink" Target="https://zakupki.gov.ru/epz/order/notice/ea20/view/common-info.html?regNumber=0873400003922000555" TargetMode="External"/><Relationship Id="rId283" Type="http://schemas.openxmlformats.org/officeDocument/2006/relationships/hyperlink" Target="https://zakupki.gov.ru/epz/order/notice/ea20/view/common-info.html?regNumber=0873400003923000115" TargetMode="External"/><Relationship Id="rId339" Type="http://schemas.openxmlformats.org/officeDocument/2006/relationships/hyperlink" Target="https://zakupki.gov.ru/epz/order/notice/ea20/view/common-info.html?regNumber=0873400003923000165" TargetMode="External"/><Relationship Id="rId490" Type="http://schemas.openxmlformats.org/officeDocument/2006/relationships/hyperlink" Target="https://zakupki.gov.ru/epz/order/notice/ea20/view/common-info.html?regNumber=0873400003923000339" TargetMode="External"/><Relationship Id="rId504" Type="http://schemas.openxmlformats.org/officeDocument/2006/relationships/hyperlink" Target="https://zakupki.gov.ru/epz/order/notice/ea20/view/common-info.html?regNumber=0873400003923000356" TargetMode="External"/><Relationship Id="rId546" Type="http://schemas.openxmlformats.org/officeDocument/2006/relationships/hyperlink" Target="https://zakupki.gov.ru/epz/order/notice/ea20/view/common-info.html?regNumber=0873400003923000398" TargetMode="External"/><Relationship Id="rId78" Type="http://schemas.openxmlformats.org/officeDocument/2006/relationships/hyperlink" Target="https://zakupki.gov.ru/epz/order/notice/ea20/view/common-info.html?regNumber=0873400003922000624" TargetMode="External"/><Relationship Id="rId101" Type="http://schemas.openxmlformats.org/officeDocument/2006/relationships/hyperlink" Target="https://zakupki.gov.ru/epz/order/notice/ea20/view/common-info.html?regNumber=0873400003922000608" TargetMode="External"/><Relationship Id="rId143" Type="http://schemas.openxmlformats.org/officeDocument/2006/relationships/hyperlink" Target="https://zakupki.gov.ru/epz/order/notice/ea20/view/common-info.html?regNumber=0873400003922000662" TargetMode="External"/><Relationship Id="rId185" Type="http://schemas.openxmlformats.org/officeDocument/2006/relationships/hyperlink" Target="https://zakupki.gov.ru/epz/order/notice/ea44/view/common-info.html?regNumber=0873400003921000363" TargetMode="External"/><Relationship Id="rId350" Type="http://schemas.openxmlformats.org/officeDocument/2006/relationships/hyperlink" Target="https://zakupki.gov.ru/epz/order/notice/ea20/view/common-info.html?regNumber=0873400003923000176" TargetMode="External"/><Relationship Id="rId406" Type="http://schemas.openxmlformats.org/officeDocument/2006/relationships/hyperlink" Target="https://zakupki.gov.ru/epz/order/notice/ea20/view/common-info.html?regNumber=087340000392300023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515" Type="http://schemas.openxmlformats.org/officeDocument/2006/relationships/hyperlink" Target="https://zakupki.gov.ru/epz/order/notice/ea20/view/common-info.html?regNumber=0873400003923000367"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557" Type="http://schemas.openxmlformats.org/officeDocument/2006/relationships/hyperlink" Target="https://zakupki.gov.ru/epz/order/notice/ea20/view/common-info.html?regNumber=0873400003923000410"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459" Type="http://schemas.openxmlformats.org/officeDocument/2006/relationships/hyperlink" Target="https://zakupki.gov.ru/epz/order/notice/ea20/view/common-info.html?regNumber=08734000039230003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470" Type="http://schemas.openxmlformats.org/officeDocument/2006/relationships/hyperlink" Target="https://zakupki.gov.ru/epz/order/notice/ea20/view/common-info.html?regNumber=0873400003923000318" TargetMode="External"/><Relationship Id="rId526" Type="http://schemas.openxmlformats.org/officeDocument/2006/relationships/hyperlink" Target="https://zakupki.gov.ru/epz/order/notice/ea20/view/common-info.html?regNumber=0873400003923000378"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568" Type="http://schemas.openxmlformats.org/officeDocument/2006/relationships/printerSettings" Target="../printerSettings/printerSettings1.bin"/><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481" Type="http://schemas.openxmlformats.org/officeDocument/2006/relationships/hyperlink" Target="https://zakupki.gov.ru/epz/order/notice/ea20/view/common-info.html?regNumber=0873400003923000330"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537" Type="http://schemas.openxmlformats.org/officeDocument/2006/relationships/hyperlink" Target="https://zakupki.gov.ru/epz/order/notice/ea20/view/common-info.html?regNumber=0873400003923000389"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450" Type="http://schemas.openxmlformats.org/officeDocument/2006/relationships/hyperlink" Target="https://zakupki.gov.ru/epz/order/notice/ea20/view/common-info.html?regNumber=0873400003923000302" TargetMode="External"/><Relationship Id="rId506" Type="http://schemas.openxmlformats.org/officeDocument/2006/relationships/hyperlink" Target="https://zakupki.gov.ru/epz/order/notice/ea20/view/common-info.html?regNumber=0873400003923000358"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492" Type="http://schemas.openxmlformats.org/officeDocument/2006/relationships/hyperlink" Target="https://zakupki.gov.ru/epz/order/notice/ea20/view/common-info.html?regNumber=0873400003923000342" TargetMode="External"/><Relationship Id="rId548" Type="http://schemas.openxmlformats.org/officeDocument/2006/relationships/hyperlink" Target="https://zakupki.gov.ru/epz/order/notice/ea20/view/common-info.html?regNumber=0873400003923000400"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461" Type="http://schemas.openxmlformats.org/officeDocument/2006/relationships/hyperlink" Target="https://zakupki.gov.ru/epz/order/notice/ea20/view/common-info.html?regNumber=0873400003923000309" TargetMode="External"/><Relationship Id="rId517" Type="http://schemas.openxmlformats.org/officeDocument/2006/relationships/hyperlink" Target="https://zakupki.gov.ru/epz/order/notice/ea20/view/common-info.html?regNumber=0873400003923000369" TargetMode="External"/><Relationship Id="rId559" Type="http://schemas.openxmlformats.org/officeDocument/2006/relationships/hyperlink" Target="https://zakupki.gov.ru/epz/order/notice/ea20/view/common-info.html?regNumber=0873400003923000412"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472" Type="http://schemas.openxmlformats.org/officeDocument/2006/relationships/hyperlink" Target="https://zakupki.gov.ru/epz/order/notice/ea20/view/common-info.html?regNumber=0873400003923000320" TargetMode="External"/><Relationship Id="rId528" Type="http://schemas.openxmlformats.org/officeDocument/2006/relationships/hyperlink" Target="https://zakupki.gov.ru/epz/order/notice/ea20/view/common-info.html?regNumber=0873400003923000380"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51" TargetMode="External"/><Relationship Id="rId332" Type="http://schemas.openxmlformats.org/officeDocument/2006/relationships/hyperlink" Target="https://zakupki.gov.ru/epz/order/notice/ea20/view/common-info.html?regNumber=0873400003923000158" TargetMode="External"/><Relationship Id="rId374" Type="http://schemas.openxmlformats.org/officeDocument/2006/relationships/hyperlink" Target="https://zakupki.gov.ru/epz/order/notice/ea20/view/common-info.html?regNumber=0873400003923000197"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08" TargetMode="External"/><Relationship Id="rId441" Type="http://schemas.openxmlformats.org/officeDocument/2006/relationships/hyperlink" Target="https://zakupki.gov.ru/epz/order/notice/ea20/view/common-info.html?regNumber=0873400003923000276" TargetMode="External"/><Relationship Id="rId483" Type="http://schemas.openxmlformats.org/officeDocument/2006/relationships/hyperlink" Target="https://zakupki.gov.ru/epz/order/notice/ea20/view/common-info.html?regNumber=0873400003923000332" TargetMode="External"/><Relationship Id="rId539" Type="http://schemas.openxmlformats.org/officeDocument/2006/relationships/hyperlink" Target="https://zakupki.gov.ru/epz/order/notice/ea20/view/common-info.html?regNumber=0873400003923000391"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43" Type="http://schemas.openxmlformats.org/officeDocument/2006/relationships/hyperlink" Target="https://zakupki.gov.ru/epz/order/notice/ea20/view/common-info.html?regNumber=0873400003923000169" TargetMode="External"/><Relationship Id="rId550" Type="http://schemas.openxmlformats.org/officeDocument/2006/relationships/hyperlink" Target="https://zakupki.gov.ru/epz/order/notice/ea20/view/common-info.html?regNumber=0873400003923000402"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245" Type="http://schemas.openxmlformats.org/officeDocument/2006/relationships/hyperlink" Target="https://zakupki.gov.ru/epz/order/notice/ea20/view/common-info.html?regNumber=0873400003923000063"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5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4" Type="http://schemas.openxmlformats.org/officeDocument/2006/relationships/hyperlink" Target="https://zakupki.gov.ru/epz/order/notice/ea20/view/common-info.html?regNumber=0873400003923000344" TargetMode="External"/><Relationship Id="rId508" Type="http://schemas.openxmlformats.org/officeDocument/2006/relationships/hyperlink" Target="https://zakupki.gov.ru/epz/order/notice/ea20/view/common-info.html?regNumber=0873400003923000360"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1"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96" Type="http://schemas.openxmlformats.org/officeDocument/2006/relationships/hyperlink" Target="https://zakupki.gov.ru/epz/order/notice/ea20/view/common-info.html?regNumber=0873400003923000224" TargetMode="External"/><Relationship Id="rId561" Type="http://schemas.openxmlformats.org/officeDocument/2006/relationships/hyperlink" Target="https://zakupki.gov.ru/epz/order/notice/ea20/view/common-info.html?regNumber=0873400003923000414" TargetMode="External"/><Relationship Id="rId214" Type="http://schemas.openxmlformats.org/officeDocument/2006/relationships/hyperlink" Target="https://zakupki.gov.ru/epz/order/notice/ea20/view/common-info.html?regNumber=0873400003923000026" TargetMode="External"/><Relationship Id="rId256" Type="http://schemas.openxmlformats.org/officeDocument/2006/relationships/hyperlink" Target="https://zakupki.gov.ru/epz/order/notice/ea20/view/common-info.html?regNumber=0873400003923000088" TargetMode="External"/><Relationship Id="rId298" Type="http://schemas.openxmlformats.org/officeDocument/2006/relationships/hyperlink" Target="https://zakupki.gov.ru/epz/contract/contractCard/common-info.html?reestrNumber=1970515020223000045" TargetMode="External"/><Relationship Id="rId421" Type="http://schemas.openxmlformats.org/officeDocument/2006/relationships/hyperlink" Target="https://zakupki.gov.ru/epz/order/notice/ea20/view/common-info.html?regNumber=0873400003923000254" TargetMode="External"/><Relationship Id="rId463" Type="http://schemas.openxmlformats.org/officeDocument/2006/relationships/hyperlink" Target="https://zakupki.gov.ru/epz/order/notice/ea20/view/common-info.html?regNumber=0873400003923000311" TargetMode="External"/><Relationship Id="rId519" Type="http://schemas.openxmlformats.org/officeDocument/2006/relationships/hyperlink" Target="https://zakupki.gov.ru/epz/order/notice/ea20/view/common-info.html?regNumber=0873400003923000371"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004" TargetMode="External"/><Relationship Id="rId323" Type="http://schemas.openxmlformats.org/officeDocument/2006/relationships/hyperlink" Target="https://zakupki.gov.ru/epz/order/notice/ea20/view/common-info.html?regNumber=0873400003923000144" TargetMode="External"/><Relationship Id="rId530" Type="http://schemas.openxmlformats.org/officeDocument/2006/relationships/hyperlink" Target="https://zakupki.gov.ru/epz/order/notice/ea20/view/common-info.html?regNumber=0873400003923000382"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1" TargetMode="External"/><Relationship Id="rId225" Type="http://schemas.openxmlformats.org/officeDocument/2006/relationships/hyperlink" Target="https://zakupki.gov.ru/epz/order/notice/ea20/view/common-info.html?regNumber=0873400003923000039" TargetMode="External"/><Relationship Id="rId267" Type="http://schemas.openxmlformats.org/officeDocument/2006/relationships/hyperlink" Target="https://zakupki.gov.ru/epz/order/notice/ea20/view/common-info.html?regNumber=0873400003923000099" TargetMode="External"/><Relationship Id="rId432" Type="http://schemas.openxmlformats.org/officeDocument/2006/relationships/hyperlink" Target="https://zakupki.gov.ru/epz/order/notice/ea20/view/common-info.html?regNumber=0873400003923000265" TargetMode="External"/><Relationship Id="rId474" Type="http://schemas.openxmlformats.org/officeDocument/2006/relationships/hyperlink" Target="https://zakupki.gov.ru/epz/order/notice/ea20/view/common-info.html?regNumber=0873400003923000322"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76" Type="http://schemas.openxmlformats.org/officeDocument/2006/relationships/hyperlink" Target="https://zakupki.gov.ru/epz/order/notice/ea20/view/common-info.html?regNumber=0873400003923000199" TargetMode="External"/><Relationship Id="rId541" Type="http://schemas.openxmlformats.org/officeDocument/2006/relationships/hyperlink" Target="https://zakupki.gov.ru/epz/order/notice/ea20/view/common-info.html?regNumber=0873400003923000393"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36" Type="http://schemas.openxmlformats.org/officeDocument/2006/relationships/hyperlink" Target="https://zakupki.gov.ru/epz/order/notice/ea20/view/common-info.html?regNumber=0873400003923000050"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43" Type="http://schemas.openxmlformats.org/officeDocument/2006/relationships/hyperlink" Target="https://zakupki.gov.ru/epz/order/notice/ea20/view/common-info.html?regNumber=0873400003923000280" TargetMode="External"/><Relationship Id="rId303" Type="http://schemas.openxmlformats.org/officeDocument/2006/relationships/hyperlink" Target="https://zakupki.gov.ru/epz/contract/contractCard/common-info.html?reestrNumber=1970515020223000050" TargetMode="External"/><Relationship Id="rId485" Type="http://schemas.openxmlformats.org/officeDocument/2006/relationships/hyperlink" Target="https://zakupki.gov.ru/epz/order/notice/ea20/view/common-info.html?regNumber=0873400003923000334"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510" Type="http://schemas.openxmlformats.org/officeDocument/2006/relationships/hyperlink" Target="https://zakupki.gov.ru/epz/order/notice/ea20/view/common-info.html?regNumber=0873400003923000362" TargetMode="External"/><Relationship Id="rId552" Type="http://schemas.openxmlformats.org/officeDocument/2006/relationships/hyperlink" Target="https://zakupki.gov.ru/epz/order/notice/ea20/view/common-info.html?regNumber=0873400003923000405"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454" Type="http://schemas.openxmlformats.org/officeDocument/2006/relationships/hyperlink" Target="https://zakupki.gov.ru/epz/order/notice/ea20/view/common-info.html?regNumber=0873400003923000300" TargetMode="External"/><Relationship Id="rId496" Type="http://schemas.openxmlformats.org/officeDocument/2006/relationships/hyperlink" Target="https://zakupki.gov.ru/epz/order/notice/ea20/view/common-info.html?regNumber=087340000392300034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521" Type="http://schemas.openxmlformats.org/officeDocument/2006/relationships/hyperlink" Target="https://zakupki.gov.ru/epz/order/notice/ea20/view/common-info.html?regNumber=0873400003923000373" TargetMode="External"/><Relationship Id="rId563" Type="http://schemas.openxmlformats.org/officeDocument/2006/relationships/hyperlink" Target="https://zakupki.gov.ru/epz/order/notice/ea20/view/common-info.html?regNumber=0873400003923000416"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465" Type="http://schemas.openxmlformats.org/officeDocument/2006/relationships/hyperlink" Target="https://zakupki.gov.ru/epz/order/notice/ea20/view/common-info.html?regNumber=0873400003923000313"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532" Type="http://schemas.openxmlformats.org/officeDocument/2006/relationships/hyperlink" Target="https://zakupki.gov.ru/epz/order/notice/ea20/view/common-info.html?regNumber=0873400003923000384"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476" Type="http://schemas.openxmlformats.org/officeDocument/2006/relationships/hyperlink" Target="https://zakupki.gov.ru/epz/order/notice/ea20/view/common-info.html?regNumber=0873400003923000325"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501" Type="http://schemas.openxmlformats.org/officeDocument/2006/relationships/hyperlink" Target="https://zakupki.gov.ru/epz/order/notice/ea20/view/common-info.html?regNumber=0873400003923000353" TargetMode="External"/><Relationship Id="rId543" Type="http://schemas.openxmlformats.org/officeDocument/2006/relationships/hyperlink" Target="https://zakupki.gov.ru/epz/order/notice/ea20/view/common-info.html?regNumber=0873400003923000395"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487" Type="http://schemas.openxmlformats.org/officeDocument/2006/relationships/hyperlink" Target="https://zakupki.gov.ru/epz/order/notice/ea20/view/common-info.html?regNumber=0873400003923000336"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512" Type="http://schemas.openxmlformats.org/officeDocument/2006/relationships/hyperlink" Target="https://zakupki.gov.ru/epz/order/notice/ea20/view/common-info.html?regNumber=0873400003923000364"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554" Type="http://schemas.openxmlformats.org/officeDocument/2006/relationships/hyperlink" Target="https://zakupki.gov.ru/epz/order/notice/ea20/view/common-info.html?regNumber=0873400003923000407"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456" Type="http://schemas.openxmlformats.org/officeDocument/2006/relationships/hyperlink" Target="https://zakupki.gov.ru/epz/order/notice/ea20/view/common-info.html?regNumber=0873400003923000301" TargetMode="External"/><Relationship Id="rId498" Type="http://schemas.openxmlformats.org/officeDocument/2006/relationships/hyperlink" Target="https://zakupki.gov.ru/epz/order/notice/ea20/view/common-info.html?regNumber=0873400003923000350"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23" Type="http://schemas.openxmlformats.org/officeDocument/2006/relationships/hyperlink" Target="https://zakupki.gov.ru/epz/order/notice/ea20/view/common-info.html?regNumber=0873400003923000375"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565" Type="http://schemas.openxmlformats.org/officeDocument/2006/relationships/hyperlink" Target="https://zakupki.gov.ru/epz/order/notice/ea20/view/common-info.html?regNumber=0873400003923000418"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467" Type="http://schemas.openxmlformats.org/officeDocument/2006/relationships/hyperlink" Target="https://zakupki.gov.ru/epz/order/notice/ea20/view/common-info.html?regNumber=0873400003923000315"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534" Type="http://schemas.openxmlformats.org/officeDocument/2006/relationships/hyperlink" Target="https://zakupki.gov.ru/epz/order/notice/ea20/view/common-info.html?regNumber=0873400003923000386"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240" Type="http://schemas.openxmlformats.org/officeDocument/2006/relationships/hyperlink" Target="https://zakupki.gov.ru/epz/order/notice/ea20/view/common-info.html?regNumber=0873400003923000056" TargetMode="External"/><Relationship Id="rId478" Type="http://schemas.openxmlformats.org/officeDocument/2006/relationships/hyperlink" Target="https://zakupki.gov.ru/epz/order/notice/ea20/view/common-info.html?regNumber=0873400003923000327"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503" Type="http://schemas.openxmlformats.org/officeDocument/2006/relationships/hyperlink" Target="https://zakupki.gov.ru/epz/order/notice/ea20/view/common-info.html?regNumber=0873400003923000355" TargetMode="External"/><Relationship Id="rId545" Type="http://schemas.openxmlformats.org/officeDocument/2006/relationships/hyperlink" Target="https://zakupki.gov.ru/epz/order/notice/ea20/view/common-info.html?regNumber=0873400003923000397"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5" TargetMode="External"/><Relationship Id="rId251" Type="http://schemas.openxmlformats.org/officeDocument/2006/relationships/hyperlink" Target="https://zakupki.gov.ru/epz/order/notice/ea20/view/common-info.html?regNumber=0873400003923000070" TargetMode="External"/><Relationship Id="rId489" Type="http://schemas.openxmlformats.org/officeDocument/2006/relationships/hyperlink" Target="https://zakupki.gov.ru/epz/order/notice/ea20/view/common-info.html?regNumber=087340000392300033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514" Type="http://schemas.openxmlformats.org/officeDocument/2006/relationships/hyperlink" Target="https://zakupki.gov.ru/epz/order/notice/ea20/view/common-info.html?regNumber=0873400003923000366" TargetMode="External"/><Relationship Id="rId556" Type="http://schemas.openxmlformats.org/officeDocument/2006/relationships/hyperlink" Target="https://zakupki.gov.ru/epz/order/notice/ea20/view/common-info.html?regNumber=0873400003923000409"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220" Type="http://schemas.openxmlformats.org/officeDocument/2006/relationships/hyperlink" Target="https://zakupki.gov.ru/epz/order/notice/ea20/view/common-info.html?regNumber=0873400003923000032" TargetMode="External"/><Relationship Id="rId458" Type="http://schemas.openxmlformats.org/officeDocument/2006/relationships/hyperlink" Target="https://zakupki.gov.ru/epz/order/notice/ea20/view/common-info.html?regNumber=0873400003923000306"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525" Type="http://schemas.openxmlformats.org/officeDocument/2006/relationships/hyperlink" Target="https://zakupki.gov.ru/epz/order/notice/ea20/view/common-info.html?regNumber=0873400003923000377" TargetMode="External"/><Relationship Id="rId567" Type="http://schemas.openxmlformats.org/officeDocument/2006/relationships/hyperlink" Target="https://zakupki.gov.ru/epz/order/notice/ea20/view/common-info.html?regNumber=0873400003923000194"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469" Type="http://schemas.openxmlformats.org/officeDocument/2006/relationships/hyperlink" Target="https://zakupki.gov.ru/epz/order/notice/ea20/view/common-info.html?regNumber=0873400003923000317"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480" Type="http://schemas.openxmlformats.org/officeDocument/2006/relationships/hyperlink" Target="https://zakupki.gov.ru/epz/order/notice/ea20/view/common-info.html?regNumber=0873400003923000329" TargetMode="External"/><Relationship Id="rId536" Type="http://schemas.openxmlformats.org/officeDocument/2006/relationships/hyperlink" Target="https://zakupki.gov.ru/epz/order/notice/ea20/view/common-info.html?regNumber=0873400003923000388"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491" Type="http://schemas.openxmlformats.org/officeDocument/2006/relationships/hyperlink" Target="https://zakupki.gov.ru/epz/order/notice/ea20/view/common-info.html?regNumber=0873400003923000340" TargetMode="External"/><Relationship Id="rId505" Type="http://schemas.openxmlformats.org/officeDocument/2006/relationships/hyperlink" Target="https://zakupki.gov.ru/epz/order/notice/ea20/view/common-info.html?regNumber=0873400003923000357"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547" Type="http://schemas.openxmlformats.org/officeDocument/2006/relationships/hyperlink" Target="https://zakupki.gov.ru/epz/order/notice/ea20/view/common-info.html?regNumber=0873400003923000399"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hyperlink" Target="https://zakupki.gov.ru/epz/order/notice/ea20/view/common-info.html?regNumber=0873400003923000287"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60" Type="http://schemas.openxmlformats.org/officeDocument/2006/relationships/hyperlink" Target="https://zakupki.gov.ru/epz/order/notice/ea20/view/common-info.html?regNumber=0873400003923000308" TargetMode="External"/><Relationship Id="rId516" Type="http://schemas.openxmlformats.org/officeDocument/2006/relationships/hyperlink" Target="https://zakupki.gov.ru/epz/order/notice/ea20/view/common-info.html?regNumber=0873400003923000368"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558" Type="http://schemas.openxmlformats.org/officeDocument/2006/relationships/hyperlink" Target="https://zakupki.gov.ru/epz/order/notice/ea20/view/common-info.html?regNumber=087340000392300041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471" Type="http://schemas.openxmlformats.org/officeDocument/2006/relationships/hyperlink" Target="https://zakupki.gov.ru/epz/order/notice/ea20/view/common-info.html?regNumber=0873400003923000319"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527" Type="http://schemas.openxmlformats.org/officeDocument/2006/relationships/hyperlink" Target="https://zakupki.gov.ru/epz/order/notice/ea20/view/common-info.html?regNumber=0873400003923000379"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482" Type="http://schemas.openxmlformats.org/officeDocument/2006/relationships/hyperlink" Target="https://zakupki.gov.ru/epz/order/notice/ea20/view/common-info.html?regNumber=0873400003923000331" TargetMode="External"/><Relationship Id="rId538" Type="http://schemas.openxmlformats.org/officeDocument/2006/relationships/hyperlink" Target="https://zakupki.gov.ru/epz/order/notice/ea20/view/common-info.html?regNumber=0873400003923000390"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 Id="rId45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3" Type="http://schemas.openxmlformats.org/officeDocument/2006/relationships/hyperlink" Target="https://zakupki.gov.ru/epz/order/notice/ea20/view/common-info.html?regNumber=0873400003923000343" TargetMode="External"/><Relationship Id="rId507" Type="http://schemas.openxmlformats.org/officeDocument/2006/relationships/hyperlink" Target="https://zakupki.gov.ru/epz/order/notice/ea20/view/common-info.html?regNumber=0873400003923000359" TargetMode="External"/><Relationship Id="rId549" Type="http://schemas.openxmlformats.org/officeDocument/2006/relationships/hyperlink" Target="https://zakupki.gov.ru/epz/order/notice/ea20/view/common-info.html?regNumber=0873400003923000401"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53" Type="http://schemas.openxmlformats.org/officeDocument/2006/relationships/hyperlink" Target="https://zakupki.gov.ru/epz/order/notice/ea20/view/common-info.html?regNumber=0873400003923000179"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560" Type="http://schemas.openxmlformats.org/officeDocument/2006/relationships/hyperlink" Target="https://zakupki.gov.ru/epz/order/notice/ea20/view/common-info.html?regNumber=087340000392300041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420" Type="http://schemas.openxmlformats.org/officeDocument/2006/relationships/hyperlink" Target="https://zakupki.gov.ru/epz/order/notice/ea20/view/common-info.html?regNumber=0873400003923000253" TargetMode="External"/><Relationship Id="rId255" Type="http://schemas.openxmlformats.org/officeDocument/2006/relationships/hyperlink" Target="https://zakupki.gov.ru/epz/order/notice/ea20/view/common-info.html?regNumber=0873400003923000087" TargetMode="External"/><Relationship Id="rId297" Type="http://schemas.openxmlformats.org/officeDocument/2006/relationships/hyperlink" Target="https://zakupki.gov.ru/epz/order/notice/ea20/view/common-info.html?regNumber=0873400003923000130" TargetMode="External"/><Relationship Id="rId462" Type="http://schemas.openxmlformats.org/officeDocument/2006/relationships/hyperlink" Target="https://zakupki.gov.ru/epz/order/notice/ea20/view/common-info.html?regNumber=0873400003923000310" TargetMode="External"/><Relationship Id="rId518" Type="http://schemas.openxmlformats.org/officeDocument/2006/relationships/hyperlink" Target="https://zakupki.gov.ru/epz/order/notice/ea20/view/common-info.html?regNumber=0873400003923000370"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3" TargetMode="External"/><Relationship Id="rId322" Type="http://schemas.openxmlformats.org/officeDocument/2006/relationships/hyperlink" Target="https://zakupki.gov.ru/epz/order/notice/ea20/view/common-info.html?regNumber=0873400003923000143"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24"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66" Type="http://schemas.openxmlformats.org/officeDocument/2006/relationships/hyperlink" Target="https://zakupki.gov.ru/epz/order/notice/ea20/view/common-info.html?regNumber=0873400003923000098" TargetMode="External"/><Relationship Id="rId431" Type="http://schemas.openxmlformats.org/officeDocument/2006/relationships/hyperlink" Target="https://zakupki.gov.ru/epz/order/notice/ea20/view/common-info.html?regNumber=0873400003923000264" TargetMode="External"/><Relationship Id="rId473" Type="http://schemas.openxmlformats.org/officeDocument/2006/relationships/hyperlink" Target="https://zakupki.gov.ru/epz/order/notice/ea20/view/common-info.html?regNumber=0873400003923000321" TargetMode="External"/><Relationship Id="rId529" Type="http://schemas.openxmlformats.org/officeDocument/2006/relationships/hyperlink" Target="https://zakupki.gov.ru/epz/order/notice/ea20/view/common-info.html?regNumber=0873400003923000381"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42" TargetMode="External"/><Relationship Id="rId333" Type="http://schemas.openxmlformats.org/officeDocument/2006/relationships/hyperlink" Target="https://zakupki.gov.ru/epz/order/notice/ea20/view/common-info.html?regNumber=0873400003923000159" TargetMode="External"/><Relationship Id="rId540" Type="http://schemas.openxmlformats.org/officeDocument/2006/relationships/hyperlink" Target="https://zakupki.gov.ru/epz/order/notice/ea20/view/common-info.html?regNumber=0873400003923000392"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198"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49" TargetMode="External"/><Relationship Id="rId277" Type="http://schemas.openxmlformats.org/officeDocument/2006/relationships/hyperlink" Target="https://zakupki.gov.ru/epz/order/notice/ea20/view/common-info.html?regNumber=0873400003923000109" TargetMode="External"/><Relationship Id="rId400" Type="http://schemas.openxmlformats.org/officeDocument/2006/relationships/hyperlink" Target="https://zakupki.gov.ru/epz/order/notice/ea20/view/common-info.html?regNumber=0873400003923000228" TargetMode="External"/><Relationship Id="rId442" Type="http://schemas.openxmlformats.org/officeDocument/2006/relationships/hyperlink" Target="https://zakupki.gov.ru/epz/order/notice/ea20/view/common-info.html?regNumber=0873400003923000279" TargetMode="External"/><Relationship Id="rId484" Type="http://schemas.openxmlformats.org/officeDocument/2006/relationships/hyperlink" Target="https://zakupki.gov.ru/epz/order/notice/ea20/view/common-info.html?regNumber=0873400003923000333"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49" TargetMode="External"/><Relationship Id="rId344" Type="http://schemas.openxmlformats.org/officeDocument/2006/relationships/hyperlink" Target="https://zakupki.gov.ru/epz/order/notice/ea20/view/common-info.html?regNumber=0873400003923000170"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86" Type="http://schemas.openxmlformats.org/officeDocument/2006/relationships/hyperlink" Target="https://zakupki.gov.ru/epz/order/notice/ea20/view/common-info.html?regNumber=0873400003923000213" TargetMode="External"/><Relationship Id="rId551" Type="http://schemas.openxmlformats.org/officeDocument/2006/relationships/hyperlink" Target="https://zakupki.gov.ru/epz/order/notice/ea20/view/common-info.html?regNumber=0873400003923000403"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46" Type="http://schemas.openxmlformats.org/officeDocument/2006/relationships/hyperlink" Target="https://zakupki.gov.ru/epz/order/notice/ea20/view/common-info.html?regNumber=0873400003923000064"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53" Type="http://schemas.openxmlformats.org/officeDocument/2006/relationships/hyperlink" Target="https://zakupki.gov.ru/epz/order/notice/ea20/view/common-info.html?regNumber=0873400003923000297" TargetMode="External"/><Relationship Id="rId509" Type="http://schemas.openxmlformats.org/officeDocument/2006/relationships/hyperlink" Target="https://zakupki.gov.ru/epz/order/notice/ea20/view/common-info.html?regNumber=0873400003923000361"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contract/contractCard/common-info.html?reestrNumber=1970515020223000060" TargetMode="External"/><Relationship Id="rId495" Type="http://schemas.openxmlformats.org/officeDocument/2006/relationships/hyperlink" Target="https://zakupki.gov.ru/epz/order/notice/ea20/view/common-info.html?regNumber=0873400003923000345"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1" TargetMode="External"/><Relationship Id="rId397" Type="http://schemas.openxmlformats.org/officeDocument/2006/relationships/hyperlink" Target="https://zakupki.gov.ru/epz/order/notice/ea20/view/common-info.html?regNumber=0873400003923000225" TargetMode="External"/><Relationship Id="rId520" Type="http://schemas.openxmlformats.org/officeDocument/2006/relationships/hyperlink" Target="https://zakupki.gov.ru/epz/order/notice/ea20/view/common-info.html?regNumber=0873400003923000372" TargetMode="External"/><Relationship Id="rId562" Type="http://schemas.openxmlformats.org/officeDocument/2006/relationships/hyperlink" Target="https://zakupki.gov.ru/epz/order/notice/ea20/view/common-info.html?regNumber=0873400003923000415" TargetMode="External"/><Relationship Id="rId215" Type="http://schemas.openxmlformats.org/officeDocument/2006/relationships/hyperlink" Target="https://zakupki.gov.ru/epz/order/notice/ea20/view/common-info.html?regNumber=0873400003923000027" TargetMode="External"/><Relationship Id="rId257" Type="http://schemas.openxmlformats.org/officeDocument/2006/relationships/hyperlink" Target="https://zakupki.gov.ru/epz/order/notice/ea20/view/common-info.html?regNumber=0873400003923000089" TargetMode="External"/><Relationship Id="rId422" Type="http://schemas.openxmlformats.org/officeDocument/2006/relationships/hyperlink" Target="https://zakupki.gov.ru/epz/order/notice/ea20/view/common-info.html?regNumber=0873400003923000255" TargetMode="External"/><Relationship Id="rId464" Type="http://schemas.openxmlformats.org/officeDocument/2006/relationships/hyperlink" Target="https://zakupki.gov.ru/epz/order/notice/ea20/view/common-info.html?regNumber=0873400003923000312" TargetMode="External"/><Relationship Id="rId299" Type="http://schemas.openxmlformats.org/officeDocument/2006/relationships/hyperlink" Target="https://zakupki.gov.ru/epz/contract/contractCard/common-info.html?reestrNumber=1970515020223000046"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66" Type="http://schemas.openxmlformats.org/officeDocument/2006/relationships/hyperlink" Target="https://zakupki.gov.ru/epz/order/notice/ea20/view/common-info.html?regNumber=0873400003923000192"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74" Type="http://schemas.openxmlformats.org/officeDocument/2006/relationships/hyperlink" Target="https://zakupki.gov.ru/epz/order/notice/ea20/view/common-info.html?regNumber=0873400003922000594" TargetMode="External"/><Relationship Id="rId377" Type="http://schemas.openxmlformats.org/officeDocument/2006/relationships/hyperlink" Target="https://zakupki.gov.ru/epz/order/notice/ea20/view/common-info.html?regNumber=0873400003923000202" TargetMode="External"/><Relationship Id="rId500" Type="http://schemas.openxmlformats.org/officeDocument/2006/relationships/hyperlink" Target="https://zakupki.gov.ru/epz/order/notice/ea20/view/common-info.html?regNumber=0873400003923000352" TargetMode="External"/><Relationship Id="rId5" Type="http://schemas.openxmlformats.org/officeDocument/2006/relationships/hyperlink" Target="https://zakupki.gov.ru/epz/order/notice/ea20/view/common-info.html?regNumber=0873400003922000410" TargetMode="External"/><Relationship Id="rId237" Type="http://schemas.openxmlformats.org/officeDocument/2006/relationships/hyperlink" Target="https://zakupki.gov.ru/epz/order/notice/ea20/view/common-info.html?regNumber=0873400003923000053" TargetMode="External"/><Relationship Id="rId444" Type="http://schemas.openxmlformats.org/officeDocument/2006/relationships/hyperlink" Target="https://zakupki.gov.ru/epz/order/notice/ea20/view/common-info.html?regNumber=0873400003923000281"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88" Type="http://schemas.openxmlformats.org/officeDocument/2006/relationships/hyperlink" Target="https://zakupki.gov.ru/epz/order/notice/ea20/view/common-info.html?regNumber=0873400003923000215" TargetMode="External"/><Relationship Id="rId511" Type="http://schemas.openxmlformats.org/officeDocument/2006/relationships/hyperlink" Target="https://zakupki.gov.ru/epz/order/notice/ea20/view/common-info.html?regNumber=0873400003923000363"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248" Type="http://schemas.openxmlformats.org/officeDocument/2006/relationships/hyperlink" Target="https://zakupki.gov.ru/epz/order/notice/ea20/view/common-info.html?regNumber=0873400003923000067" TargetMode="External"/><Relationship Id="rId455" Type="http://schemas.openxmlformats.org/officeDocument/2006/relationships/hyperlink" Target="https://zakupki.gov.ru/epz/order/notice/ea20/view/common-info.html?regNumber=0873400003923000300"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522" Type="http://schemas.openxmlformats.org/officeDocument/2006/relationships/hyperlink" Target="https://zakupki.gov.ru/epz/order/notice/ea20/view/common-info.html?regNumber=08734000039230003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66" Type="http://schemas.openxmlformats.org/officeDocument/2006/relationships/hyperlink" Target="https://zakupki.gov.ru/epz/order/notice/ea20/view/common-info.html?regNumber=0873400003923000314"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326" Type="http://schemas.openxmlformats.org/officeDocument/2006/relationships/hyperlink" Target="https://zakupki.gov.ru/epz/order/notice/ea20/view/common-info.html?regNumber=0873400003923000148" TargetMode="External"/><Relationship Id="rId533" Type="http://schemas.openxmlformats.org/officeDocument/2006/relationships/hyperlink" Target="https://zakupki.gov.ru/epz/order/notice/ea20/view/common-info.html?regNumber=0873400003923000385"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40"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63" Type="http://schemas.openxmlformats.org/officeDocument/2006/relationships/hyperlink" Target="https://zakupki.gov.ru/epz/order/notice/ea20/view/common-info.html?regNumber=0873400003923000204" TargetMode="External"/><Relationship Id="rId84" Type="http://schemas.openxmlformats.org/officeDocument/2006/relationships/hyperlink" Target="https://zakupki.gov.ru/epz/order/notice/ea20/view/common-info.html?regNumber=0873400003923000234" TargetMode="External"/><Relationship Id="rId138" Type="http://schemas.openxmlformats.org/officeDocument/2006/relationships/hyperlink" Target="https://zakupki.gov.ru/epz/order/notice/ea20/view/common-info.html?regNumber=0873400003923000377" TargetMode="External"/><Relationship Id="rId107" Type="http://schemas.openxmlformats.org/officeDocument/2006/relationships/hyperlink" Target="https://zakupki.gov.ru/epz/order/notice/ea20/view/common-info.html?regNumber=0873400003923000330"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53" Type="http://schemas.openxmlformats.org/officeDocument/2006/relationships/hyperlink" Target="https://zakupki.gov.ru/epz/order/notice/ea20/view/common-info.html?regNumber=0873400003923000192" TargetMode="External"/><Relationship Id="rId74" Type="http://schemas.openxmlformats.org/officeDocument/2006/relationships/hyperlink" Target="https://zakupki.gov.ru/epz/order/notice/ea20/view/common-info.html?regNumber=0873400003923000216" TargetMode="External"/><Relationship Id="rId128" Type="http://schemas.openxmlformats.org/officeDocument/2006/relationships/hyperlink" Target="https://zakupki.gov.ru/epz/order/notice/ea20/view/common-info.html?regNumber=0873400003923000366" TargetMode="External"/><Relationship Id="rId5" Type="http://schemas.openxmlformats.org/officeDocument/2006/relationships/hyperlink" Target="https://zakupki.gov.ru/epz/order/notice/ea20/view/common-info.html?regNumber=0873400003922000002" TargetMode="External"/><Relationship Id="rId90" Type="http://schemas.openxmlformats.org/officeDocument/2006/relationships/hyperlink" Target="https://zakupki.gov.ru/epz/order/notice/ea20/view/common-info.html?regNumber=0873400003923000247" TargetMode="External"/><Relationship Id="rId95" Type="http://schemas.openxmlformats.org/officeDocument/2006/relationships/hyperlink" Target="https://zakupki.gov.ru/epz/order/notice/ea20/view/common-info.html?regNumber=0873400003923000258"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5" TargetMode="External"/><Relationship Id="rId69" Type="http://schemas.openxmlformats.org/officeDocument/2006/relationships/hyperlink" Target="https://zakupki.gov.ru/epz/order/notice/ea20/view/common-info.html?regNumber=0873400003923000210" TargetMode="External"/><Relationship Id="rId113" Type="http://schemas.openxmlformats.org/officeDocument/2006/relationships/hyperlink" Target="https://zakupki.gov.ru/epz/order/notice/ea20/view/common-info.html?regNumber=0873400003923000336" TargetMode="External"/><Relationship Id="rId118" Type="http://schemas.openxmlformats.org/officeDocument/2006/relationships/hyperlink" Target="https://zakupki.gov.ru/epz/order/notice/ea20/view/common-info.html?regNumber=0873400003923000343" TargetMode="External"/><Relationship Id="rId134" Type="http://schemas.openxmlformats.org/officeDocument/2006/relationships/hyperlink" Target="https://zakupki.gov.ru/epz/order/notice/ea20/view/common-info.html?regNumber=0873400003923000372" TargetMode="External"/><Relationship Id="rId139" Type="http://schemas.openxmlformats.org/officeDocument/2006/relationships/hyperlink" Target="https://zakupki.gov.ru/epz/order/notice/ea20/view/common-info.html?regNumber=0873400003923000380" TargetMode="External"/><Relationship Id="rId80" Type="http://schemas.openxmlformats.org/officeDocument/2006/relationships/hyperlink" Target="https://zakupki.gov.ru/epz/order/notice/ea20/view/common-info.html?regNumber=0873400003923000227" TargetMode="External"/><Relationship Id="rId85" Type="http://schemas.openxmlformats.org/officeDocument/2006/relationships/hyperlink" Target="https://zakupki.gov.ru/epz/order/notice/ea20/view/common-info.html?regNumber=0873400003923000235"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8" TargetMode="External"/><Relationship Id="rId103" Type="http://schemas.openxmlformats.org/officeDocument/2006/relationships/hyperlink" Target="https://zakupki.gov.ru/epz/order/notice/ea20/view/common-info.html?regNumber=0873400003923000274" TargetMode="External"/><Relationship Id="rId108" Type="http://schemas.openxmlformats.org/officeDocument/2006/relationships/hyperlink" Target="https://zakupki.gov.ru/epz/order/notice/ea20/view/common-info.html?regNumber=0873400003923000331" TargetMode="External"/><Relationship Id="rId124" Type="http://schemas.openxmlformats.org/officeDocument/2006/relationships/hyperlink" Target="https://zakupki.gov.ru/epz/order/notice/ea20/view/common-info.html?regNumber=0873400003923000353" TargetMode="External"/><Relationship Id="rId129" Type="http://schemas.openxmlformats.org/officeDocument/2006/relationships/hyperlink" Target="https://zakupki.gov.ru/epz/order/notice/ea20/view/common-info.html?regNumber=0873400003923000367"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1" TargetMode="External"/><Relationship Id="rId75" Type="http://schemas.openxmlformats.org/officeDocument/2006/relationships/hyperlink" Target="https://zakupki.gov.ru/epz/order/notice/ea20/view/common-info.html?regNumber=0873400003923000218" TargetMode="External"/><Relationship Id="rId91" Type="http://schemas.openxmlformats.org/officeDocument/2006/relationships/hyperlink" Target="https://zakupki.gov.ru/epz/order/notice/ea20/view/common-info.html?regNumber=0873400003923000254" TargetMode="External"/><Relationship Id="rId96" Type="http://schemas.openxmlformats.org/officeDocument/2006/relationships/hyperlink" Target="https://zakupki.gov.ru/epz/order/notice/ea20/view/common-info.html?regNumber=0873400003923000259" TargetMode="External"/><Relationship Id="rId140" Type="http://schemas.openxmlformats.org/officeDocument/2006/relationships/hyperlink" Target="https://zakupki.gov.ru/epz/order/notice/ea20/view/common-info.html?regNumber=0873400003923000392" TargetMode="External"/><Relationship Id="rId145" Type="http://schemas.openxmlformats.org/officeDocument/2006/relationships/printerSettings" Target="../printerSettings/printerSettings2.bin"/><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7" TargetMode="External"/><Relationship Id="rId119" Type="http://schemas.openxmlformats.org/officeDocument/2006/relationships/hyperlink" Target="https://zakupki.gov.ru/epz/order/notice/ea20/view/common-info.html?regNumber=0873400003923000344"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199" TargetMode="External"/><Relationship Id="rId65" Type="http://schemas.openxmlformats.org/officeDocument/2006/relationships/hyperlink" Target="https://zakupki.gov.ru/epz/order/notice/ea20/view/common-info.html?regNumber=0873400003923000206" TargetMode="External"/><Relationship Id="rId81" Type="http://schemas.openxmlformats.org/officeDocument/2006/relationships/hyperlink" Target="https://zakupki.gov.ru/epz/order/notice/ea20/view/common-info.html?regNumber=0873400003923000228" TargetMode="External"/><Relationship Id="rId86" Type="http://schemas.openxmlformats.org/officeDocument/2006/relationships/hyperlink" Target="https://zakupki.gov.ru/epz/order/notice/ea20/view/common-info.html?regNumber=0873400003923000240" TargetMode="External"/><Relationship Id="rId130" Type="http://schemas.openxmlformats.org/officeDocument/2006/relationships/hyperlink" Target="https://zakupki.gov.ru/epz/order/notice/ea20/view/common-info.html?regNumber=0873400003923000368" TargetMode="External"/><Relationship Id="rId135" Type="http://schemas.openxmlformats.org/officeDocument/2006/relationships/hyperlink" Target="https://zakupki.gov.ru/epz/order/notice/ea20/view/common-info.html?regNumber=0873400003923000374"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0" TargetMode="External"/><Relationship Id="rId97" Type="http://schemas.openxmlformats.org/officeDocument/2006/relationships/hyperlink" Target="https://zakupki.gov.ru/epz/order/notice/ea20/view/common-info.html?regNumber=0873400003923000261" TargetMode="External"/><Relationship Id="rId104" Type="http://schemas.openxmlformats.org/officeDocument/2006/relationships/hyperlink" Target="https://zakupki.gov.ru/epz/order/notice/ea20/view/common-info.html?regNumber=0873400003923000280" TargetMode="External"/><Relationship Id="rId120" Type="http://schemas.openxmlformats.org/officeDocument/2006/relationships/hyperlink" Target="https://zakupki.gov.ru/epz/order/notice/ea20/view/common-info.html?regNumber=0873400003923000346" TargetMode="External"/><Relationship Id="rId125" Type="http://schemas.openxmlformats.org/officeDocument/2006/relationships/hyperlink" Target="https://zakupki.gov.ru/epz/order/notice/ea20/view/common-info.html?regNumber=0873400003923000355" TargetMode="External"/><Relationship Id="rId141" Type="http://schemas.openxmlformats.org/officeDocument/2006/relationships/hyperlink" Target="https://zakupki.gov.ru/epz/order/notice/ea20/view/common-info.html?regNumber=0873400003923000394"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3" TargetMode="External"/><Relationship Id="rId92" Type="http://schemas.openxmlformats.org/officeDocument/2006/relationships/hyperlink" Target="https://zakupki.gov.ru/epz/order/notice/ea20/view/common-info.html?regNumber=0873400003923000255"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7" TargetMode="External"/><Relationship Id="rId87" Type="http://schemas.openxmlformats.org/officeDocument/2006/relationships/hyperlink" Target="https://zakupki.gov.ru/epz/order/notice/ea20/view/common-info.html?regNumber=0873400003923000241" TargetMode="External"/><Relationship Id="rId110" Type="http://schemas.openxmlformats.org/officeDocument/2006/relationships/hyperlink" Target="https://zakupki.gov.ru/epz/order/notice/ea20/view/common-info.html?regNumber=0873400003923000333" TargetMode="External"/><Relationship Id="rId115" Type="http://schemas.openxmlformats.org/officeDocument/2006/relationships/hyperlink" Target="https://zakupki.gov.ru/epz/order/notice/ea20/view/common-info.html?regNumber=0873400003923000338" TargetMode="External"/><Relationship Id="rId131" Type="http://schemas.openxmlformats.org/officeDocument/2006/relationships/hyperlink" Target="https://zakupki.gov.ru/epz/order/notice/ea20/view/common-info.html?regNumber=0873400003923000369" TargetMode="External"/><Relationship Id="rId136" Type="http://schemas.openxmlformats.org/officeDocument/2006/relationships/hyperlink" Target="https://zakupki.gov.ru/epz/order/notice/ea20/view/common-info.html?regNumber=0873400003923000375" TargetMode="External"/><Relationship Id="rId61" Type="http://schemas.openxmlformats.org/officeDocument/2006/relationships/hyperlink" Target="https://zakupki.gov.ru/epz/order/notice/ea20/view/common-info.html?regNumber=0873400003923000203" TargetMode="External"/><Relationship Id="rId82" Type="http://schemas.openxmlformats.org/officeDocument/2006/relationships/hyperlink" Target="https://zakupki.gov.ru/epz/order/notice/ea20/view/common-info.html?regNumber=0873400003923000229"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4" TargetMode="External"/><Relationship Id="rId77" Type="http://schemas.openxmlformats.org/officeDocument/2006/relationships/hyperlink" Target="https://zakupki.gov.ru/epz/order/notice/ea20/view/common-info.html?regNumber=0873400003923000222" TargetMode="External"/><Relationship Id="rId100" Type="http://schemas.openxmlformats.org/officeDocument/2006/relationships/hyperlink" Target="https://zakupki.gov.ru/epz/order/notice/ea20/view/common-info.html?regNumber=0873400003923000266" TargetMode="External"/><Relationship Id="rId105" Type="http://schemas.openxmlformats.org/officeDocument/2006/relationships/hyperlink" Target="https://zakupki.gov.ru/epz/order/notice/ea20/view/common-info.html?regNumber=0873400003923000281" TargetMode="External"/><Relationship Id="rId126" Type="http://schemas.openxmlformats.org/officeDocument/2006/relationships/hyperlink" Target="https://zakupki.gov.ru/epz/order/notice/ea20/view/common-info.html?regNumber=0873400003923000359"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4" TargetMode="External"/><Relationship Id="rId93" Type="http://schemas.openxmlformats.org/officeDocument/2006/relationships/hyperlink" Target="https://zakupki.gov.ru/epz/order/notice/ea20/view/common-info.html?regNumber=0873400003923000256" TargetMode="External"/><Relationship Id="rId98" Type="http://schemas.openxmlformats.org/officeDocument/2006/relationships/hyperlink" Target="https://zakupki.gov.ru/epz/order/notice/ea20/view/common-info.html?regNumber=0873400003923000262" TargetMode="External"/><Relationship Id="rId121" Type="http://schemas.openxmlformats.org/officeDocument/2006/relationships/hyperlink" Target="https://zakupki.gov.ru/epz/order/notice/ea20/view/common-info.html?regNumber=0873400003923000347" TargetMode="External"/><Relationship Id="rId142" Type="http://schemas.openxmlformats.org/officeDocument/2006/relationships/hyperlink" Target="https://zakupki.gov.ru/epz/order/notice/ea20/view/common-info.html?regNumber=0873400003923000403" TargetMode="External"/><Relationship Id="rId3" Type="http://schemas.openxmlformats.org/officeDocument/2006/relationships/hyperlink" Target="https://zakupki.gov.ru/epz/order/notice/ea20/view/common-info.html?regNumber=0873400003922000004" TargetMode="External"/><Relationship Id="rId25" Type="http://schemas.openxmlformats.org/officeDocument/2006/relationships/hyperlink" Target="https://zakupki.gov.ru/epz/order/notice/ea44/view/common-info.html?regNumber=0873400003921000361"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8" TargetMode="External"/><Relationship Id="rId116" Type="http://schemas.openxmlformats.org/officeDocument/2006/relationships/hyperlink" Target="https://zakupki.gov.ru/epz/order/notice/ea20/view/common-info.html?regNumber=0873400003923000339" TargetMode="External"/><Relationship Id="rId137" Type="http://schemas.openxmlformats.org/officeDocument/2006/relationships/hyperlink" Target="https://zakupki.gov.ru/epz/order/notice/ea20/view/common-info.html?regNumber=0873400003923000376"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2" TargetMode="External"/><Relationship Id="rId83" Type="http://schemas.openxmlformats.org/officeDocument/2006/relationships/hyperlink" Target="https://zakupki.gov.ru/epz/order/notice/ea20/view/common-info.html?regNumber=0873400003923000233" TargetMode="External"/><Relationship Id="rId88" Type="http://schemas.openxmlformats.org/officeDocument/2006/relationships/hyperlink" Target="https://zakupki.gov.ru/epz/order/notice/ea20/view/common-info.html?regNumber=0873400003923000243" TargetMode="External"/><Relationship Id="rId111" Type="http://schemas.openxmlformats.org/officeDocument/2006/relationships/hyperlink" Target="https://zakupki.gov.ru/epz/order/notice/ea20/view/common-info.html?regNumber=0873400003923000334" TargetMode="External"/><Relationship Id="rId132" Type="http://schemas.openxmlformats.org/officeDocument/2006/relationships/hyperlink" Target="https://zakupki.gov.ru/epz/order/notice/ea20/view/common-info.html?regNumber=0873400003923000370" TargetMode="External"/><Relationship Id="rId15" Type="http://schemas.openxmlformats.org/officeDocument/2006/relationships/hyperlink" Target="https://zakupki.gov.ru/epz/order/notice/ea44/view/common-info.html?regNumber=0873400003921000393"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6" TargetMode="External"/><Relationship Id="rId106" Type="http://schemas.openxmlformats.org/officeDocument/2006/relationships/hyperlink" Target="https://zakupki.gov.ru/epz/order/notice/ea20/view/common-info.html?regNumber=0873400003923000329" TargetMode="External"/><Relationship Id="rId127" Type="http://schemas.openxmlformats.org/officeDocument/2006/relationships/hyperlink" Target="https://zakupki.gov.ru/epz/order/notice/ea20/view/common-info.html?regNumber=0873400003923000362"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5" TargetMode="External"/><Relationship Id="rId78" Type="http://schemas.openxmlformats.org/officeDocument/2006/relationships/hyperlink" Target="https://zakupki.gov.ru/epz/order/notice/ea20/view/common-info.html?regNumber=0873400003923000224" TargetMode="External"/><Relationship Id="rId94" Type="http://schemas.openxmlformats.org/officeDocument/2006/relationships/hyperlink" Target="https://zakupki.gov.ru/epz/order/notice/ea20/view/common-info.html?regNumber=0873400003923000257" TargetMode="External"/><Relationship Id="rId99" Type="http://schemas.openxmlformats.org/officeDocument/2006/relationships/hyperlink" Target="https://zakupki.gov.ru/epz/order/notice/ea20/view/common-info.html?regNumber=0873400003923000265" TargetMode="External"/><Relationship Id="rId101" Type="http://schemas.openxmlformats.org/officeDocument/2006/relationships/hyperlink" Target="https://zakupki.gov.ru/epz/order/notice/ea20/view/common-info.html?regNumber=0873400003923000270" TargetMode="External"/><Relationship Id="rId122" Type="http://schemas.openxmlformats.org/officeDocument/2006/relationships/hyperlink" Target="https://zakupki.gov.ru/epz/order/notice/ea20/view/common-info.html?regNumber=0873400003923000351" TargetMode="External"/><Relationship Id="rId143" Type="http://schemas.openxmlformats.org/officeDocument/2006/relationships/hyperlink" Target="https://zakupki.gov.ru/epz/order/notice/ea20/view/common-info.html?regNumber=0873400003923000406"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26" Type="http://schemas.openxmlformats.org/officeDocument/2006/relationships/hyperlink" Target="https://zakupki.gov.ru/epz/order/notice/ea44/view/common-info.html?regNumber=0873400003921000363" TargetMode="External"/><Relationship Id="rId47" Type="http://schemas.openxmlformats.org/officeDocument/2006/relationships/hyperlink" Target="https://zakupki.gov.ru/epz/order/notice/ea20/view/common-info.html?regNumber=0873400003923000185" TargetMode="External"/><Relationship Id="rId68" Type="http://schemas.openxmlformats.org/officeDocument/2006/relationships/hyperlink" Target="https://zakupki.gov.ru/epz/order/notice/ea20/view/common-info.html?regNumber=0873400003923000209" TargetMode="External"/><Relationship Id="rId89" Type="http://schemas.openxmlformats.org/officeDocument/2006/relationships/hyperlink" Target="https://zakupki.gov.ru/epz/order/notice/ea20/view/common-info.html?regNumber=0873400003923000244" TargetMode="External"/><Relationship Id="rId112" Type="http://schemas.openxmlformats.org/officeDocument/2006/relationships/hyperlink" Target="https://zakupki.gov.ru/epz/order/notice/ea20/view/common-info.html?regNumber=0873400003923000335" TargetMode="External"/><Relationship Id="rId133" Type="http://schemas.openxmlformats.org/officeDocument/2006/relationships/hyperlink" Target="https://zakupki.gov.ru/epz/order/notice/ea20/view/common-info.html?regNumber=0873400003923000371" TargetMode="External"/><Relationship Id="rId16" Type="http://schemas.openxmlformats.org/officeDocument/2006/relationships/hyperlink" Target="https://zakupki.gov.ru/epz/order/notice/ea44/view/supplier-results.html?regNumber=0873400003921000258" TargetMode="External"/><Relationship Id="rId37" Type="http://schemas.openxmlformats.org/officeDocument/2006/relationships/hyperlink" Target="https://zakupki.gov.ru/epz/order/notice/ea20/view/common-info.html?regNumber=0873400003923000168" TargetMode="External"/><Relationship Id="rId58" Type="http://schemas.openxmlformats.org/officeDocument/2006/relationships/hyperlink" Target="https://zakupki.gov.ru/epz/order/notice/ea20/view/common-info.html?regNumber=0873400003923000197" TargetMode="External"/><Relationship Id="rId79" Type="http://schemas.openxmlformats.org/officeDocument/2006/relationships/hyperlink" Target="https://zakupki.gov.ru/epz/order/notice/ea20/view/common-info.html?regNumber=0873400003923000225" TargetMode="External"/><Relationship Id="rId102" Type="http://schemas.openxmlformats.org/officeDocument/2006/relationships/hyperlink" Target="https://zakupki.gov.ru/epz/order/notice/ea20/view/common-info.html?regNumber=0873400003923000271" TargetMode="External"/><Relationship Id="rId123" Type="http://schemas.openxmlformats.org/officeDocument/2006/relationships/hyperlink" Target="https://zakupki.gov.ru/epz/order/notice/ea20/view/common-info.html?regNumber=0873400003923000352" TargetMode="External"/><Relationship Id="rId144" Type="http://schemas.openxmlformats.org/officeDocument/2006/relationships/hyperlink" Target="https://zakupki.gov.ru/epz/order/notice/ea20/view/common-info.html?regNumber=0873400003923000408"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117" Type="http://schemas.openxmlformats.org/officeDocument/2006/relationships/hyperlink" Target="https://zakupki.gov.ru/epz/order/notice/ea20/view/common-info.html?regNumber=0873400003923000395"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84" Type="http://schemas.openxmlformats.org/officeDocument/2006/relationships/hyperlink" Target="https://zakupki.gov.ru/epz/order/notice/ea20/view/common-info.html?regNumber=0873400003923000272" TargetMode="External"/><Relationship Id="rId89" Type="http://schemas.openxmlformats.org/officeDocument/2006/relationships/hyperlink" Target="https://zakupki.gov.ru/epz/order/notice/ea20/view/common-info.html?regNumber=0873400003923000288" TargetMode="External"/><Relationship Id="rId112" Type="http://schemas.openxmlformats.org/officeDocument/2006/relationships/hyperlink" Target="https://zakupki.gov.ru/epz/order/notice/ea20/view/common-info.html?regNumber=0873400003923000363"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123" Type="http://schemas.openxmlformats.org/officeDocument/2006/relationships/hyperlink" Target="https://zakupki.gov.ru/epz/order/notice/ea20/view/common-info.html?regNumber=0873400003923000419" TargetMode="External"/><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113" Type="http://schemas.openxmlformats.org/officeDocument/2006/relationships/hyperlink" Target="https://zakupki.gov.ru/epz/order/notice/ea20/view/common-info.html?regNumber=0873400003923000379" TargetMode="External"/><Relationship Id="rId118" Type="http://schemas.openxmlformats.org/officeDocument/2006/relationships/hyperlink" Target="https://zakupki.gov.ru/epz/order/notice/ea20/view/common-info.html?regNumber=0873400003923000398"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124" Type="http://schemas.openxmlformats.org/officeDocument/2006/relationships/printerSettings" Target="../printerSettings/printerSettings3.bin"/><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49" Type="http://schemas.openxmlformats.org/officeDocument/2006/relationships/hyperlink" Target="https://zakupki.gov.ru/epz/order/notice/ea20/view/common-info.html?regNumber=0873400003923000032" TargetMode="External"/><Relationship Id="rId114" Type="http://schemas.openxmlformats.org/officeDocument/2006/relationships/hyperlink" Target="https://zakupki.gov.ru/epz/order/notice/ea20/view/common-info.html?regNumber=0873400003923000381" TargetMode="External"/><Relationship Id="rId119" Type="http://schemas.openxmlformats.org/officeDocument/2006/relationships/hyperlink" Target="https://zakupki.gov.ru/epz/order/notice/ea20/view/common-info.html?regNumber=0873400003923000405" TargetMode="External"/><Relationship Id="rId44" Type="http://schemas.openxmlformats.org/officeDocument/2006/relationships/hyperlink" Target="https://zakupki.gov.ru/epz/order/notice/ea20/view/common-info.html?regNumber=0873400003923000027"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hyperlink" Target="https://zakupki.gov.ru/epz/order/notice/ea20/view/common-info.html?regNumber=0873400003923000357"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120" Type="http://schemas.openxmlformats.org/officeDocument/2006/relationships/hyperlink" Target="https://zakupki.gov.ru/epz/order/notice/ea20/view/common-info.html?regNumber=0873400003923000409"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110" Type="http://schemas.openxmlformats.org/officeDocument/2006/relationships/hyperlink" Target="https://zakupki.gov.ru/epz/order/notice/ea20/view/common-info.html?regNumber=0873400003923000360" TargetMode="External"/><Relationship Id="rId115" Type="http://schemas.openxmlformats.org/officeDocument/2006/relationships/hyperlink" Target="https://zakupki.gov.ru/epz/order/notice/ea20/view/common-info.html?regNumber=0873400003923000383"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121" Type="http://schemas.openxmlformats.org/officeDocument/2006/relationships/hyperlink" Target="https://zakupki.gov.ru/epz/order/notice/ea20/view/common-info.html?regNumber=0873400003923000415"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116" Type="http://schemas.openxmlformats.org/officeDocument/2006/relationships/hyperlink" Target="https://zakupki.gov.ru/epz/order/notice/ea20/view/common-info.html?regNumber=0873400003923000385"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111" Type="http://schemas.openxmlformats.org/officeDocument/2006/relationships/hyperlink" Target="https://zakupki.gov.ru/epz/order/notice/ea20/view/common-info.html?regNumber=0873400003923000361" TargetMode="External"/><Relationship Id="rId15" Type="http://schemas.openxmlformats.org/officeDocument/2006/relationships/hyperlink" Target="https://zakupki.gov.ru/epz/order/notice/ea20/view/common-info.html?regNumber=0873400003922000424" TargetMode="External"/><Relationship Id="rId36" Type="http://schemas.openxmlformats.org/officeDocument/2006/relationships/hyperlink" Target="https://zakupki.gov.ru/epz/order/notice/ea20/view/common-info.html?regNumber=0873400003923000015"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52" Type="http://schemas.openxmlformats.org/officeDocument/2006/relationships/hyperlink" Target="https://zakupki.gov.ru/epz/order/notice/ea20/view/common-info.html?regNumber=0873400003923000036"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122" Type="http://schemas.openxmlformats.org/officeDocument/2006/relationships/hyperlink" Target="https://zakupki.gov.ru/epz/order/notice/ea20/view/common-info.html?regNumber=0873400003923000418"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42" Type="http://schemas.openxmlformats.org/officeDocument/2006/relationships/hyperlink" Target="https://zakupki.gov.ru/epz/order/notice/ea20/view/common-info.html?regNumber=0873400003923000378" TargetMode="External"/><Relationship Id="rId47" Type="http://schemas.openxmlformats.org/officeDocument/2006/relationships/hyperlink" Target="https://zakupki.gov.ru/epz/order/notice/ea20/view/common-info.html?regNumber=0873400003923000410" TargetMode="External"/><Relationship Id="rId7" Type="http://schemas.openxmlformats.org/officeDocument/2006/relationships/hyperlink" Target="https://zakupki.gov.ru/epz/order/notice/ea20/view/common-info.html?regNumber=0873400003923000062"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hyperlink" Target="https://zakupki.gov.ru/epz/order/notice/ea20/view/common-info.html?regNumber=0873400003923000358" TargetMode="External"/><Relationship Id="rId45" Type="http://schemas.openxmlformats.org/officeDocument/2006/relationships/hyperlink" Target="https://zakupki.gov.ru/epz/order/notice/ea20/view/common-info.html?regNumber=0873400003923000396"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4" Type="http://schemas.openxmlformats.org/officeDocument/2006/relationships/hyperlink" Target="https://zakupki.gov.ru/epz/order/notice/ea20/view/common-info.html?regNumber=0873400003923000386"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43" Type="http://schemas.openxmlformats.org/officeDocument/2006/relationships/hyperlink" Target="https://zakupki.gov.ru/epz/order/notice/ea20/view/common-info.html?regNumber=0873400003923000384" TargetMode="External"/><Relationship Id="rId48" Type="http://schemas.openxmlformats.org/officeDocument/2006/relationships/printerSettings" Target="../printerSettings/printerSettings4.bin"/><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46" Type="http://schemas.openxmlformats.org/officeDocument/2006/relationships/hyperlink" Target="https://zakupki.gov.ru/epz/order/notice/ea20/view/common-info.html?regNumber=0873400003923000397" TargetMode="External"/><Relationship Id="rId20" Type="http://schemas.openxmlformats.org/officeDocument/2006/relationships/hyperlink" Target="https://zakupki.gov.ru/epz/order/notice/ea20/view/common-info.html?regNumber=0873400003923000106" TargetMode="External"/><Relationship Id="rId41" Type="http://schemas.openxmlformats.org/officeDocument/2006/relationships/hyperlink" Target="https://zakupki.gov.ru/epz/order/notice/ea20/view/common-info.html?regNumber=087340000392300037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34" Type="http://schemas.openxmlformats.org/officeDocument/2006/relationships/printerSettings" Target="../printerSettings/printerSettings5.bin"/><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33" Type="http://schemas.openxmlformats.org/officeDocument/2006/relationships/hyperlink" Target="https://zakupki.gov.ru/epz/order/notice/ea20/view/common-info.html?regNumber=0873400003923000320"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32" Type="http://schemas.openxmlformats.org/officeDocument/2006/relationships/hyperlink" Target="https://zakupki.gov.ru/epz/order/notice/ea20/view/common-info.html?regNumber=0873400003923000287"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 Id="rId8" Type="http://schemas.openxmlformats.org/officeDocument/2006/relationships/hyperlink" Target="https://zakupki.gov.ru/epz/contract/contractCard/common-info.html?reestrNumber=197051502022300004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91" Type="http://schemas.openxmlformats.org/officeDocument/2006/relationships/hyperlink" Target="https://zakupki.gov.ru/epz/order/notice/ea20/view/common-info.html?regNumber=0873400003923000321" TargetMode="External"/><Relationship Id="rId205" Type="http://schemas.openxmlformats.org/officeDocument/2006/relationships/hyperlink" Target="https://zakupki.gov.ru/epz/order/notice/ea20/view/common-info.html?regNumber=0873400003923000388"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16" Type="http://schemas.openxmlformats.org/officeDocument/2006/relationships/hyperlink" Target="https://zakupki.gov.ru/epz/order/notice/ea20/view/common-info.html?regNumber=0873400003923000412"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206" Type="http://schemas.openxmlformats.org/officeDocument/2006/relationships/hyperlink" Target="https://zakupki.gov.ru/epz/order/notice/ea20/view/common-info.html?regNumber=0873400003923000389"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217" Type="http://schemas.openxmlformats.org/officeDocument/2006/relationships/hyperlink" Target="https://zakupki.gov.ru/epz/order/notice/ea20/view/common-info.html?regNumber=0873400003923000413"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207" Type="http://schemas.openxmlformats.org/officeDocument/2006/relationships/hyperlink" Target="https://zakupki.gov.ru/epz/order/notice/ea20/view/common-info.html?regNumber=0873400003923000390"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18" Type="http://schemas.openxmlformats.org/officeDocument/2006/relationships/hyperlink" Target="https://zakupki.gov.ru/epz/order/notice/ea20/view/common-info.html?regNumber=0873400003923000414" TargetMode="External"/><Relationship Id="rId24" Type="http://schemas.openxmlformats.org/officeDocument/2006/relationships/hyperlink" Target="https://zakupki.gov.ru/epz/order/notice/ea20/view/common-info.html?regNumber=0873400003922000569"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31" Type="http://schemas.openxmlformats.org/officeDocument/2006/relationships/hyperlink" Target="https://zakupki.gov.ru/epz/order/notice/ea20/view/common-info.html?regNumber=0873400003922000679"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208" Type="http://schemas.openxmlformats.org/officeDocument/2006/relationships/hyperlink" Target="https://zakupki.gov.ru/epz/order/notice/ea20/view/common-info.html?regNumber=0873400003923000391" TargetMode="External"/><Relationship Id="rId14" Type="http://schemas.openxmlformats.org/officeDocument/2006/relationships/hyperlink" Target="https://zakupki.gov.ru/epz/order/notice/ea20/view/common-info.html?regNumber=0873400003922000557"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189" Type="http://schemas.openxmlformats.org/officeDocument/2006/relationships/hyperlink" Target="https://zakupki.gov.ru/epz/order/notice/ea20/view/common-info.html?regNumber=0873400003923000318" TargetMode="External"/><Relationship Id="rId219" Type="http://schemas.openxmlformats.org/officeDocument/2006/relationships/hyperlink" Target="https://zakupki.gov.ru/epz/order/notice/ea20/view/common-info.html?regNumber=0873400003923000416" TargetMode="External"/><Relationship Id="rId3" Type="http://schemas.openxmlformats.org/officeDocument/2006/relationships/hyperlink" Target="https://zakupki.gov.ru/epz/order/notice/ea20/view/common-info.html?regNumber=0873400003922000546" TargetMode="External"/><Relationship Id="rId214" Type="http://schemas.openxmlformats.org/officeDocument/2006/relationships/hyperlink" Target="https://zakupki.gov.ru/epz/order/notice/ea20/view/common-info.html?regNumber=0873400003923000407"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79" Type="http://schemas.openxmlformats.org/officeDocument/2006/relationships/hyperlink" Target="https://zakupki.gov.ru/epz/order/notice/ea20/view/common-info.html?regNumber=0873400003923000249" TargetMode="External"/><Relationship Id="rId195" Type="http://schemas.openxmlformats.org/officeDocument/2006/relationships/hyperlink" Target="https://zakupki.gov.ru/epz/order/notice/ea20/view/common-info.html?regNumber=0873400003923000326" TargetMode="External"/><Relationship Id="rId209" Type="http://schemas.openxmlformats.org/officeDocument/2006/relationships/hyperlink" Target="https://zakupki.gov.ru/epz/order/notice/ea20/view/common-info.html?regNumber=0873400003923000393" TargetMode="External"/><Relationship Id="rId190" Type="http://schemas.openxmlformats.org/officeDocument/2006/relationships/hyperlink" Target="https://zakupki.gov.ru/epz/order/notice/ea20/view/common-info.html?regNumber=0873400003923000319" TargetMode="External"/><Relationship Id="rId204" Type="http://schemas.openxmlformats.org/officeDocument/2006/relationships/hyperlink" Target="https://zakupki.gov.ru/epz/order/notice/ea20/view/common-info.html?regNumber=0873400003923000387" TargetMode="External"/><Relationship Id="rId220" Type="http://schemas.openxmlformats.org/officeDocument/2006/relationships/hyperlink" Target="https://zakupki.gov.ru/epz/order/notice/ea20/view/common-info.html?regNumber=0873400003923000417"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169" Type="http://schemas.openxmlformats.org/officeDocument/2006/relationships/hyperlink" Target="https://zakupki.gov.ru/epz/order/notice/ea20/view/common-info.html?regNumber=0873400003923000178" TargetMode="External"/><Relationship Id="rId185" Type="http://schemas.openxmlformats.org/officeDocument/2006/relationships/hyperlink" Target="https://zakupki.gov.ru/epz/order/notice/ea20/view/common-info.html?regNumber=0873400003923000273"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180" Type="http://schemas.openxmlformats.org/officeDocument/2006/relationships/hyperlink" Target="https://zakupki.gov.ru/epz/order/notice/ea20/view/common-info.html?regNumber=0873400003923000250" TargetMode="External"/><Relationship Id="rId210" Type="http://schemas.openxmlformats.org/officeDocument/2006/relationships/hyperlink" Target="https://zakupki.gov.ru/epz/order/notice/ea20/view/common-info.html?regNumber=0873400003923000399" TargetMode="External"/><Relationship Id="rId215" Type="http://schemas.openxmlformats.org/officeDocument/2006/relationships/hyperlink" Target="https://zakupki.gov.ru/epz/order/notice/ea20/view/common-info.html?regNumber=0873400003923000411"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221" Type="http://schemas.openxmlformats.org/officeDocument/2006/relationships/printerSettings" Target="../printerSettings/printerSettings6.bin"/><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11" Type="http://schemas.openxmlformats.org/officeDocument/2006/relationships/hyperlink" Target="https://zakupki.gov.ru/epz/order/notice/ea20/view/common-info.html?regNumber=0873400003923000400"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hyperlink" Target="https://zakupki.gov.ru/epz/order/notice/ea20/view/common-info.html?regNumber=0873400003923000364"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12" Type="http://schemas.openxmlformats.org/officeDocument/2006/relationships/hyperlink" Target="https://zakupki.gov.ru/epz/order/notice/ea20/view/common-info.html?regNumber=0873400003923000401"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202" Type="http://schemas.openxmlformats.org/officeDocument/2006/relationships/hyperlink" Target="https://zakupki.gov.ru/epz/order/notice/ea20/view/common-info.html?regNumber=0873400003923000365"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13" Type="http://schemas.openxmlformats.org/officeDocument/2006/relationships/hyperlink" Target="https://zakupki.gov.ru/epz/order/notice/ea20/view/common-info.html?regNumber=0873400003923000402"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40" Type="http://schemas.openxmlformats.org/officeDocument/2006/relationships/hyperlink" Target="https://zakupki.gov.ru/epz/order/notice/ea20/view/common-info.html?regNumber=0873400003922000586" TargetMode="External"/><Relationship Id="rId115" Type="http://schemas.openxmlformats.org/officeDocument/2006/relationships/hyperlink" Target="https://zakupki.gov.ru/epz/order/notice/ea20/view/common-info.html?regNumber=0873400003922000658"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9" Type="http://schemas.openxmlformats.org/officeDocument/2006/relationships/hyperlink" Target="https://zakupki.gov.ru/epz/order/notice/ea20/view/common-info.html?regNumber=0873400003923000345" TargetMode="External"/><Relationship Id="rId203" Type="http://schemas.openxmlformats.org/officeDocument/2006/relationships/hyperlink" Target="https://zakupki.gov.ru/epz/order/notice/ea20/view/common-info.html?regNumber=0873400003923000382" TargetMode="External"/><Relationship Id="rId19" Type="http://schemas.openxmlformats.org/officeDocument/2006/relationships/hyperlink" Target="https://zakupki.gov.ru/epz/order/notice/ea20/view/common-info.html?regNumber=0873400003922000561" TargetMode="External"/><Relationship Id="rId30" Type="http://schemas.openxmlformats.org/officeDocument/2006/relationships/hyperlink" Target="https://zakupki.gov.ru/epz/order/notice/ea20/view/common-info.html?regNumber=0873400003922000574"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CDBB4-7D48-4EE4-9DE8-10ABF2890929}">
  <dimension ref="A1:BD845"/>
  <sheetViews>
    <sheetView tabSelected="1" zoomScale="70" zoomScaleNormal="70" workbookViewId="0">
      <pane xSplit="1" ySplit="2" topLeftCell="B162" activePane="bottomRight" state="frozen"/>
      <selection pane="topRight" activeCell="D1" sqref="D1"/>
      <selection pane="bottomLeft" activeCell="A3" sqref="A3"/>
      <selection pane="bottomRight" activeCell="A163" sqref="A163"/>
    </sheetView>
  </sheetViews>
  <sheetFormatPr defaultColWidth="9.109375" defaultRowHeight="15.6" x14ac:dyDescent="0.3"/>
  <cols>
    <col min="1" max="1" width="24.6640625" style="19" customWidth="1"/>
    <col min="2" max="2" width="14.44140625" style="71" customWidth="1"/>
    <col min="3" max="3" width="17.109375" style="19" customWidth="1"/>
    <col min="4" max="4" width="24.44140625" style="88" customWidth="1"/>
    <col min="5" max="5" width="22.5546875" style="65" customWidth="1"/>
    <col min="6" max="6" width="13" style="71" customWidth="1"/>
    <col min="7" max="7" width="30.88671875" style="19" customWidth="1"/>
    <col min="8" max="8" width="20.33203125" style="65" customWidth="1"/>
    <col min="9" max="9" width="30.88671875" style="65" customWidth="1"/>
    <col min="10" max="10" width="20.6640625" style="19" customWidth="1"/>
    <col min="11" max="11" width="21.44140625" style="19" customWidth="1"/>
    <col min="12" max="12" width="22" style="62" customWidth="1"/>
    <col min="13" max="13" width="23.33203125" style="19" customWidth="1"/>
    <col min="14" max="14" width="24.44140625" style="65" customWidth="1"/>
    <col min="15" max="15" width="35" style="65" customWidth="1"/>
    <col min="16" max="16" width="14.109375" style="65" customWidth="1"/>
    <col min="17" max="17" width="16.6640625" style="19" customWidth="1"/>
    <col min="18" max="18" width="15.6640625" style="19" customWidth="1"/>
    <col min="19" max="19" width="12.6640625" style="19" customWidth="1"/>
    <col min="20" max="20" width="15.33203125" style="66" customWidth="1"/>
    <col min="21" max="21" width="14.44140625" style="19" customWidth="1"/>
    <col min="22" max="22" width="15.33203125" style="71" customWidth="1"/>
    <col min="23" max="23" width="22.6640625" style="19" customWidth="1"/>
    <col min="24" max="24" width="15.33203125" style="19" customWidth="1"/>
    <col min="25" max="25" width="16.5546875" style="19" customWidth="1"/>
    <col min="26" max="26" width="23.6640625" style="19" customWidth="1"/>
    <col min="27" max="27" width="17.5546875" style="19" customWidth="1"/>
    <col min="28" max="28" width="24.6640625" style="19" customWidth="1"/>
    <col min="29" max="29" width="15.33203125" style="19" customWidth="1"/>
    <col min="30" max="30" width="14" style="19" customWidth="1"/>
    <col min="31" max="31" width="23.6640625" style="19" customWidth="1"/>
    <col min="32" max="32" width="17.5546875" style="19" customWidth="1"/>
    <col min="33" max="33" width="27.88671875" style="19" customWidth="1"/>
    <col min="34" max="34" width="15.33203125" style="62" customWidth="1"/>
    <col min="35" max="35" width="14" style="62" customWidth="1"/>
    <col min="36" max="36" width="23.6640625" style="62" customWidth="1"/>
    <col min="37" max="37" width="17.5546875" style="62" customWidth="1"/>
    <col min="38" max="38" width="24.6640625" style="62" customWidth="1"/>
    <col min="39" max="39" width="28.33203125" style="62" customWidth="1"/>
    <col min="40" max="40" width="24.5546875" style="62" customWidth="1"/>
    <col min="41" max="41" width="21" style="62" customWidth="1"/>
    <col min="42" max="42" width="30.88671875" style="65" customWidth="1"/>
    <col min="43" max="43" width="16.109375" style="71" customWidth="1"/>
    <col min="44" max="44" width="15.109375" style="71" customWidth="1"/>
    <col min="45" max="45" width="13.33203125" style="71" customWidth="1"/>
    <col min="46" max="46" width="13" style="71" customWidth="1"/>
    <col min="47" max="47" width="14.6640625" style="71" customWidth="1"/>
    <col min="48" max="48" width="12.88671875" style="89" customWidth="1"/>
    <col min="49" max="49" width="16.6640625" style="65" customWidth="1"/>
    <col min="50" max="16384" width="9.109375" style="19"/>
  </cols>
  <sheetData>
    <row r="1" spans="1:49"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row>
    <row r="2" spans="1:49" ht="40.950000000000003" customHeight="1" x14ac:dyDescent="0.3">
      <c r="A2" s="20"/>
      <c r="B2" s="21"/>
      <c r="C2" s="24"/>
      <c r="D2" s="25"/>
      <c r="E2" s="23"/>
      <c r="F2" s="22"/>
      <c r="G2" s="23"/>
      <c r="H2" s="23"/>
      <c r="I2" s="26"/>
      <c r="J2" s="27"/>
      <c r="K2" s="26"/>
      <c r="L2" s="26"/>
      <c r="M2" s="26"/>
      <c r="N2" s="28"/>
      <c r="O2" s="28"/>
      <c r="P2" s="28"/>
      <c r="Q2" s="26"/>
      <c r="R2" s="26"/>
      <c r="S2" s="27"/>
      <c r="T2" s="29"/>
      <c r="U2" s="27"/>
      <c r="V2" s="21"/>
      <c r="W2" s="30" t="s">
        <v>27</v>
      </c>
      <c r="X2" s="30" t="s">
        <v>28</v>
      </c>
      <c r="Y2" s="30" t="s">
        <v>29</v>
      </c>
      <c r="Z2" s="30" t="s">
        <v>30</v>
      </c>
      <c r="AA2" s="30" t="s">
        <v>31</v>
      </c>
      <c r="AB2" s="30" t="s">
        <v>32</v>
      </c>
      <c r="AC2" s="30" t="s">
        <v>33</v>
      </c>
      <c r="AD2" s="30" t="s">
        <v>29</v>
      </c>
      <c r="AE2" s="30" t="s">
        <v>30</v>
      </c>
      <c r="AF2" s="30" t="s">
        <v>31</v>
      </c>
      <c r="AG2" s="30" t="s">
        <v>32</v>
      </c>
      <c r="AH2" s="30" t="s">
        <v>34</v>
      </c>
      <c r="AI2" s="30" t="s">
        <v>29</v>
      </c>
      <c r="AJ2" s="30" t="s">
        <v>30</v>
      </c>
      <c r="AK2" s="30" t="s">
        <v>31</v>
      </c>
      <c r="AL2" s="30" t="s">
        <v>32</v>
      </c>
      <c r="AM2" s="30" t="s">
        <v>35</v>
      </c>
      <c r="AN2" s="30" t="s">
        <v>36</v>
      </c>
      <c r="AO2" s="30" t="s">
        <v>37</v>
      </c>
      <c r="AP2" s="31"/>
      <c r="AQ2" s="32" t="s">
        <v>28</v>
      </c>
      <c r="AR2" s="32" t="s">
        <v>33</v>
      </c>
      <c r="AS2" s="32" t="s">
        <v>34</v>
      </c>
      <c r="AT2" s="32" t="s">
        <v>28</v>
      </c>
      <c r="AU2" s="32" t="s">
        <v>33</v>
      </c>
      <c r="AV2" s="32" t="s">
        <v>34</v>
      </c>
      <c r="AW2" s="28"/>
    </row>
    <row r="3" spans="1:49" ht="81.599999999999994" customHeight="1" x14ac:dyDescent="0.3">
      <c r="A3" s="35" t="s">
        <v>38</v>
      </c>
      <c r="B3" s="36" t="s">
        <v>39</v>
      </c>
      <c r="C3" s="37">
        <v>1688</v>
      </c>
      <c r="D3" s="39" t="s">
        <v>40</v>
      </c>
      <c r="E3" s="1" t="s">
        <v>41</v>
      </c>
      <c r="F3" s="36">
        <v>44757</v>
      </c>
      <c r="G3" s="37" t="s">
        <v>42</v>
      </c>
      <c r="H3" s="40" t="s">
        <v>43</v>
      </c>
      <c r="I3" s="40" t="s">
        <v>44</v>
      </c>
      <c r="J3" s="41">
        <v>2549772778.5599999</v>
      </c>
      <c r="K3" s="41">
        <v>1274886389.28</v>
      </c>
      <c r="L3" s="30">
        <f t="shared" ref="L3:M23" si="0">K3</f>
        <v>1274886389.28</v>
      </c>
      <c r="M3" s="30">
        <v>2549772778.5599999</v>
      </c>
      <c r="N3" s="40" t="s">
        <v>45</v>
      </c>
      <c r="O3" s="40" t="s">
        <v>46</v>
      </c>
      <c r="P3" s="40" t="s">
        <v>47</v>
      </c>
      <c r="Q3" s="44">
        <v>100</v>
      </c>
      <c r="R3" s="37">
        <v>0</v>
      </c>
      <c r="S3" s="37" t="s">
        <v>48</v>
      </c>
      <c r="T3" s="45">
        <v>10</v>
      </c>
      <c r="U3" s="46">
        <f>M3/W3</f>
        <v>162.12</v>
      </c>
      <c r="V3" s="47">
        <f t="shared" ref="V3:V23" si="1">U3*T3</f>
        <v>1621.2</v>
      </c>
      <c r="W3" s="41">
        <f t="shared" ref="W3:W23" si="2">X3+AC3+AH3</f>
        <v>15727688</v>
      </c>
      <c r="X3" s="41">
        <v>7863844</v>
      </c>
      <c r="Y3" s="41"/>
      <c r="Z3" s="41"/>
      <c r="AA3" s="41"/>
      <c r="AB3" s="41"/>
      <c r="AC3" s="41">
        <v>7863844</v>
      </c>
      <c r="AD3" s="41"/>
      <c r="AE3" s="41"/>
      <c r="AF3" s="41"/>
      <c r="AG3" s="41"/>
      <c r="AH3" s="41"/>
      <c r="AI3" s="41"/>
      <c r="AJ3" s="41"/>
      <c r="AK3" s="41"/>
      <c r="AL3" s="41"/>
      <c r="AM3" s="41">
        <f t="shared" ref="AM3:AM41" si="3">Z3+AE3+AJ3</f>
        <v>0</v>
      </c>
      <c r="AN3" s="41">
        <f t="shared" ref="AN3:AN23" si="4">W3/T3</f>
        <v>1572768.8</v>
      </c>
      <c r="AO3" s="41">
        <f t="shared" ref="AO3:AO23" si="5">_xlfn.CEILING.MATH(AN3)</f>
        <v>1572769</v>
      </c>
      <c r="AP3" s="40"/>
      <c r="AQ3" s="36">
        <v>44834</v>
      </c>
      <c r="AR3" s="36">
        <v>45199</v>
      </c>
      <c r="AS3" s="36"/>
      <c r="AT3" s="36">
        <v>44864</v>
      </c>
      <c r="AU3" s="36">
        <v>44865</v>
      </c>
      <c r="AV3" s="38"/>
      <c r="AW3" s="40" t="s">
        <v>49</v>
      </c>
    </row>
    <row r="4" spans="1:49" ht="81.599999999999994" customHeight="1" x14ac:dyDescent="0.3">
      <c r="A4" s="35" t="s">
        <v>38</v>
      </c>
      <c r="B4" s="36" t="s">
        <v>39</v>
      </c>
      <c r="C4" s="37">
        <v>1688</v>
      </c>
      <c r="D4" s="39" t="s">
        <v>50</v>
      </c>
      <c r="E4" s="1" t="s">
        <v>51</v>
      </c>
      <c r="F4" s="36">
        <v>44757</v>
      </c>
      <c r="G4" s="37" t="s">
        <v>52</v>
      </c>
      <c r="H4" s="40" t="s">
        <v>43</v>
      </c>
      <c r="I4" s="40" t="s">
        <v>53</v>
      </c>
      <c r="J4" s="41">
        <v>1747872720</v>
      </c>
      <c r="K4" s="41">
        <v>873936360</v>
      </c>
      <c r="L4" s="30">
        <f t="shared" si="0"/>
        <v>873936360</v>
      </c>
      <c r="M4" s="30">
        <v>1747872720</v>
      </c>
      <c r="N4" s="40" t="s">
        <v>54</v>
      </c>
      <c r="O4" s="40" t="s">
        <v>55</v>
      </c>
      <c r="P4" s="40" t="s">
        <v>47</v>
      </c>
      <c r="Q4" s="44">
        <v>100</v>
      </c>
      <c r="R4" s="37">
        <v>0</v>
      </c>
      <c r="S4" s="37" t="s">
        <v>48</v>
      </c>
      <c r="T4" s="45">
        <v>10</v>
      </c>
      <c r="U4" s="46">
        <f>M4/W4</f>
        <v>330</v>
      </c>
      <c r="V4" s="47">
        <f t="shared" si="1"/>
        <v>3300</v>
      </c>
      <c r="W4" s="41">
        <f t="shared" si="2"/>
        <v>5296584</v>
      </c>
      <c r="X4" s="41">
        <v>2648292</v>
      </c>
      <c r="Y4" s="41"/>
      <c r="Z4" s="41"/>
      <c r="AA4" s="41"/>
      <c r="AB4" s="41"/>
      <c r="AC4" s="41">
        <v>2648292</v>
      </c>
      <c r="AD4" s="41"/>
      <c r="AE4" s="41"/>
      <c r="AF4" s="41"/>
      <c r="AG4" s="41"/>
      <c r="AH4" s="41"/>
      <c r="AI4" s="41"/>
      <c r="AJ4" s="41"/>
      <c r="AK4" s="41"/>
      <c r="AL4" s="41"/>
      <c r="AM4" s="41">
        <f t="shared" si="3"/>
        <v>0</v>
      </c>
      <c r="AN4" s="41">
        <f t="shared" si="4"/>
        <v>529658.4</v>
      </c>
      <c r="AO4" s="41">
        <f t="shared" si="5"/>
        <v>529659</v>
      </c>
      <c r="AP4" s="31"/>
      <c r="AQ4" s="36">
        <v>44805</v>
      </c>
      <c r="AR4" s="36">
        <v>45170</v>
      </c>
      <c r="AS4" s="36"/>
      <c r="AT4" s="36">
        <v>44834</v>
      </c>
      <c r="AU4" s="36">
        <v>45199</v>
      </c>
      <c r="AV4" s="38"/>
      <c r="AW4" s="40" t="s">
        <v>49</v>
      </c>
    </row>
    <row r="5" spans="1:49" ht="81.599999999999994" customHeight="1" x14ac:dyDescent="0.3">
      <c r="A5" s="35" t="s">
        <v>38</v>
      </c>
      <c r="B5" s="36" t="s">
        <v>39</v>
      </c>
      <c r="C5" s="37">
        <v>1688</v>
      </c>
      <c r="D5" s="39" t="s">
        <v>56</v>
      </c>
      <c r="E5" s="1" t="s">
        <v>57</v>
      </c>
      <c r="F5" s="36">
        <v>44757</v>
      </c>
      <c r="G5" s="37" t="s">
        <v>58</v>
      </c>
      <c r="H5" s="40" t="s">
        <v>43</v>
      </c>
      <c r="I5" s="40" t="s">
        <v>59</v>
      </c>
      <c r="J5" s="41">
        <v>6543886800</v>
      </c>
      <c r="K5" s="41">
        <v>3271943400</v>
      </c>
      <c r="L5" s="30">
        <f t="shared" si="0"/>
        <v>3271943400</v>
      </c>
      <c r="M5" s="30">
        <v>6543886800</v>
      </c>
      <c r="N5" s="40" t="s">
        <v>54</v>
      </c>
      <c r="O5" s="40" t="s">
        <v>55</v>
      </c>
      <c r="P5" s="40" t="s">
        <v>47</v>
      </c>
      <c r="Q5" s="44">
        <v>100</v>
      </c>
      <c r="R5" s="37">
        <v>0</v>
      </c>
      <c r="S5" s="37" t="s">
        <v>48</v>
      </c>
      <c r="T5" s="45">
        <v>10</v>
      </c>
      <c r="U5" s="46">
        <f>M5/W5</f>
        <v>330</v>
      </c>
      <c r="V5" s="47">
        <f t="shared" si="1"/>
        <v>3300</v>
      </c>
      <c r="W5" s="41">
        <f t="shared" si="2"/>
        <v>19829960</v>
      </c>
      <c r="X5" s="41">
        <v>6900370</v>
      </c>
      <c r="Y5" s="41"/>
      <c r="Z5" s="41"/>
      <c r="AA5" s="41"/>
      <c r="AB5" s="41"/>
      <c r="AC5" s="41">
        <v>3014610</v>
      </c>
      <c r="AD5" s="41"/>
      <c r="AE5" s="41"/>
      <c r="AF5" s="41"/>
      <c r="AG5" s="41"/>
      <c r="AH5" s="41">
        <f>7400000+2514980</f>
        <v>9914980</v>
      </c>
      <c r="AI5" s="41"/>
      <c r="AJ5" s="41"/>
      <c r="AK5" s="41"/>
      <c r="AL5" s="41"/>
      <c r="AM5" s="41">
        <f t="shared" si="3"/>
        <v>0</v>
      </c>
      <c r="AN5" s="41">
        <f t="shared" si="4"/>
        <v>1982996</v>
      </c>
      <c r="AO5" s="41">
        <f t="shared" si="5"/>
        <v>1982996</v>
      </c>
      <c r="AP5" s="31"/>
      <c r="AQ5" s="36">
        <v>44805</v>
      </c>
      <c r="AR5" s="36">
        <v>44895</v>
      </c>
      <c r="AS5" s="38" t="s">
        <v>60</v>
      </c>
      <c r="AT5" s="36">
        <v>44834</v>
      </c>
      <c r="AU5" s="36">
        <v>44915</v>
      </c>
      <c r="AV5" s="38" t="s">
        <v>61</v>
      </c>
      <c r="AW5" s="40" t="s">
        <v>49</v>
      </c>
    </row>
    <row r="6" spans="1:49" ht="81.599999999999994" customHeight="1" x14ac:dyDescent="0.3">
      <c r="A6" s="35" t="s">
        <v>38</v>
      </c>
      <c r="B6" s="36" t="s">
        <v>39</v>
      </c>
      <c r="C6" s="37">
        <v>1688</v>
      </c>
      <c r="D6" s="39" t="s">
        <v>62</v>
      </c>
      <c r="E6" s="1" t="s">
        <v>63</v>
      </c>
      <c r="F6" s="36">
        <v>44757</v>
      </c>
      <c r="G6" s="37" t="s">
        <v>64</v>
      </c>
      <c r="H6" s="40" t="s">
        <v>43</v>
      </c>
      <c r="I6" s="40" t="s">
        <v>65</v>
      </c>
      <c r="J6" s="41">
        <v>15781251375.120001</v>
      </c>
      <c r="K6" s="41">
        <v>7890625687.5600004</v>
      </c>
      <c r="L6" s="30">
        <f t="shared" si="0"/>
        <v>7890625687.5600004</v>
      </c>
      <c r="M6" s="30">
        <v>15781251375.120001</v>
      </c>
      <c r="N6" s="40" t="s">
        <v>66</v>
      </c>
      <c r="O6" s="40" t="s">
        <v>67</v>
      </c>
      <c r="P6" s="40" t="s">
        <v>47</v>
      </c>
      <c r="Q6" s="44">
        <v>100</v>
      </c>
      <c r="R6" s="37">
        <v>0</v>
      </c>
      <c r="S6" s="37" t="s">
        <v>48</v>
      </c>
      <c r="T6" s="45">
        <v>10</v>
      </c>
      <c r="U6" s="46">
        <f>M6/W6</f>
        <v>162.12</v>
      </c>
      <c r="V6" s="47">
        <f t="shared" si="1"/>
        <v>1621.2</v>
      </c>
      <c r="W6" s="41">
        <f t="shared" si="2"/>
        <v>97343026</v>
      </c>
      <c r="X6" s="41">
        <v>20700000</v>
      </c>
      <c r="Y6" s="41"/>
      <c r="Z6" s="41"/>
      <c r="AA6" s="41"/>
      <c r="AB6" s="41"/>
      <c r="AC6" s="41">
        <v>27971513</v>
      </c>
      <c r="AD6" s="41"/>
      <c r="AE6" s="41"/>
      <c r="AF6" s="41"/>
      <c r="AG6" s="41"/>
      <c r="AH6" s="41">
        <f>20700000+27971513</f>
        <v>48671513</v>
      </c>
      <c r="AI6" s="41"/>
      <c r="AJ6" s="41"/>
      <c r="AK6" s="41"/>
      <c r="AL6" s="41"/>
      <c r="AM6" s="41">
        <f t="shared" si="3"/>
        <v>0</v>
      </c>
      <c r="AN6" s="41">
        <f t="shared" si="4"/>
        <v>9734302.5999999996</v>
      </c>
      <c r="AO6" s="41">
        <f t="shared" si="5"/>
        <v>9734303</v>
      </c>
      <c r="AP6" s="31"/>
      <c r="AQ6" s="36">
        <v>44805</v>
      </c>
      <c r="AR6" s="36">
        <v>44895</v>
      </c>
      <c r="AS6" s="38" t="s">
        <v>60</v>
      </c>
      <c r="AT6" s="36">
        <v>44834</v>
      </c>
      <c r="AU6" s="36">
        <v>44915</v>
      </c>
      <c r="AV6" s="38" t="s">
        <v>61</v>
      </c>
      <c r="AW6" s="40" t="s">
        <v>68</v>
      </c>
    </row>
    <row r="7" spans="1:49" ht="109.2" x14ac:dyDescent="0.3">
      <c r="A7" s="35" t="s">
        <v>38</v>
      </c>
      <c r="B7" s="36" t="s">
        <v>39</v>
      </c>
      <c r="C7" s="37">
        <v>1688</v>
      </c>
      <c r="D7" s="39" t="s">
        <v>69</v>
      </c>
      <c r="E7" s="1" t="s">
        <v>70</v>
      </c>
      <c r="F7" s="36">
        <v>44949</v>
      </c>
      <c r="G7" s="37" t="s">
        <v>71</v>
      </c>
      <c r="H7" s="40" t="s">
        <v>43</v>
      </c>
      <c r="I7" s="40" t="s">
        <v>72</v>
      </c>
      <c r="J7" s="41">
        <v>1173777.75</v>
      </c>
      <c r="K7" s="41">
        <v>1173777.75</v>
      </c>
      <c r="L7" s="30">
        <f t="shared" si="0"/>
        <v>1173777.75</v>
      </c>
      <c r="M7" s="30">
        <f t="shared" si="0"/>
        <v>1173777.75</v>
      </c>
      <c r="N7" s="40" t="s">
        <v>73</v>
      </c>
      <c r="O7" s="40" t="s">
        <v>74</v>
      </c>
      <c r="P7" s="40" t="s">
        <v>47</v>
      </c>
      <c r="Q7" s="44">
        <v>100</v>
      </c>
      <c r="R7" s="37">
        <v>0</v>
      </c>
      <c r="S7" s="37" t="s">
        <v>48</v>
      </c>
      <c r="T7" s="48">
        <v>20</v>
      </c>
      <c r="U7" s="30">
        <f>M7/W7</f>
        <v>9.01</v>
      </c>
      <c r="V7" s="41">
        <f t="shared" si="1"/>
        <v>180.2</v>
      </c>
      <c r="W7" s="41">
        <f t="shared" si="2"/>
        <v>130275</v>
      </c>
      <c r="X7" s="41">
        <v>52780</v>
      </c>
      <c r="Y7" s="41"/>
      <c r="Z7" s="41"/>
      <c r="AA7" s="41"/>
      <c r="AB7" s="41"/>
      <c r="AC7" s="41">
        <v>77495</v>
      </c>
      <c r="AD7" s="41"/>
      <c r="AE7" s="41"/>
      <c r="AF7" s="41"/>
      <c r="AG7" s="41"/>
      <c r="AH7" s="41"/>
      <c r="AI7" s="41"/>
      <c r="AJ7" s="41"/>
      <c r="AK7" s="41"/>
      <c r="AL7" s="41"/>
      <c r="AM7" s="41">
        <f t="shared" si="3"/>
        <v>0</v>
      </c>
      <c r="AN7" s="41">
        <f t="shared" si="4"/>
        <v>6513.75</v>
      </c>
      <c r="AO7" s="41">
        <f t="shared" si="5"/>
        <v>6514</v>
      </c>
      <c r="AP7" s="40"/>
      <c r="AQ7" s="36">
        <v>44986</v>
      </c>
      <c r="AR7" s="36">
        <v>45194</v>
      </c>
      <c r="AS7" s="36"/>
      <c r="AT7" s="36">
        <v>45000</v>
      </c>
      <c r="AU7" s="36">
        <v>45209</v>
      </c>
      <c r="AV7" s="38"/>
      <c r="AW7" s="40" t="s">
        <v>75</v>
      </c>
    </row>
    <row r="8" spans="1:49" ht="140.4" x14ac:dyDescent="0.3">
      <c r="A8" s="35" t="s">
        <v>38</v>
      </c>
      <c r="B8" s="36" t="s">
        <v>39</v>
      </c>
      <c r="C8" s="37">
        <v>1688</v>
      </c>
      <c r="D8" s="39" t="s">
        <v>76</v>
      </c>
      <c r="E8" s="1" t="s">
        <v>77</v>
      </c>
      <c r="F8" s="36">
        <v>44949</v>
      </c>
      <c r="G8" s="37" t="s">
        <v>78</v>
      </c>
      <c r="H8" s="40" t="s">
        <v>43</v>
      </c>
      <c r="I8" s="40" t="s">
        <v>79</v>
      </c>
      <c r="J8" s="41">
        <v>59280486.299999997</v>
      </c>
      <c r="K8" s="41">
        <v>59280486.299999997</v>
      </c>
      <c r="L8" s="30">
        <f t="shared" si="0"/>
        <v>59280486.299999997</v>
      </c>
      <c r="M8" s="30">
        <f t="shared" si="0"/>
        <v>59280486.299999997</v>
      </c>
      <c r="N8" s="40" t="s">
        <v>80</v>
      </c>
      <c r="O8" s="40" t="s">
        <v>81</v>
      </c>
      <c r="P8" s="40" t="s">
        <v>47</v>
      </c>
      <c r="Q8" s="44">
        <v>100</v>
      </c>
      <c r="R8" s="37">
        <v>0</v>
      </c>
      <c r="S8" s="37" t="s">
        <v>48</v>
      </c>
      <c r="T8" s="48">
        <v>20</v>
      </c>
      <c r="U8" s="30">
        <f>M8/W8</f>
        <v>4.3499999999999996</v>
      </c>
      <c r="V8" s="41">
        <f t="shared" si="1"/>
        <v>87</v>
      </c>
      <c r="W8" s="41">
        <f t="shared" si="2"/>
        <v>13627698</v>
      </c>
      <c r="X8" s="41">
        <v>3275140</v>
      </c>
      <c r="Y8" s="41"/>
      <c r="Z8" s="41"/>
      <c r="AA8" s="41"/>
      <c r="AB8" s="41"/>
      <c r="AC8" s="41">
        <v>4901480</v>
      </c>
      <c r="AD8" s="41"/>
      <c r="AE8" s="41"/>
      <c r="AF8" s="41"/>
      <c r="AG8" s="41"/>
      <c r="AH8" s="41">
        <v>5451078</v>
      </c>
      <c r="AI8" s="41"/>
      <c r="AJ8" s="41"/>
      <c r="AK8" s="41"/>
      <c r="AL8" s="41"/>
      <c r="AM8" s="41">
        <f t="shared" si="3"/>
        <v>0</v>
      </c>
      <c r="AN8" s="41">
        <f t="shared" si="4"/>
        <v>681384.9</v>
      </c>
      <c r="AO8" s="41">
        <f t="shared" si="5"/>
        <v>681385</v>
      </c>
      <c r="AP8" s="40"/>
      <c r="AQ8" s="36">
        <v>44986</v>
      </c>
      <c r="AR8" s="36">
        <v>45071</v>
      </c>
      <c r="AS8" s="36">
        <v>45194</v>
      </c>
      <c r="AT8" s="36">
        <v>45000</v>
      </c>
      <c r="AU8" s="36">
        <v>45087</v>
      </c>
      <c r="AV8" s="38">
        <v>45209</v>
      </c>
      <c r="AW8" s="40" t="s">
        <v>68</v>
      </c>
    </row>
    <row r="9" spans="1:49" ht="97.5" customHeight="1" x14ac:dyDescent="0.3">
      <c r="A9" s="35" t="s">
        <v>38</v>
      </c>
      <c r="B9" s="36" t="s">
        <v>39</v>
      </c>
      <c r="C9" s="37">
        <v>1688</v>
      </c>
      <c r="D9" s="39" t="s">
        <v>82</v>
      </c>
      <c r="E9" s="1" t="s">
        <v>83</v>
      </c>
      <c r="F9" s="36">
        <v>44949</v>
      </c>
      <c r="G9" s="37" t="s">
        <v>84</v>
      </c>
      <c r="H9" s="40" t="s">
        <v>43</v>
      </c>
      <c r="I9" s="40" t="s">
        <v>85</v>
      </c>
      <c r="J9" s="41">
        <v>156700.44</v>
      </c>
      <c r="K9" s="41">
        <v>156700.44</v>
      </c>
      <c r="L9" s="30">
        <f t="shared" si="0"/>
        <v>156700.44</v>
      </c>
      <c r="M9" s="30">
        <f t="shared" si="0"/>
        <v>156700.44</v>
      </c>
      <c r="N9" s="40" t="s">
        <v>86</v>
      </c>
      <c r="O9" s="40" t="s">
        <v>81</v>
      </c>
      <c r="P9" s="40" t="s">
        <v>47</v>
      </c>
      <c r="Q9" s="44">
        <v>100</v>
      </c>
      <c r="R9" s="37">
        <v>0</v>
      </c>
      <c r="S9" s="37" t="s">
        <v>48</v>
      </c>
      <c r="T9" s="48">
        <v>20</v>
      </c>
      <c r="U9" s="30">
        <f>M9/W9</f>
        <v>3.5100000000000002</v>
      </c>
      <c r="V9" s="41">
        <f t="shared" si="1"/>
        <v>70.2</v>
      </c>
      <c r="W9" s="41">
        <f t="shared" si="2"/>
        <v>44644</v>
      </c>
      <c r="X9" s="41">
        <v>11680</v>
      </c>
      <c r="Y9" s="41"/>
      <c r="Z9" s="41"/>
      <c r="AA9" s="41"/>
      <c r="AB9" s="41"/>
      <c r="AC9" s="41">
        <v>32964</v>
      </c>
      <c r="AD9" s="41"/>
      <c r="AE9" s="41"/>
      <c r="AF9" s="41"/>
      <c r="AG9" s="41"/>
      <c r="AH9" s="41"/>
      <c r="AI9" s="41"/>
      <c r="AJ9" s="41"/>
      <c r="AK9" s="41"/>
      <c r="AL9" s="41"/>
      <c r="AM9" s="41">
        <f t="shared" si="3"/>
        <v>0</v>
      </c>
      <c r="AN9" s="41">
        <f t="shared" si="4"/>
        <v>2232.1999999999998</v>
      </c>
      <c r="AO9" s="41">
        <f t="shared" si="5"/>
        <v>2233</v>
      </c>
      <c r="AP9" s="40"/>
      <c r="AQ9" s="36">
        <v>44986</v>
      </c>
      <c r="AR9" s="36">
        <v>45071</v>
      </c>
      <c r="AS9" s="36"/>
      <c r="AT9" s="36">
        <v>45000</v>
      </c>
      <c r="AU9" s="36">
        <v>45087</v>
      </c>
      <c r="AV9" s="38"/>
      <c r="AW9" s="40" t="s">
        <v>87</v>
      </c>
    </row>
    <row r="10" spans="1:49" ht="93.6" x14ac:dyDescent="0.3">
      <c r="A10" s="35" t="s">
        <v>38</v>
      </c>
      <c r="B10" s="36" t="s">
        <v>39</v>
      </c>
      <c r="C10" s="37">
        <v>1688</v>
      </c>
      <c r="D10" s="39" t="s">
        <v>88</v>
      </c>
      <c r="E10" s="1" t="s">
        <v>89</v>
      </c>
      <c r="F10" s="36">
        <v>44949</v>
      </c>
      <c r="G10" s="37" t="s">
        <v>90</v>
      </c>
      <c r="H10" s="40" t="s">
        <v>43</v>
      </c>
      <c r="I10" s="40" t="s">
        <v>91</v>
      </c>
      <c r="J10" s="41">
        <v>12576898.949999999</v>
      </c>
      <c r="K10" s="41">
        <v>12576898.949999999</v>
      </c>
      <c r="L10" s="30">
        <f t="shared" si="0"/>
        <v>12576898.949999999</v>
      </c>
      <c r="M10" s="30">
        <f t="shared" si="0"/>
        <v>12576898.949999999</v>
      </c>
      <c r="N10" s="40" t="s">
        <v>92</v>
      </c>
      <c r="O10" s="40" t="s">
        <v>74</v>
      </c>
      <c r="P10" s="40" t="s">
        <v>47</v>
      </c>
      <c r="Q10" s="44">
        <v>100</v>
      </c>
      <c r="R10" s="37">
        <v>0</v>
      </c>
      <c r="S10" s="37" t="s">
        <v>48</v>
      </c>
      <c r="T10" s="48">
        <v>10</v>
      </c>
      <c r="U10" s="30">
        <f>M10/W10</f>
        <v>127.11</v>
      </c>
      <c r="V10" s="41">
        <f t="shared" si="1"/>
        <v>1271.0999999999999</v>
      </c>
      <c r="W10" s="41">
        <f t="shared" si="2"/>
        <v>98945</v>
      </c>
      <c r="X10" s="41">
        <v>67040</v>
      </c>
      <c r="Y10" s="41"/>
      <c r="Z10" s="41"/>
      <c r="AA10" s="41"/>
      <c r="AB10" s="41"/>
      <c r="AC10" s="41">
        <v>31905</v>
      </c>
      <c r="AD10" s="41"/>
      <c r="AE10" s="41"/>
      <c r="AF10" s="41"/>
      <c r="AG10" s="41"/>
      <c r="AH10" s="41"/>
      <c r="AI10" s="41"/>
      <c r="AJ10" s="41"/>
      <c r="AK10" s="41"/>
      <c r="AL10" s="41"/>
      <c r="AM10" s="41">
        <f t="shared" si="3"/>
        <v>0</v>
      </c>
      <c r="AN10" s="41">
        <f t="shared" si="4"/>
        <v>9894.5</v>
      </c>
      <c r="AO10" s="41">
        <f t="shared" si="5"/>
        <v>9895</v>
      </c>
      <c r="AP10" s="40"/>
      <c r="AQ10" s="36">
        <v>44986</v>
      </c>
      <c r="AR10" s="36">
        <v>45139</v>
      </c>
      <c r="AS10" s="36"/>
      <c r="AT10" s="36">
        <v>45000</v>
      </c>
      <c r="AU10" s="36">
        <v>45153</v>
      </c>
      <c r="AV10" s="38"/>
      <c r="AW10" s="40" t="s">
        <v>87</v>
      </c>
    </row>
    <row r="11" spans="1:49" ht="124.8" x14ac:dyDescent="0.3">
      <c r="A11" s="35" t="s">
        <v>38</v>
      </c>
      <c r="B11" s="36" t="s">
        <v>39</v>
      </c>
      <c r="C11" s="37">
        <v>1688</v>
      </c>
      <c r="D11" s="39" t="s">
        <v>93</v>
      </c>
      <c r="E11" s="1" t="s">
        <v>94</v>
      </c>
      <c r="F11" s="36">
        <v>44949</v>
      </c>
      <c r="G11" s="37" t="s">
        <v>95</v>
      </c>
      <c r="H11" s="40" t="s">
        <v>43</v>
      </c>
      <c r="I11" s="40" t="s">
        <v>96</v>
      </c>
      <c r="J11" s="41">
        <v>157117980.80000001</v>
      </c>
      <c r="K11" s="41">
        <v>157117980.80000001</v>
      </c>
      <c r="L11" s="30">
        <f t="shared" si="0"/>
        <v>157117980.80000001</v>
      </c>
      <c r="M11" s="30">
        <f t="shared" si="0"/>
        <v>157117980.80000001</v>
      </c>
      <c r="N11" s="40" t="s">
        <v>97</v>
      </c>
      <c r="O11" s="40" t="s">
        <v>98</v>
      </c>
      <c r="P11" s="40" t="s">
        <v>47</v>
      </c>
      <c r="Q11" s="44">
        <v>100</v>
      </c>
      <c r="R11" s="37">
        <v>0</v>
      </c>
      <c r="S11" s="37" t="s">
        <v>48</v>
      </c>
      <c r="T11" s="48">
        <v>10</v>
      </c>
      <c r="U11" s="30">
        <f>M11/W11</f>
        <v>86.9</v>
      </c>
      <c r="V11" s="41">
        <f t="shared" si="1"/>
        <v>869</v>
      </c>
      <c r="W11" s="41">
        <f t="shared" si="2"/>
        <v>1808032</v>
      </c>
      <c r="X11" s="41">
        <v>1250000</v>
      </c>
      <c r="Y11" s="41"/>
      <c r="Z11" s="41"/>
      <c r="AA11" s="41"/>
      <c r="AB11" s="41"/>
      <c r="AC11" s="41">
        <v>558032</v>
      </c>
      <c r="AD11" s="41"/>
      <c r="AE11" s="41"/>
      <c r="AF11" s="41"/>
      <c r="AG11" s="41"/>
      <c r="AH11" s="41"/>
      <c r="AI11" s="41"/>
      <c r="AJ11" s="41"/>
      <c r="AK11" s="41"/>
      <c r="AL11" s="41"/>
      <c r="AM11" s="41">
        <f t="shared" si="3"/>
        <v>0</v>
      </c>
      <c r="AN11" s="41">
        <f t="shared" si="4"/>
        <v>180803.20000000001</v>
      </c>
      <c r="AO11" s="41">
        <f t="shared" si="5"/>
        <v>180804</v>
      </c>
      <c r="AP11" s="40"/>
      <c r="AQ11" s="36">
        <v>44986</v>
      </c>
      <c r="AR11" s="36">
        <v>45139</v>
      </c>
      <c r="AS11" s="36"/>
      <c r="AT11" s="36">
        <v>45000</v>
      </c>
      <c r="AU11" s="36">
        <v>45153</v>
      </c>
      <c r="AV11" s="38"/>
      <c r="AW11" s="40" t="s">
        <v>87</v>
      </c>
    </row>
    <row r="12" spans="1:49" ht="124.8" x14ac:dyDescent="0.3">
      <c r="A12" s="35" t="s">
        <v>38</v>
      </c>
      <c r="B12" s="36" t="s">
        <v>39</v>
      </c>
      <c r="C12" s="37">
        <v>1688</v>
      </c>
      <c r="D12" s="39" t="s">
        <v>99</v>
      </c>
      <c r="E12" s="1" t="s">
        <v>100</v>
      </c>
      <c r="F12" s="36">
        <v>44949</v>
      </c>
      <c r="G12" s="37" t="s">
        <v>101</v>
      </c>
      <c r="H12" s="40" t="s">
        <v>43</v>
      </c>
      <c r="I12" s="40" t="s">
        <v>102</v>
      </c>
      <c r="J12" s="41">
        <v>5232129.4800000004</v>
      </c>
      <c r="K12" s="41">
        <v>5232129.4800000004</v>
      </c>
      <c r="L12" s="30">
        <f t="shared" si="0"/>
        <v>5232129.4800000004</v>
      </c>
      <c r="M12" s="30">
        <f t="shared" si="0"/>
        <v>5232129.4800000004</v>
      </c>
      <c r="N12" s="40" t="s">
        <v>97</v>
      </c>
      <c r="O12" s="40" t="s">
        <v>98</v>
      </c>
      <c r="P12" s="40" t="s">
        <v>47</v>
      </c>
      <c r="Q12" s="44">
        <v>100</v>
      </c>
      <c r="R12" s="37">
        <v>0</v>
      </c>
      <c r="S12" s="37" t="s">
        <v>48</v>
      </c>
      <c r="T12" s="48">
        <v>10</v>
      </c>
      <c r="U12" s="30">
        <f>M12/W12</f>
        <v>77.960000000000008</v>
      </c>
      <c r="V12" s="41">
        <f t="shared" si="1"/>
        <v>779.60000000000014</v>
      </c>
      <c r="W12" s="41">
        <f t="shared" si="2"/>
        <v>67113</v>
      </c>
      <c r="X12" s="41">
        <v>67113</v>
      </c>
      <c r="Y12" s="41"/>
      <c r="Z12" s="41"/>
      <c r="AA12" s="41"/>
      <c r="AB12" s="41"/>
      <c r="AC12" s="41"/>
      <c r="AD12" s="41"/>
      <c r="AE12" s="41"/>
      <c r="AF12" s="41"/>
      <c r="AG12" s="41"/>
      <c r="AH12" s="41"/>
      <c r="AI12" s="41"/>
      <c r="AJ12" s="41"/>
      <c r="AK12" s="41"/>
      <c r="AL12" s="41"/>
      <c r="AM12" s="41">
        <f t="shared" si="3"/>
        <v>0</v>
      </c>
      <c r="AN12" s="41">
        <f t="shared" si="4"/>
        <v>6711.3</v>
      </c>
      <c r="AO12" s="41">
        <f t="shared" si="5"/>
        <v>6712</v>
      </c>
      <c r="AP12" s="40"/>
      <c r="AQ12" s="36">
        <v>44986</v>
      </c>
      <c r="AR12" s="36"/>
      <c r="AS12" s="36"/>
      <c r="AT12" s="36">
        <v>45000</v>
      </c>
      <c r="AU12" s="36"/>
      <c r="AV12" s="38"/>
      <c r="AW12" s="40" t="s">
        <v>87</v>
      </c>
    </row>
    <row r="13" spans="1:49" ht="124.8" x14ac:dyDescent="0.3">
      <c r="A13" s="35" t="s">
        <v>38</v>
      </c>
      <c r="B13" s="36" t="s">
        <v>39</v>
      </c>
      <c r="C13" s="37">
        <v>1688</v>
      </c>
      <c r="D13" s="39" t="s">
        <v>103</v>
      </c>
      <c r="E13" s="1" t="s">
        <v>104</v>
      </c>
      <c r="F13" s="36">
        <v>44949</v>
      </c>
      <c r="G13" s="37" t="s">
        <v>105</v>
      </c>
      <c r="H13" s="40" t="s">
        <v>43</v>
      </c>
      <c r="I13" s="40" t="s">
        <v>106</v>
      </c>
      <c r="J13" s="41">
        <v>280445274.12</v>
      </c>
      <c r="K13" s="41">
        <v>280445274.12</v>
      </c>
      <c r="L13" s="30">
        <f t="shared" si="0"/>
        <v>280445274.12</v>
      </c>
      <c r="M13" s="30">
        <f t="shared" si="0"/>
        <v>280445274.12</v>
      </c>
      <c r="N13" s="40" t="s">
        <v>97</v>
      </c>
      <c r="O13" s="40" t="s">
        <v>98</v>
      </c>
      <c r="P13" s="40" t="s">
        <v>47</v>
      </c>
      <c r="Q13" s="44">
        <v>100</v>
      </c>
      <c r="R13" s="37">
        <v>0</v>
      </c>
      <c r="S13" s="37" t="s">
        <v>48</v>
      </c>
      <c r="T13" s="48">
        <v>10</v>
      </c>
      <c r="U13" s="30">
        <f>M13/W13</f>
        <v>77.960000000000008</v>
      </c>
      <c r="V13" s="41">
        <f t="shared" si="1"/>
        <v>779.60000000000014</v>
      </c>
      <c r="W13" s="41">
        <f t="shared" si="2"/>
        <v>3597297</v>
      </c>
      <c r="X13" s="41">
        <v>3597297</v>
      </c>
      <c r="Y13" s="41"/>
      <c r="Z13" s="41"/>
      <c r="AA13" s="41"/>
      <c r="AB13" s="41"/>
      <c r="AC13" s="41"/>
      <c r="AD13" s="41"/>
      <c r="AE13" s="41"/>
      <c r="AF13" s="41"/>
      <c r="AG13" s="41"/>
      <c r="AH13" s="41"/>
      <c r="AI13" s="41"/>
      <c r="AJ13" s="41"/>
      <c r="AK13" s="41"/>
      <c r="AL13" s="41"/>
      <c r="AM13" s="41">
        <f t="shared" si="3"/>
        <v>0</v>
      </c>
      <c r="AN13" s="41">
        <f t="shared" si="4"/>
        <v>359729.7</v>
      </c>
      <c r="AO13" s="41">
        <f t="shared" si="5"/>
        <v>359730</v>
      </c>
      <c r="AP13" s="40"/>
      <c r="AQ13" s="36">
        <v>44986</v>
      </c>
      <c r="AR13" s="36"/>
      <c r="AS13" s="36"/>
      <c r="AT13" s="36">
        <v>45000</v>
      </c>
      <c r="AU13" s="36"/>
      <c r="AV13" s="38"/>
      <c r="AW13" s="40" t="s">
        <v>87</v>
      </c>
    </row>
    <row r="14" spans="1:49" ht="72" x14ac:dyDescent="0.3">
      <c r="A14" s="35" t="s">
        <v>38</v>
      </c>
      <c r="B14" s="36" t="s">
        <v>39</v>
      </c>
      <c r="C14" s="37">
        <v>1688</v>
      </c>
      <c r="D14" s="39" t="s">
        <v>107</v>
      </c>
      <c r="E14" s="1" t="s">
        <v>108</v>
      </c>
      <c r="F14" s="36">
        <v>44949</v>
      </c>
      <c r="G14" s="37" t="s">
        <v>109</v>
      </c>
      <c r="H14" s="40" t="s">
        <v>43</v>
      </c>
      <c r="I14" s="40" t="s">
        <v>110</v>
      </c>
      <c r="J14" s="41">
        <v>40265165.850000001</v>
      </c>
      <c r="K14" s="41">
        <v>40265165.850000001</v>
      </c>
      <c r="L14" s="30">
        <v>40354065.850000001</v>
      </c>
      <c r="M14" s="30">
        <f t="shared" si="0"/>
        <v>40354065.850000001</v>
      </c>
      <c r="N14" s="40" t="s">
        <v>111</v>
      </c>
      <c r="O14" s="40" t="s">
        <v>112</v>
      </c>
      <c r="P14" s="40" t="s">
        <v>47</v>
      </c>
      <c r="Q14" s="44">
        <v>100</v>
      </c>
      <c r="R14" s="37">
        <v>0</v>
      </c>
      <c r="S14" s="37" t="s">
        <v>48</v>
      </c>
      <c r="T14" s="48">
        <v>10</v>
      </c>
      <c r="U14" s="30">
        <f>M14/W14</f>
        <v>44.45</v>
      </c>
      <c r="V14" s="41">
        <f t="shared" si="1"/>
        <v>444.5</v>
      </c>
      <c r="W14" s="41">
        <f t="shared" si="2"/>
        <v>907853</v>
      </c>
      <c r="X14" s="41">
        <v>74280</v>
      </c>
      <c r="Y14" s="41"/>
      <c r="Z14" s="41"/>
      <c r="AA14" s="41"/>
      <c r="AB14" s="41"/>
      <c r="AC14" s="41">
        <v>833573</v>
      </c>
      <c r="AD14" s="41"/>
      <c r="AE14" s="41"/>
      <c r="AF14" s="41"/>
      <c r="AG14" s="41"/>
      <c r="AH14" s="41"/>
      <c r="AI14" s="41"/>
      <c r="AJ14" s="41"/>
      <c r="AK14" s="41"/>
      <c r="AL14" s="41"/>
      <c r="AM14" s="41">
        <f t="shared" si="3"/>
        <v>0</v>
      </c>
      <c r="AN14" s="41">
        <f t="shared" si="4"/>
        <v>90785.3</v>
      </c>
      <c r="AO14" s="41">
        <f t="shared" si="5"/>
        <v>90786</v>
      </c>
      <c r="AP14" s="40"/>
      <c r="AQ14" s="36">
        <v>44986</v>
      </c>
      <c r="AR14" s="36">
        <v>45194</v>
      </c>
      <c r="AS14" s="36"/>
      <c r="AT14" s="36">
        <v>45000</v>
      </c>
      <c r="AU14" s="36">
        <v>45209</v>
      </c>
      <c r="AV14" s="38"/>
      <c r="AW14" s="40" t="s">
        <v>87</v>
      </c>
    </row>
    <row r="15" spans="1:49" ht="72" x14ac:dyDescent="0.3">
      <c r="A15" s="35" t="s">
        <v>38</v>
      </c>
      <c r="B15" s="36" t="s">
        <v>39</v>
      </c>
      <c r="C15" s="37">
        <v>1688</v>
      </c>
      <c r="D15" s="39" t="s">
        <v>113</v>
      </c>
      <c r="E15" s="1" t="s">
        <v>114</v>
      </c>
      <c r="F15" s="36">
        <v>44949</v>
      </c>
      <c r="G15" s="37" t="s">
        <v>115</v>
      </c>
      <c r="H15" s="40" t="s">
        <v>43</v>
      </c>
      <c r="I15" s="40" t="s">
        <v>116</v>
      </c>
      <c r="J15" s="41">
        <v>2037956.48</v>
      </c>
      <c r="K15" s="41">
        <v>2037956.48</v>
      </c>
      <c r="L15" s="30">
        <f t="shared" si="0"/>
        <v>2037956.48</v>
      </c>
      <c r="M15" s="30">
        <f t="shared" si="0"/>
        <v>2037956.48</v>
      </c>
      <c r="N15" s="40" t="s">
        <v>117</v>
      </c>
      <c r="O15" s="40" t="s">
        <v>112</v>
      </c>
      <c r="P15" s="40" t="s">
        <v>47</v>
      </c>
      <c r="Q15" s="44">
        <v>100</v>
      </c>
      <c r="R15" s="37">
        <v>0</v>
      </c>
      <c r="S15" s="37" t="s">
        <v>48</v>
      </c>
      <c r="T15" s="48">
        <v>10</v>
      </c>
      <c r="U15" s="30">
        <f>M15/W15</f>
        <v>54.04</v>
      </c>
      <c r="V15" s="41">
        <f t="shared" si="1"/>
        <v>540.4</v>
      </c>
      <c r="W15" s="41">
        <f t="shared" si="2"/>
        <v>37712</v>
      </c>
      <c r="X15" s="41">
        <v>37712</v>
      </c>
      <c r="Y15" s="41"/>
      <c r="Z15" s="41"/>
      <c r="AA15" s="41"/>
      <c r="AB15" s="41"/>
      <c r="AC15" s="41"/>
      <c r="AD15" s="41"/>
      <c r="AE15" s="41"/>
      <c r="AF15" s="41"/>
      <c r="AG15" s="41"/>
      <c r="AH15" s="41"/>
      <c r="AI15" s="41"/>
      <c r="AJ15" s="41"/>
      <c r="AK15" s="41"/>
      <c r="AL15" s="41"/>
      <c r="AM15" s="41">
        <f t="shared" si="3"/>
        <v>0</v>
      </c>
      <c r="AN15" s="41">
        <f t="shared" si="4"/>
        <v>3771.2</v>
      </c>
      <c r="AO15" s="41">
        <f t="shared" si="5"/>
        <v>3772</v>
      </c>
      <c r="AP15" s="40"/>
      <c r="AQ15" s="36">
        <v>45255</v>
      </c>
      <c r="AR15" s="36"/>
      <c r="AS15" s="36"/>
      <c r="AT15" s="36">
        <v>45270</v>
      </c>
      <c r="AU15" s="36"/>
      <c r="AV15" s="38"/>
      <c r="AW15" s="40" t="s">
        <v>49</v>
      </c>
    </row>
    <row r="16" spans="1:49" ht="72" x14ac:dyDescent="0.3">
      <c r="A16" s="35" t="s">
        <v>38</v>
      </c>
      <c r="B16" s="36" t="s">
        <v>39</v>
      </c>
      <c r="C16" s="37">
        <v>1688</v>
      </c>
      <c r="D16" s="39" t="s">
        <v>118</v>
      </c>
      <c r="E16" s="1" t="s">
        <v>119</v>
      </c>
      <c r="F16" s="36">
        <v>44949</v>
      </c>
      <c r="G16" s="37" t="s">
        <v>120</v>
      </c>
      <c r="H16" s="40" t="s">
        <v>43</v>
      </c>
      <c r="I16" s="40" t="s">
        <v>121</v>
      </c>
      <c r="J16" s="41">
        <v>85604931.269999996</v>
      </c>
      <c r="K16" s="41">
        <v>85604931.269999996</v>
      </c>
      <c r="L16" s="30">
        <f t="shared" si="0"/>
        <v>85604931.269999996</v>
      </c>
      <c r="M16" s="30">
        <f t="shared" si="0"/>
        <v>85604931.269999996</v>
      </c>
      <c r="N16" s="40" t="s">
        <v>122</v>
      </c>
      <c r="O16" s="40" t="s">
        <v>112</v>
      </c>
      <c r="P16" s="40" t="s">
        <v>47</v>
      </c>
      <c r="Q16" s="44">
        <v>100</v>
      </c>
      <c r="R16" s="37">
        <v>0</v>
      </c>
      <c r="S16" s="37" t="s">
        <v>48</v>
      </c>
      <c r="T16" s="48">
        <v>10</v>
      </c>
      <c r="U16" s="30">
        <f>M16/W16</f>
        <v>89.36999999999999</v>
      </c>
      <c r="V16" s="41">
        <f t="shared" si="1"/>
        <v>893.69999999999993</v>
      </c>
      <c r="W16" s="41">
        <f t="shared" si="2"/>
        <v>957871</v>
      </c>
      <c r="X16" s="41">
        <v>210740</v>
      </c>
      <c r="Y16" s="41"/>
      <c r="Z16" s="41"/>
      <c r="AA16" s="41"/>
      <c r="AB16" s="41"/>
      <c r="AC16" s="41">
        <v>747131</v>
      </c>
      <c r="AD16" s="41"/>
      <c r="AE16" s="41"/>
      <c r="AF16" s="41"/>
      <c r="AG16" s="41"/>
      <c r="AH16" s="41"/>
      <c r="AI16" s="41"/>
      <c r="AJ16" s="41"/>
      <c r="AK16" s="41"/>
      <c r="AL16" s="41"/>
      <c r="AM16" s="41">
        <f t="shared" si="3"/>
        <v>0</v>
      </c>
      <c r="AN16" s="41">
        <f t="shared" si="4"/>
        <v>95787.1</v>
      </c>
      <c r="AO16" s="41">
        <f t="shared" si="5"/>
        <v>95788</v>
      </c>
      <c r="AP16" s="40"/>
      <c r="AQ16" s="36">
        <v>45255</v>
      </c>
      <c r="AR16" s="36">
        <v>45285</v>
      </c>
      <c r="AS16" s="36"/>
      <c r="AT16" s="36">
        <v>45270</v>
      </c>
      <c r="AU16" s="36">
        <v>45290</v>
      </c>
      <c r="AV16" s="38"/>
      <c r="AW16" s="40" t="s">
        <v>49</v>
      </c>
    </row>
    <row r="17" spans="1:49" ht="93.6" x14ac:dyDescent="0.3">
      <c r="A17" s="35" t="s">
        <v>38</v>
      </c>
      <c r="B17" s="36" t="s">
        <v>39</v>
      </c>
      <c r="C17" s="37">
        <v>1688</v>
      </c>
      <c r="D17" s="39" t="s">
        <v>123</v>
      </c>
      <c r="E17" s="1" t="s">
        <v>124</v>
      </c>
      <c r="F17" s="36">
        <v>44949</v>
      </c>
      <c r="G17" s="37" t="s">
        <v>125</v>
      </c>
      <c r="H17" s="40" t="s">
        <v>43</v>
      </c>
      <c r="I17" s="40" t="s">
        <v>126</v>
      </c>
      <c r="J17" s="41">
        <v>32091279.550000001</v>
      </c>
      <c r="K17" s="41">
        <v>32091279.550000001</v>
      </c>
      <c r="L17" s="30">
        <v>32891379.949999999</v>
      </c>
      <c r="M17" s="30">
        <f t="shared" si="0"/>
        <v>32891379.949999999</v>
      </c>
      <c r="N17" s="40" t="s">
        <v>126</v>
      </c>
      <c r="O17" s="40" t="s">
        <v>112</v>
      </c>
      <c r="P17" s="40" t="s">
        <v>47</v>
      </c>
      <c r="Q17" s="44">
        <v>100</v>
      </c>
      <c r="R17" s="37">
        <v>0</v>
      </c>
      <c r="S17" s="37" t="s">
        <v>48</v>
      </c>
      <c r="T17" s="48">
        <v>10</v>
      </c>
      <c r="U17" s="30">
        <f>M17/W17</f>
        <v>33.549999999999997</v>
      </c>
      <c r="V17" s="41">
        <f t="shared" si="1"/>
        <v>335.5</v>
      </c>
      <c r="W17" s="41">
        <f t="shared" si="2"/>
        <v>980369</v>
      </c>
      <c r="X17" s="41">
        <v>45150</v>
      </c>
      <c r="Y17" s="41"/>
      <c r="Z17" s="41"/>
      <c r="AA17" s="41"/>
      <c r="AB17" s="41"/>
      <c r="AC17" s="41">
        <v>464829</v>
      </c>
      <c r="AD17" s="41"/>
      <c r="AE17" s="41"/>
      <c r="AF17" s="41"/>
      <c r="AG17" s="41"/>
      <c r="AH17" s="41">
        <f>446542+23848</f>
        <v>470390</v>
      </c>
      <c r="AI17" s="41"/>
      <c r="AJ17" s="41"/>
      <c r="AK17" s="41"/>
      <c r="AL17" s="41"/>
      <c r="AM17" s="41">
        <f t="shared" si="3"/>
        <v>0</v>
      </c>
      <c r="AN17" s="41">
        <f t="shared" si="4"/>
        <v>98036.9</v>
      </c>
      <c r="AO17" s="41">
        <f t="shared" si="5"/>
        <v>98037</v>
      </c>
      <c r="AP17" s="40"/>
      <c r="AQ17" s="36">
        <v>44986</v>
      </c>
      <c r="AR17" s="36">
        <v>45071</v>
      </c>
      <c r="AS17" s="36">
        <v>45194</v>
      </c>
      <c r="AT17" s="36">
        <v>45000</v>
      </c>
      <c r="AU17" s="36">
        <v>45087</v>
      </c>
      <c r="AV17" s="38">
        <v>45209</v>
      </c>
      <c r="AW17" s="40" t="s">
        <v>68</v>
      </c>
    </row>
    <row r="18" spans="1:49" ht="46.5" customHeight="1" x14ac:dyDescent="0.3">
      <c r="A18" s="35" t="s">
        <v>38</v>
      </c>
      <c r="B18" s="36" t="s">
        <v>39</v>
      </c>
      <c r="C18" s="37">
        <v>1688</v>
      </c>
      <c r="D18" s="39" t="s">
        <v>127</v>
      </c>
      <c r="E18" s="1" t="s">
        <v>128</v>
      </c>
      <c r="F18" s="36">
        <v>44953</v>
      </c>
      <c r="G18" s="37" t="s">
        <v>129</v>
      </c>
      <c r="H18" s="40" t="s">
        <v>43</v>
      </c>
      <c r="I18" s="40" t="s">
        <v>130</v>
      </c>
      <c r="J18" s="41">
        <v>6567454.9199999999</v>
      </c>
      <c r="K18" s="41">
        <v>6567454.9199999999</v>
      </c>
      <c r="L18" s="30">
        <f t="shared" si="0"/>
        <v>6567454.9199999999</v>
      </c>
      <c r="M18" s="30">
        <f t="shared" si="0"/>
        <v>6567454.9199999999</v>
      </c>
      <c r="N18" s="40" t="s">
        <v>131</v>
      </c>
      <c r="O18" s="40" t="s">
        <v>132</v>
      </c>
      <c r="P18" s="40" t="s">
        <v>47</v>
      </c>
      <c r="Q18" s="44">
        <v>100</v>
      </c>
      <c r="R18" s="37">
        <v>0</v>
      </c>
      <c r="S18" s="37" t="s">
        <v>48</v>
      </c>
      <c r="T18" s="48">
        <v>20</v>
      </c>
      <c r="U18" s="30">
        <f>M18/W18</f>
        <v>4.3600000000000003</v>
      </c>
      <c r="V18" s="41">
        <f t="shared" si="1"/>
        <v>87.2</v>
      </c>
      <c r="W18" s="41">
        <f t="shared" si="2"/>
        <v>1506297</v>
      </c>
      <c r="X18" s="41">
        <v>1506297</v>
      </c>
      <c r="Y18" s="41"/>
      <c r="Z18" s="41"/>
      <c r="AA18" s="41"/>
      <c r="AB18" s="41"/>
      <c r="AC18" s="41"/>
      <c r="AD18" s="41"/>
      <c r="AE18" s="41"/>
      <c r="AF18" s="41"/>
      <c r="AG18" s="41"/>
      <c r="AH18" s="41"/>
      <c r="AI18" s="41"/>
      <c r="AJ18" s="41"/>
      <c r="AK18" s="41"/>
      <c r="AL18" s="41"/>
      <c r="AM18" s="41">
        <f t="shared" si="3"/>
        <v>0</v>
      </c>
      <c r="AN18" s="41">
        <f t="shared" si="4"/>
        <v>75314.850000000006</v>
      </c>
      <c r="AO18" s="41">
        <f t="shared" si="5"/>
        <v>75315</v>
      </c>
      <c r="AP18" s="40"/>
      <c r="AQ18" s="36">
        <v>44986</v>
      </c>
      <c r="AR18" s="36"/>
      <c r="AS18" s="36"/>
      <c r="AT18" s="36">
        <v>45000</v>
      </c>
      <c r="AU18" s="36"/>
      <c r="AV18" s="38"/>
      <c r="AW18" s="40" t="s">
        <v>87</v>
      </c>
    </row>
    <row r="19" spans="1:49" ht="78" x14ac:dyDescent="0.3">
      <c r="A19" s="35" t="s">
        <v>38</v>
      </c>
      <c r="B19" s="36" t="s">
        <v>39</v>
      </c>
      <c r="C19" s="37">
        <v>1688</v>
      </c>
      <c r="D19" s="39" t="s">
        <v>133</v>
      </c>
      <c r="E19" s="1" t="s">
        <v>134</v>
      </c>
      <c r="F19" s="36">
        <v>44953</v>
      </c>
      <c r="G19" s="37" t="s">
        <v>135</v>
      </c>
      <c r="H19" s="40" t="s">
        <v>43</v>
      </c>
      <c r="I19" s="40" t="s">
        <v>136</v>
      </c>
      <c r="J19" s="41">
        <v>6776090.8499999996</v>
      </c>
      <c r="K19" s="41">
        <v>6776090.8499999996</v>
      </c>
      <c r="L19" s="30">
        <f t="shared" si="0"/>
        <v>6776090.8499999996</v>
      </c>
      <c r="M19" s="30">
        <f t="shared" si="0"/>
        <v>6776090.8499999996</v>
      </c>
      <c r="N19" s="40" t="s">
        <v>137</v>
      </c>
      <c r="O19" s="40" t="s">
        <v>74</v>
      </c>
      <c r="P19" s="40" t="s">
        <v>47</v>
      </c>
      <c r="Q19" s="44">
        <v>100</v>
      </c>
      <c r="R19" s="37">
        <v>0</v>
      </c>
      <c r="S19" s="37" t="s">
        <v>48</v>
      </c>
      <c r="T19" s="48">
        <v>20</v>
      </c>
      <c r="U19" s="30">
        <f>M19/W19</f>
        <v>10.09</v>
      </c>
      <c r="V19" s="41">
        <f t="shared" si="1"/>
        <v>201.8</v>
      </c>
      <c r="W19" s="41">
        <f t="shared" si="2"/>
        <v>671565</v>
      </c>
      <c r="X19" s="41">
        <v>79380</v>
      </c>
      <c r="Y19" s="41"/>
      <c r="Z19" s="41"/>
      <c r="AA19" s="41"/>
      <c r="AB19" s="41"/>
      <c r="AC19" s="41">
        <v>592185</v>
      </c>
      <c r="AD19" s="41"/>
      <c r="AE19" s="41"/>
      <c r="AF19" s="41"/>
      <c r="AG19" s="41"/>
      <c r="AH19" s="41"/>
      <c r="AI19" s="41"/>
      <c r="AJ19" s="41"/>
      <c r="AK19" s="41"/>
      <c r="AL19" s="41"/>
      <c r="AM19" s="41">
        <f t="shared" si="3"/>
        <v>0</v>
      </c>
      <c r="AN19" s="41">
        <f t="shared" si="4"/>
        <v>33578.25</v>
      </c>
      <c r="AO19" s="41">
        <f t="shared" si="5"/>
        <v>33579</v>
      </c>
      <c r="AP19" s="40"/>
      <c r="AQ19" s="36">
        <v>44986</v>
      </c>
      <c r="AR19" s="36">
        <v>45163</v>
      </c>
      <c r="AS19" s="36"/>
      <c r="AT19" s="36">
        <v>45000</v>
      </c>
      <c r="AU19" s="36">
        <v>45179</v>
      </c>
      <c r="AV19" s="38"/>
      <c r="AW19" s="40" t="s">
        <v>87</v>
      </c>
    </row>
    <row r="20" spans="1:49" ht="171.6" x14ac:dyDescent="0.3">
      <c r="A20" s="35" t="s">
        <v>38</v>
      </c>
      <c r="B20" s="36" t="s">
        <v>39</v>
      </c>
      <c r="C20" s="37">
        <v>1688</v>
      </c>
      <c r="D20" s="39" t="s">
        <v>138</v>
      </c>
      <c r="E20" s="1" t="s">
        <v>139</v>
      </c>
      <c r="F20" s="36">
        <v>44953</v>
      </c>
      <c r="G20" s="37" t="s">
        <v>140</v>
      </c>
      <c r="H20" s="40" t="s">
        <v>43</v>
      </c>
      <c r="I20" s="40" t="s">
        <v>141</v>
      </c>
      <c r="J20" s="41">
        <v>2737943.25</v>
      </c>
      <c r="K20" s="41">
        <v>2737943.25</v>
      </c>
      <c r="L20" s="30">
        <f t="shared" si="0"/>
        <v>2737943.25</v>
      </c>
      <c r="M20" s="30">
        <f t="shared" si="0"/>
        <v>2737943.25</v>
      </c>
      <c r="N20" s="40" t="s">
        <v>142</v>
      </c>
      <c r="O20" s="40" t="s">
        <v>74</v>
      </c>
      <c r="P20" s="40" t="s">
        <v>47</v>
      </c>
      <c r="Q20" s="44">
        <v>100</v>
      </c>
      <c r="R20" s="37">
        <v>0</v>
      </c>
      <c r="S20" s="37" t="s">
        <v>48</v>
      </c>
      <c r="T20" s="48">
        <v>10</v>
      </c>
      <c r="U20" s="30">
        <f>M20/W20</f>
        <v>162.75</v>
      </c>
      <c r="V20" s="41">
        <f t="shared" si="1"/>
        <v>1627.5</v>
      </c>
      <c r="W20" s="41">
        <f t="shared" si="2"/>
        <v>16823</v>
      </c>
      <c r="X20" s="41">
        <v>16823</v>
      </c>
      <c r="Y20" s="41"/>
      <c r="Z20" s="41"/>
      <c r="AA20" s="41"/>
      <c r="AB20" s="41"/>
      <c r="AC20" s="41"/>
      <c r="AD20" s="41"/>
      <c r="AE20" s="41"/>
      <c r="AF20" s="41"/>
      <c r="AG20" s="41"/>
      <c r="AH20" s="41"/>
      <c r="AI20" s="41"/>
      <c r="AJ20" s="41"/>
      <c r="AK20" s="41"/>
      <c r="AL20" s="41"/>
      <c r="AM20" s="41">
        <f t="shared" si="3"/>
        <v>0</v>
      </c>
      <c r="AN20" s="41">
        <f t="shared" si="4"/>
        <v>1682.3</v>
      </c>
      <c r="AO20" s="41">
        <f t="shared" si="5"/>
        <v>1683</v>
      </c>
      <c r="AP20" s="40"/>
      <c r="AQ20" s="36">
        <v>44986</v>
      </c>
      <c r="AR20" s="36"/>
      <c r="AS20" s="36"/>
      <c r="AT20" s="36">
        <v>45000</v>
      </c>
      <c r="AU20" s="36"/>
      <c r="AV20" s="38"/>
      <c r="AW20" s="40" t="s">
        <v>87</v>
      </c>
    </row>
    <row r="21" spans="1:49" ht="93.6" x14ac:dyDescent="0.3">
      <c r="A21" s="35" t="s">
        <v>38</v>
      </c>
      <c r="B21" s="36" t="s">
        <v>39</v>
      </c>
      <c r="C21" s="37">
        <v>1688</v>
      </c>
      <c r="D21" s="39" t="s">
        <v>143</v>
      </c>
      <c r="E21" s="1" t="s">
        <v>144</v>
      </c>
      <c r="F21" s="36">
        <v>44957</v>
      </c>
      <c r="G21" s="37" t="s">
        <v>145</v>
      </c>
      <c r="H21" s="40" t="s">
        <v>43</v>
      </c>
      <c r="I21" s="40" t="s">
        <v>146</v>
      </c>
      <c r="J21" s="41">
        <v>8607861.4800000004</v>
      </c>
      <c r="K21" s="41">
        <v>8607861.4800000004</v>
      </c>
      <c r="L21" s="30">
        <v>8655026.7599999998</v>
      </c>
      <c r="M21" s="30">
        <f t="shared" si="0"/>
        <v>8655026.7599999998</v>
      </c>
      <c r="N21" s="40" t="s">
        <v>147</v>
      </c>
      <c r="O21" s="40" t="s">
        <v>148</v>
      </c>
      <c r="P21" s="40" t="s">
        <v>47</v>
      </c>
      <c r="Q21" s="44">
        <v>100</v>
      </c>
      <c r="R21" s="37">
        <v>0</v>
      </c>
      <c r="S21" s="37" t="s">
        <v>48</v>
      </c>
      <c r="T21" s="48">
        <v>50</v>
      </c>
      <c r="U21" s="30">
        <f>M21/W21</f>
        <v>5.82</v>
      </c>
      <c r="V21" s="41">
        <f t="shared" si="1"/>
        <v>291</v>
      </c>
      <c r="W21" s="41">
        <f t="shared" si="2"/>
        <v>1487118</v>
      </c>
      <c r="X21" s="41">
        <v>452600</v>
      </c>
      <c r="Y21" s="41"/>
      <c r="Z21" s="41"/>
      <c r="AA21" s="41"/>
      <c r="AB21" s="41"/>
      <c r="AC21" s="41">
        <f>510000+8104</f>
        <v>518104</v>
      </c>
      <c r="AD21" s="41"/>
      <c r="AE21" s="41"/>
      <c r="AF21" s="41"/>
      <c r="AG21" s="41"/>
      <c r="AH21" s="41">
        <v>516414</v>
      </c>
      <c r="AI21" s="41"/>
      <c r="AJ21" s="41"/>
      <c r="AK21" s="41"/>
      <c r="AL21" s="41"/>
      <c r="AM21" s="41">
        <f t="shared" si="3"/>
        <v>0</v>
      </c>
      <c r="AN21" s="41">
        <f t="shared" si="4"/>
        <v>29742.36</v>
      </c>
      <c r="AO21" s="41">
        <f t="shared" si="5"/>
        <v>29743</v>
      </c>
      <c r="AP21" s="40"/>
      <c r="AQ21" s="36">
        <v>44986</v>
      </c>
      <c r="AR21" s="36">
        <v>45139</v>
      </c>
      <c r="AS21" s="36">
        <v>45255</v>
      </c>
      <c r="AT21" s="36">
        <v>45000</v>
      </c>
      <c r="AU21" s="36">
        <v>45153</v>
      </c>
      <c r="AV21" s="38">
        <v>45270</v>
      </c>
      <c r="AW21" s="40" t="s">
        <v>68</v>
      </c>
    </row>
    <row r="22" spans="1:49" ht="135" customHeight="1" x14ac:dyDescent="0.3">
      <c r="A22" s="35" t="s">
        <v>38</v>
      </c>
      <c r="B22" s="36" t="s">
        <v>39</v>
      </c>
      <c r="C22" s="37">
        <v>1688</v>
      </c>
      <c r="D22" s="39" t="s">
        <v>149</v>
      </c>
      <c r="E22" s="1" t="s">
        <v>150</v>
      </c>
      <c r="F22" s="36">
        <v>44957</v>
      </c>
      <c r="G22" s="37" t="s">
        <v>151</v>
      </c>
      <c r="H22" s="40" t="s">
        <v>43</v>
      </c>
      <c r="I22" s="40" t="s">
        <v>152</v>
      </c>
      <c r="J22" s="41">
        <v>27429573.780000001</v>
      </c>
      <c r="K22" s="41">
        <v>27429573.780000001</v>
      </c>
      <c r="L22" s="30">
        <v>27574895.039999999</v>
      </c>
      <c r="M22" s="30">
        <f t="shared" si="0"/>
        <v>27574895.039999999</v>
      </c>
      <c r="N22" s="40" t="s">
        <v>153</v>
      </c>
      <c r="O22" s="40" t="s">
        <v>148</v>
      </c>
      <c r="P22" s="40" t="s">
        <v>47</v>
      </c>
      <c r="Q22" s="44">
        <v>100</v>
      </c>
      <c r="R22" s="37">
        <v>0</v>
      </c>
      <c r="S22" s="37" t="s">
        <v>48</v>
      </c>
      <c r="T22" s="48">
        <v>100</v>
      </c>
      <c r="U22" s="30">
        <f>M22/W22</f>
        <v>2.94</v>
      </c>
      <c r="V22" s="41">
        <f t="shared" si="1"/>
        <v>294</v>
      </c>
      <c r="W22" s="41">
        <f t="shared" si="2"/>
        <v>9379216</v>
      </c>
      <c r="X22" s="41">
        <v>1754400</v>
      </c>
      <c r="Y22" s="41"/>
      <c r="Z22" s="41"/>
      <c r="AA22" s="41"/>
      <c r="AB22" s="41"/>
      <c r="AC22" s="41">
        <f>1530000+49429</f>
        <v>1579429</v>
      </c>
      <c r="AD22" s="41"/>
      <c r="AE22" s="41"/>
      <c r="AF22" s="41"/>
      <c r="AG22" s="41"/>
      <c r="AH22" s="41">
        <f>4450087+1595300</f>
        <v>6045387</v>
      </c>
      <c r="AI22" s="41"/>
      <c r="AJ22" s="41"/>
      <c r="AK22" s="41"/>
      <c r="AL22" s="41"/>
      <c r="AM22" s="41">
        <f t="shared" si="3"/>
        <v>0</v>
      </c>
      <c r="AN22" s="41">
        <f t="shared" si="4"/>
        <v>93792.16</v>
      </c>
      <c r="AO22" s="41">
        <f t="shared" si="5"/>
        <v>93793</v>
      </c>
      <c r="AP22" s="40"/>
      <c r="AQ22" s="36">
        <v>44986</v>
      </c>
      <c r="AR22" s="36">
        <v>45139</v>
      </c>
      <c r="AS22" s="38" t="s">
        <v>154</v>
      </c>
      <c r="AT22" s="36">
        <v>45000</v>
      </c>
      <c r="AU22" s="36">
        <v>45153</v>
      </c>
      <c r="AV22" s="38" t="s">
        <v>155</v>
      </c>
      <c r="AW22" s="40" t="s">
        <v>75</v>
      </c>
    </row>
    <row r="23" spans="1:49" ht="78" x14ac:dyDescent="0.3">
      <c r="A23" s="35" t="s">
        <v>38</v>
      </c>
      <c r="B23" s="36" t="s">
        <v>39</v>
      </c>
      <c r="C23" s="37">
        <v>1688</v>
      </c>
      <c r="D23" s="39" t="s">
        <v>156</v>
      </c>
      <c r="E23" s="1" t="s">
        <v>157</v>
      </c>
      <c r="F23" s="36">
        <v>44958</v>
      </c>
      <c r="G23" s="37" t="s">
        <v>158</v>
      </c>
      <c r="H23" s="40" t="s">
        <v>43</v>
      </c>
      <c r="I23" s="40" t="s">
        <v>159</v>
      </c>
      <c r="J23" s="41">
        <v>1220052945.0999999</v>
      </c>
      <c r="K23" s="41">
        <v>1220052945.0999999</v>
      </c>
      <c r="L23" s="30">
        <f t="shared" si="0"/>
        <v>1220052945.0999999</v>
      </c>
      <c r="M23" s="30">
        <f t="shared" si="0"/>
        <v>1220052945.0999999</v>
      </c>
      <c r="N23" s="40" t="s">
        <v>160</v>
      </c>
      <c r="O23" s="40" t="s">
        <v>112</v>
      </c>
      <c r="P23" s="40" t="s">
        <v>47</v>
      </c>
      <c r="Q23" s="44">
        <v>100</v>
      </c>
      <c r="R23" s="37">
        <v>0</v>
      </c>
      <c r="S23" s="37" t="s">
        <v>48</v>
      </c>
      <c r="T23" s="48">
        <v>10</v>
      </c>
      <c r="U23" s="30">
        <f>M23/W23</f>
        <v>491.15</v>
      </c>
      <c r="V23" s="41">
        <f t="shared" si="1"/>
        <v>4911.5</v>
      </c>
      <c r="W23" s="41">
        <f t="shared" si="2"/>
        <v>2484074</v>
      </c>
      <c r="X23" s="41">
        <v>298090</v>
      </c>
      <c r="Y23" s="41"/>
      <c r="Z23" s="41"/>
      <c r="AA23" s="41"/>
      <c r="AB23" s="41"/>
      <c r="AC23" s="41">
        <v>2185984</v>
      </c>
      <c r="AD23" s="41"/>
      <c r="AE23" s="41"/>
      <c r="AF23" s="41"/>
      <c r="AG23" s="41"/>
      <c r="AH23" s="41"/>
      <c r="AI23" s="41"/>
      <c r="AJ23" s="41"/>
      <c r="AK23" s="41"/>
      <c r="AL23" s="41"/>
      <c r="AM23" s="41">
        <f t="shared" si="3"/>
        <v>0</v>
      </c>
      <c r="AN23" s="41">
        <f t="shared" si="4"/>
        <v>248407.4</v>
      </c>
      <c r="AO23" s="41">
        <f t="shared" si="5"/>
        <v>248408</v>
      </c>
      <c r="AP23" s="40"/>
      <c r="AQ23" s="36">
        <v>44986</v>
      </c>
      <c r="AR23" s="36">
        <v>45285</v>
      </c>
      <c r="AS23" s="36"/>
      <c r="AT23" s="36">
        <v>45000</v>
      </c>
      <c r="AU23" s="36">
        <v>45290</v>
      </c>
      <c r="AV23" s="38"/>
      <c r="AW23" s="40" t="s">
        <v>75</v>
      </c>
    </row>
    <row r="24" spans="1:49" ht="44.25" customHeight="1" x14ac:dyDescent="0.3">
      <c r="A24" s="49" t="s">
        <v>161</v>
      </c>
      <c r="B24" s="50">
        <v>44267</v>
      </c>
      <c r="C24" s="52" t="s">
        <v>162</v>
      </c>
      <c r="D24" s="49" t="s">
        <v>163</v>
      </c>
      <c r="E24" s="53" t="s">
        <v>164</v>
      </c>
      <c r="F24" s="50">
        <v>44302</v>
      </c>
      <c r="G24" s="49" t="s">
        <v>165</v>
      </c>
      <c r="H24" s="52" t="s">
        <v>166</v>
      </c>
      <c r="I24" s="52" t="s">
        <v>167</v>
      </c>
      <c r="J24" s="41">
        <v>18652328397.779999</v>
      </c>
      <c r="K24" s="41">
        <v>6217442799.2600002</v>
      </c>
      <c r="L24" s="30">
        <v>6217442799.2600002</v>
      </c>
      <c r="M24" s="30">
        <v>18652328397.779999</v>
      </c>
      <c r="N24" s="40" t="s">
        <v>168</v>
      </c>
      <c r="O24" s="40" t="s">
        <v>169</v>
      </c>
      <c r="P24" s="37" t="s">
        <v>47</v>
      </c>
      <c r="Q24" s="44">
        <v>100</v>
      </c>
      <c r="R24" s="37">
        <v>0</v>
      </c>
      <c r="S24" s="48" t="s">
        <v>170</v>
      </c>
      <c r="T24" s="54">
        <v>30</v>
      </c>
      <c r="U24" s="30">
        <v>204.82</v>
      </c>
      <c r="V24" s="43">
        <v>6144.5999999999995</v>
      </c>
      <c r="W24" s="41">
        <v>91066929</v>
      </c>
      <c r="X24" s="41" t="s">
        <v>171</v>
      </c>
      <c r="Y24" s="41"/>
      <c r="Z24" s="41"/>
      <c r="AA24" s="41"/>
      <c r="AB24" s="41"/>
      <c r="AC24" s="41">
        <v>30355643</v>
      </c>
      <c r="AD24" s="41"/>
      <c r="AE24" s="41"/>
      <c r="AF24" s="41"/>
      <c r="AG24" s="41"/>
      <c r="AH24" s="41">
        <v>30355643</v>
      </c>
      <c r="AI24" s="41"/>
      <c r="AJ24" s="41"/>
      <c r="AK24" s="41"/>
      <c r="AL24" s="41"/>
      <c r="AM24" s="41">
        <f t="shared" si="3"/>
        <v>0</v>
      </c>
      <c r="AN24" s="42">
        <v>1011854.7666666667</v>
      </c>
      <c r="AO24" s="55">
        <v>1011855</v>
      </c>
      <c r="AP24" s="41"/>
      <c r="AQ24" s="36">
        <v>44378</v>
      </c>
      <c r="AR24" s="36">
        <v>44651</v>
      </c>
      <c r="AS24" s="36">
        <v>45016</v>
      </c>
      <c r="AT24" s="36">
        <v>44392</v>
      </c>
      <c r="AU24" s="36">
        <v>44666</v>
      </c>
      <c r="AV24" s="38">
        <v>45031</v>
      </c>
      <c r="AW24" s="56" t="s">
        <v>172</v>
      </c>
    </row>
    <row r="25" spans="1:49" ht="119.25" customHeight="1" x14ac:dyDescent="0.3">
      <c r="A25" s="49" t="s">
        <v>173</v>
      </c>
      <c r="B25" s="50">
        <v>44267</v>
      </c>
      <c r="C25" s="52" t="s">
        <v>162</v>
      </c>
      <c r="D25" s="49" t="s">
        <v>174</v>
      </c>
      <c r="E25" s="53" t="s">
        <v>175</v>
      </c>
      <c r="F25" s="50">
        <v>44305</v>
      </c>
      <c r="G25" s="49" t="s">
        <v>176</v>
      </c>
      <c r="H25" s="37" t="s">
        <v>177</v>
      </c>
      <c r="I25" s="52" t="s">
        <v>178</v>
      </c>
      <c r="J25" s="42">
        <v>13544179118.040001</v>
      </c>
      <c r="K25" s="42">
        <v>4514726372.6800003</v>
      </c>
      <c r="L25" s="43">
        <v>4515280448.6800003</v>
      </c>
      <c r="M25" s="43">
        <v>13544733194.040001</v>
      </c>
      <c r="N25" s="52" t="s">
        <v>179</v>
      </c>
      <c r="O25" s="52" t="s">
        <v>180</v>
      </c>
      <c r="P25" s="51" t="s">
        <v>47</v>
      </c>
      <c r="Q25" s="55">
        <v>100</v>
      </c>
      <c r="R25" s="51">
        <v>0</v>
      </c>
      <c r="S25" s="59" t="s">
        <v>170</v>
      </c>
      <c r="T25" s="52">
        <v>60</v>
      </c>
      <c r="U25" s="43">
        <v>307.82</v>
      </c>
      <c r="V25" s="43">
        <f>T25*U25</f>
        <v>18469.2</v>
      </c>
      <c r="W25" s="42">
        <v>44002122</v>
      </c>
      <c r="X25" s="42">
        <v>6360000</v>
      </c>
      <c r="Y25" s="42"/>
      <c r="Z25" s="42"/>
      <c r="AA25" s="42"/>
      <c r="AB25" s="42"/>
      <c r="AC25" s="42">
        <v>4200000</v>
      </c>
      <c r="AD25" s="42"/>
      <c r="AE25" s="42"/>
      <c r="AF25" s="42"/>
      <c r="AG25" s="42"/>
      <c r="AH25" s="42">
        <v>4106774</v>
      </c>
      <c r="AI25" s="42"/>
      <c r="AJ25" s="42"/>
      <c r="AK25" s="42"/>
      <c r="AL25" s="42"/>
      <c r="AM25" s="41">
        <f t="shared" si="3"/>
        <v>0</v>
      </c>
      <c r="AN25" s="42">
        <f>AC25/T25</f>
        <v>70000</v>
      </c>
      <c r="AO25" s="55">
        <f t="shared" ref="AO25:AO30" si="6">_xlfn.CEILING.MATH(AN25)</f>
        <v>70000</v>
      </c>
      <c r="AP25" s="42"/>
      <c r="AQ25" s="50">
        <v>44561</v>
      </c>
      <c r="AR25" s="50">
        <v>44926</v>
      </c>
      <c r="AS25" s="50">
        <v>45291</v>
      </c>
      <c r="AT25" s="50">
        <v>44561</v>
      </c>
      <c r="AU25" s="50">
        <v>44926</v>
      </c>
      <c r="AV25" s="58">
        <v>45291</v>
      </c>
      <c r="AW25" s="56" t="s">
        <v>181</v>
      </c>
    </row>
    <row r="26" spans="1:49" ht="44.25" customHeight="1" x14ac:dyDescent="0.3">
      <c r="A26" s="49" t="s">
        <v>182</v>
      </c>
      <c r="B26" s="50">
        <v>44267</v>
      </c>
      <c r="C26" s="52" t="s">
        <v>162</v>
      </c>
      <c r="D26" s="49" t="s">
        <v>183</v>
      </c>
      <c r="E26" s="53" t="s">
        <v>184</v>
      </c>
      <c r="F26" s="50">
        <v>44306</v>
      </c>
      <c r="G26" s="49" t="s">
        <v>185</v>
      </c>
      <c r="H26" s="37" t="s">
        <v>186</v>
      </c>
      <c r="I26" s="52" t="s">
        <v>187</v>
      </c>
      <c r="J26" s="42">
        <v>8269045237.5600004</v>
      </c>
      <c r="K26" s="42">
        <v>2756348412.52</v>
      </c>
      <c r="L26" s="43">
        <v>2419915673.1999998</v>
      </c>
      <c r="M26" s="43">
        <v>7622532400.5799999</v>
      </c>
      <c r="N26" s="52" t="s">
        <v>188</v>
      </c>
      <c r="O26" s="52" t="s">
        <v>189</v>
      </c>
      <c r="P26" s="51" t="s">
        <v>190</v>
      </c>
      <c r="Q26" s="55">
        <v>0</v>
      </c>
      <c r="R26" s="51">
        <v>100</v>
      </c>
      <c r="S26" s="59" t="s">
        <v>170</v>
      </c>
      <c r="T26" s="52">
        <v>60</v>
      </c>
      <c r="U26" s="43">
        <v>201.97</v>
      </c>
      <c r="V26" s="43">
        <f>T26*U26</f>
        <v>12118.2</v>
      </c>
      <c r="W26" s="42">
        <f>X26+AC26+AH26</f>
        <v>37740914</v>
      </c>
      <c r="X26" s="42">
        <v>13647316</v>
      </c>
      <c r="Y26" s="42"/>
      <c r="Z26" s="42"/>
      <c r="AA26" s="42"/>
      <c r="AB26" s="42"/>
      <c r="AC26" s="42">
        <v>12112038</v>
      </c>
      <c r="AD26" s="42"/>
      <c r="AE26" s="42"/>
      <c r="AF26" s="42"/>
      <c r="AG26" s="42"/>
      <c r="AH26" s="42">
        <f>9553120+2428440</f>
        <v>11981560</v>
      </c>
      <c r="AI26" s="42"/>
      <c r="AJ26" s="42"/>
      <c r="AK26" s="42"/>
      <c r="AL26" s="42"/>
      <c r="AM26" s="41">
        <f t="shared" si="3"/>
        <v>0</v>
      </c>
      <c r="AN26" s="42">
        <f>AC26/T26</f>
        <v>201867.3</v>
      </c>
      <c r="AO26" s="55">
        <f t="shared" si="6"/>
        <v>201868</v>
      </c>
      <c r="AP26" s="42"/>
      <c r="AQ26" s="50">
        <v>44530</v>
      </c>
      <c r="AR26" s="50">
        <v>44774</v>
      </c>
      <c r="AS26" s="50">
        <v>45108</v>
      </c>
      <c r="AT26" s="50">
        <v>44545</v>
      </c>
      <c r="AU26" s="50">
        <v>44788</v>
      </c>
      <c r="AV26" s="58">
        <v>45122</v>
      </c>
      <c r="AW26" s="56" t="s">
        <v>191</v>
      </c>
    </row>
    <row r="27" spans="1:49" ht="44.25" customHeight="1" x14ac:dyDescent="0.3">
      <c r="A27" s="39" t="s">
        <v>192</v>
      </c>
      <c r="B27" s="36">
        <v>44301</v>
      </c>
      <c r="C27" s="37" t="s">
        <v>162</v>
      </c>
      <c r="D27" s="39" t="s">
        <v>193</v>
      </c>
      <c r="E27" s="60" t="s">
        <v>194</v>
      </c>
      <c r="F27" s="36">
        <v>44368</v>
      </c>
      <c r="G27" s="39" t="s">
        <v>195</v>
      </c>
      <c r="H27" s="51" t="s">
        <v>177</v>
      </c>
      <c r="I27" s="40" t="s">
        <v>196</v>
      </c>
      <c r="J27" s="41">
        <v>702951908.88</v>
      </c>
      <c r="K27" s="41">
        <v>234317302.96000001</v>
      </c>
      <c r="L27" s="30">
        <v>234317248.88</v>
      </c>
      <c r="M27" s="30">
        <v>702951854.79999995</v>
      </c>
      <c r="N27" s="40" t="s">
        <v>197</v>
      </c>
      <c r="O27" s="40" t="s">
        <v>198</v>
      </c>
      <c r="P27" s="37" t="s">
        <v>199</v>
      </c>
      <c r="Q27" s="44">
        <v>0</v>
      </c>
      <c r="R27" s="37">
        <v>100</v>
      </c>
      <c r="S27" s="48" t="s">
        <v>200</v>
      </c>
      <c r="T27" s="54">
        <v>112</v>
      </c>
      <c r="U27" s="30" t="s">
        <v>201</v>
      </c>
      <c r="V27" s="54" t="s">
        <v>202</v>
      </c>
      <c r="W27" s="41">
        <f>SUM(X27:AH27)</f>
        <v>417514</v>
      </c>
      <c r="X27" s="41">
        <v>124024</v>
      </c>
      <c r="Y27" s="41"/>
      <c r="Z27" s="41"/>
      <c r="AA27" s="41"/>
      <c r="AB27" s="41"/>
      <c r="AC27" s="41">
        <v>124024</v>
      </c>
      <c r="AD27" s="41"/>
      <c r="AE27" s="41"/>
      <c r="AF27" s="41"/>
      <c r="AG27" s="41"/>
      <c r="AH27" s="41">
        <f>124024+45442</f>
        <v>169466</v>
      </c>
      <c r="AI27" s="41"/>
      <c r="AJ27" s="41"/>
      <c r="AK27" s="41"/>
      <c r="AL27" s="41"/>
      <c r="AM27" s="41">
        <f t="shared" si="3"/>
        <v>0</v>
      </c>
      <c r="AN27" s="42">
        <f>AH27/T27</f>
        <v>1513.0892857142858</v>
      </c>
      <c r="AO27" s="55">
        <f t="shared" si="6"/>
        <v>1514</v>
      </c>
      <c r="AP27" s="41"/>
      <c r="AQ27" s="36">
        <v>44392</v>
      </c>
      <c r="AR27" s="36">
        <v>44652</v>
      </c>
      <c r="AS27" s="36">
        <v>45017</v>
      </c>
      <c r="AT27" s="36">
        <v>44409</v>
      </c>
      <c r="AU27" s="36">
        <v>44696</v>
      </c>
      <c r="AV27" s="38">
        <v>45061</v>
      </c>
      <c r="AW27" s="56" t="s">
        <v>87</v>
      </c>
    </row>
    <row r="28" spans="1:49" ht="44.25" customHeight="1" x14ac:dyDescent="0.3">
      <c r="A28" s="49" t="s">
        <v>203</v>
      </c>
      <c r="B28" s="36">
        <v>44301</v>
      </c>
      <c r="C28" s="37" t="s">
        <v>162</v>
      </c>
      <c r="D28" s="39" t="s">
        <v>204</v>
      </c>
      <c r="E28" s="60" t="s">
        <v>205</v>
      </c>
      <c r="F28" s="36">
        <v>44368</v>
      </c>
      <c r="G28" s="39" t="s">
        <v>206</v>
      </c>
      <c r="H28" s="51" t="s">
        <v>177</v>
      </c>
      <c r="I28" s="40" t="s">
        <v>207</v>
      </c>
      <c r="J28" s="41">
        <v>565377971.51999998</v>
      </c>
      <c r="K28" s="41">
        <v>188459323.84</v>
      </c>
      <c r="L28" s="30">
        <v>188459323.84</v>
      </c>
      <c r="M28" s="30">
        <v>565377971.51999998</v>
      </c>
      <c r="N28" s="40" t="s">
        <v>208</v>
      </c>
      <c r="O28" s="40" t="s">
        <v>209</v>
      </c>
      <c r="P28" s="37" t="s">
        <v>47</v>
      </c>
      <c r="Q28" s="44">
        <v>100</v>
      </c>
      <c r="R28" s="37">
        <v>0</v>
      </c>
      <c r="S28" s="48" t="s">
        <v>200</v>
      </c>
      <c r="T28" s="40">
        <v>56</v>
      </c>
      <c r="U28" s="30">
        <v>1044.6400000000001</v>
      </c>
      <c r="V28" s="43">
        <f>U28*T28</f>
        <v>58499.840000000004</v>
      </c>
      <c r="W28" s="41">
        <v>541218</v>
      </c>
      <c r="X28" s="41">
        <v>180406</v>
      </c>
      <c r="Y28" s="41"/>
      <c r="Z28" s="41"/>
      <c r="AA28" s="41"/>
      <c r="AB28" s="41"/>
      <c r="AC28" s="41">
        <v>180406</v>
      </c>
      <c r="AD28" s="41"/>
      <c r="AE28" s="41"/>
      <c r="AF28" s="41"/>
      <c r="AG28" s="41"/>
      <c r="AH28" s="41">
        <v>180406</v>
      </c>
      <c r="AI28" s="41"/>
      <c r="AJ28" s="41"/>
      <c r="AK28" s="41"/>
      <c r="AL28" s="41"/>
      <c r="AM28" s="41">
        <f t="shared" si="3"/>
        <v>0</v>
      </c>
      <c r="AN28" s="42">
        <f>AC28/T28</f>
        <v>3221.5357142857142</v>
      </c>
      <c r="AO28" s="55">
        <f t="shared" si="6"/>
        <v>3222</v>
      </c>
      <c r="AP28" s="41"/>
      <c r="AQ28" s="36">
        <v>44392</v>
      </c>
      <c r="AR28" s="36">
        <v>44652</v>
      </c>
      <c r="AS28" s="36">
        <v>45017</v>
      </c>
      <c r="AT28" s="36">
        <v>44409</v>
      </c>
      <c r="AU28" s="36">
        <v>44696</v>
      </c>
      <c r="AV28" s="38">
        <v>45061</v>
      </c>
      <c r="AW28" s="56" t="s">
        <v>210</v>
      </c>
    </row>
    <row r="29" spans="1:49" ht="44.25" customHeight="1" x14ac:dyDescent="0.3">
      <c r="A29" s="39" t="s">
        <v>211</v>
      </c>
      <c r="B29" s="36">
        <v>44432</v>
      </c>
      <c r="C29" s="37">
        <v>1416</v>
      </c>
      <c r="D29" s="39" t="s">
        <v>212</v>
      </c>
      <c r="E29" s="60" t="s">
        <v>213</v>
      </c>
      <c r="F29" s="36">
        <v>44475</v>
      </c>
      <c r="G29" s="39" t="s">
        <v>214</v>
      </c>
      <c r="H29" s="40" t="s">
        <v>186</v>
      </c>
      <c r="I29" s="40" t="s">
        <v>215</v>
      </c>
      <c r="J29" s="41">
        <v>5861480121</v>
      </c>
      <c r="K29" s="41">
        <v>3319597333.5</v>
      </c>
      <c r="L29" s="30">
        <f t="shared" ref="L29:L37" si="7">K29</f>
        <v>3319597333.5</v>
      </c>
      <c r="M29" s="30">
        <v>6250337394</v>
      </c>
      <c r="N29" s="40" t="s">
        <v>216</v>
      </c>
      <c r="O29" s="40" t="s">
        <v>217</v>
      </c>
      <c r="P29" s="30" t="s">
        <v>218</v>
      </c>
      <c r="Q29" s="44">
        <v>0</v>
      </c>
      <c r="R29" s="48">
        <v>100</v>
      </c>
      <c r="S29" s="48" t="s">
        <v>219</v>
      </c>
      <c r="T29" s="40">
        <v>15</v>
      </c>
      <c r="U29" s="30">
        <f>K29/W29</f>
        <v>3127.7416600712309</v>
      </c>
      <c r="V29" s="43">
        <f>U29*T29</f>
        <v>46916.124901068462</v>
      </c>
      <c r="W29" s="41">
        <v>1061340</v>
      </c>
      <c r="X29" s="41">
        <v>497655</v>
      </c>
      <c r="Y29" s="41"/>
      <c r="Z29" s="41"/>
      <c r="AA29" s="41"/>
      <c r="AB29" s="41"/>
      <c r="AC29" s="41">
        <v>181245</v>
      </c>
      <c r="AD29" s="41"/>
      <c r="AE29" s="41"/>
      <c r="AF29" s="41"/>
      <c r="AG29" s="41"/>
      <c r="AH29" s="41">
        <v>382440</v>
      </c>
      <c r="AI29" s="41"/>
      <c r="AJ29" s="41"/>
      <c r="AK29" s="41"/>
      <c r="AL29" s="41"/>
      <c r="AM29" s="41">
        <f t="shared" si="3"/>
        <v>0</v>
      </c>
      <c r="AN29" s="42">
        <f>W29/T29</f>
        <v>70756</v>
      </c>
      <c r="AO29" s="55">
        <f t="shared" si="6"/>
        <v>70756</v>
      </c>
      <c r="AP29" s="41"/>
      <c r="AQ29" s="36">
        <v>44681</v>
      </c>
      <c r="AR29" s="36">
        <v>44941</v>
      </c>
      <c r="AS29" s="36">
        <v>45046</v>
      </c>
      <c r="AT29" s="36">
        <v>44701</v>
      </c>
      <c r="AU29" s="36">
        <v>44941</v>
      </c>
      <c r="AV29" s="38">
        <v>45068</v>
      </c>
      <c r="AW29" s="56" t="s">
        <v>87</v>
      </c>
    </row>
    <row r="30" spans="1:49" ht="44.25" customHeight="1" x14ac:dyDescent="0.3">
      <c r="A30" s="39" t="s">
        <v>220</v>
      </c>
      <c r="B30" s="36">
        <v>44526</v>
      </c>
      <c r="C30" s="37">
        <v>1416</v>
      </c>
      <c r="D30" s="39" t="s">
        <v>221</v>
      </c>
      <c r="E30" s="61" t="s">
        <v>222</v>
      </c>
      <c r="F30" s="36">
        <v>44557</v>
      </c>
      <c r="G30" s="39" t="s">
        <v>223</v>
      </c>
      <c r="H30" s="40" t="s">
        <v>224</v>
      </c>
      <c r="I30" s="40" t="s">
        <v>225</v>
      </c>
      <c r="J30" s="41">
        <v>1425955476</v>
      </c>
      <c r="K30" s="41">
        <v>712977738</v>
      </c>
      <c r="L30" s="30">
        <f t="shared" si="7"/>
        <v>712977738</v>
      </c>
      <c r="M30" s="30">
        <v>1425955476</v>
      </c>
      <c r="N30" s="40" t="s">
        <v>226</v>
      </c>
      <c r="O30" s="40" t="s">
        <v>227</v>
      </c>
      <c r="P30" s="30" t="s">
        <v>228</v>
      </c>
      <c r="Q30" s="44">
        <v>0</v>
      </c>
      <c r="R30" s="37">
        <v>100</v>
      </c>
      <c r="S30" s="48" t="s">
        <v>229</v>
      </c>
      <c r="T30" s="40">
        <v>500</v>
      </c>
      <c r="U30" s="30">
        <f>M30/W30</f>
        <v>7.26</v>
      </c>
      <c r="V30" s="43">
        <f>U30*T30</f>
        <v>3630</v>
      </c>
      <c r="W30" s="41">
        <f t="shared" ref="W30:W61" si="8">X30+AC30+AH30</f>
        <v>196412600</v>
      </c>
      <c r="X30" s="48">
        <v>11520500</v>
      </c>
      <c r="Y30" s="48"/>
      <c r="Z30" s="48"/>
      <c r="AA30" s="48"/>
      <c r="AB30" s="48"/>
      <c r="AC30" s="48">
        <v>86685800</v>
      </c>
      <c r="AD30" s="48"/>
      <c r="AE30" s="48"/>
      <c r="AF30" s="48"/>
      <c r="AG30" s="48"/>
      <c r="AH30" s="41">
        <v>98206300</v>
      </c>
      <c r="AI30" s="41">
        <v>29547200</v>
      </c>
      <c r="AJ30" s="41">
        <f t="shared" ref="AJ30:AJ36" si="9">AI30*U30</f>
        <v>214512672</v>
      </c>
      <c r="AK30" s="41">
        <v>68659100</v>
      </c>
      <c r="AL30" s="41">
        <f t="shared" ref="AL30:AL36" si="10">AK30*U30</f>
        <v>498465066</v>
      </c>
      <c r="AM30" s="41">
        <f t="shared" si="3"/>
        <v>214512672</v>
      </c>
      <c r="AN30" s="42">
        <f>W30/T30</f>
        <v>392825.2</v>
      </c>
      <c r="AO30" s="55">
        <f t="shared" si="6"/>
        <v>392826</v>
      </c>
      <c r="AP30" s="62"/>
      <c r="AQ30" s="36">
        <v>44607</v>
      </c>
      <c r="AR30" s="36">
        <v>44743</v>
      </c>
      <c r="AS30" s="36">
        <v>45108</v>
      </c>
      <c r="AT30" s="36">
        <v>44621</v>
      </c>
      <c r="AU30" s="36">
        <v>44757</v>
      </c>
      <c r="AV30" s="38">
        <v>45122</v>
      </c>
      <c r="AW30" s="56" t="s">
        <v>230</v>
      </c>
    </row>
    <row r="31" spans="1:49" ht="44.25" customHeight="1" x14ac:dyDescent="0.3">
      <c r="A31" s="39" t="s">
        <v>231</v>
      </c>
      <c r="B31" s="36">
        <v>44526</v>
      </c>
      <c r="C31" s="37">
        <v>1416</v>
      </c>
      <c r="D31" s="39" t="s">
        <v>232</v>
      </c>
      <c r="E31" s="61" t="s">
        <v>233</v>
      </c>
      <c r="F31" s="36">
        <v>44554</v>
      </c>
      <c r="G31" s="39" t="s">
        <v>234</v>
      </c>
      <c r="H31" s="40" t="s">
        <v>224</v>
      </c>
      <c r="I31" s="40" t="s">
        <v>235</v>
      </c>
      <c r="J31" s="41">
        <v>1744346141.8399999</v>
      </c>
      <c r="K31" s="41">
        <v>872173070.91999996</v>
      </c>
      <c r="L31" s="30">
        <f t="shared" si="7"/>
        <v>872173070.91999996</v>
      </c>
      <c r="M31" s="30">
        <v>1744346141.8399999</v>
      </c>
      <c r="N31" s="40" t="s">
        <v>236</v>
      </c>
      <c r="O31" s="40" t="s">
        <v>237</v>
      </c>
      <c r="P31" s="30" t="s">
        <v>238</v>
      </c>
      <c r="Q31" s="44">
        <v>0</v>
      </c>
      <c r="R31" s="37">
        <v>100</v>
      </c>
      <c r="S31" s="48" t="s">
        <v>229</v>
      </c>
      <c r="T31" s="40" t="s">
        <v>239</v>
      </c>
      <c r="U31" s="30">
        <f>M31/W31</f>
        <v>10.729999999999999</v>
      </c>
      <c r="V31" s="43" t="s">
        <v>240</v>
      </c>
      <c r="W31" s="41">
        <f t="shared" si="8"/>
        <v>162567208</v>
      </c>
      <c r="X31" s="48">
        <v>33894400</v>
      </c>
      <c r="Y31" s="48"/>
      <c r="Z31" s="48"/>
      <c r="AA31" s="48"/>
      <c r="AB31" s="48"/>
      <c r="AC31" s="48">
        <v>47389204</v>
      </c>
      <c r="AD31" s="48"/>
      <c r="AE31" s="48"/>
      <c r="AF31" s="48"/>
      <c r="AG31" s="48"/>
      <c r="AH31" s="41">
        <v>81283604</v>
      </c>
      <c r="AI31" s="41">
        <v>18016800</v>
      </c>
      <c r="AJ31" s="41">
        <f t="shared" si="9"/>
        <v>193320263.99999997</v>
      </c>
      <c r="AK31" s="41">
        <v>63266804</v>
      </c>
      <c r="AL31" s="41">
        <f t="shared" si="10"/>
        <v>678852806.91999996</v>
      </c>
      <c r="AM31" s="41">
        <f t="shared" si="3"/>
        <v>193320263.99999997</v>
      </c>
      <c r="AN31" s="63" t="s">
        <v>241</v>
      </c>
      <c r="AO31" s="64" t="s">
        <v>242</v>
      </c>
      <c r="AP31" s="62"/>
      <c r="AQ31" s="36">
        <v>44607</v>
      </c>
      <c r="AR31" s="36">
        <v>44743</v>
      </c>
      <c r="AS31" s="36">
        <v>45108</v>
      </c>
      <c r="AT31" s="36">
        <v>44621</v>
      </c>
      <c r="AU31" s="36">
        <v>44757</v>
      </c>
      <c r="AV31" s="38">
        <v>45122</v>
      </c>
      <c r="AW31" s="56" t="s">
        <v>87</v>
      </c>
    </row>
    <row r="32" spans="1:49" ht="143.25" customHeight="1" x14ac:dyDescent="0.3">
      <c r="A32" s="39" t="s">
        <v>243</v>
      </c>
      <c r="B32" s="36">
        <v>44526</v>
      </c>
      <c r="C32" s="37">
        <v>1416</v>
      </c>
      <c r="D32" s="39" t="s">
        <v>244</v>
      </c>
      <c r="E32" s="61" t="s">
        <v>245</v>
      </c>
      <c r="F32" s="36">
        <v>44554</v>
      </c>
      <c r="G32" s="39" t="s">
        <v>246</v>
      </c>
      <c r="H32" s="40" t="s">
        <v>224</v>
      </c>
      <c r="I32" s="40" t="s">
        <v>247</v>
      </c>
      <c r="J32" s="41">
        <v>5591158343.6800003</v>
      </c>
      <c r="K32" s="41">
        <v>2795579171.8400002</v>
      </c>
      <c r="L32" s="30">
        <f t="shared" si="7"/>
        <v>2795579171.8400002</v>
      </c>
      <c r="M32" s="30">
        <v>5591158343.6800003</v>
      </c>
      <c r="N32" s="40" t="s">
        <v>226</v>
      </c>
      <c r="O32" s="40" t="s">
        <v>227</v>
      </c>
      <c r="P32" s="30" t="s">
        <v>228</v>
      </c>
      <c r="Q32" s="44">
        <v>0</v>
      </c>
      <c r="R32" s="37">
        <v>100</v>
      </c>
      <c r="S32" s="48" t="s">
        <v>229</v>
      </c>
      <c r="T32" s="65">
        <v>1000</v>
      </c>
      <c r="U32" s="30">
        <f>M32/W32</f>
        <v>7.28</v>
      </c>
      <c r="V32" s="43">
        <f>U32*T32</f>
        <v>7280</v>
      </c>
      <c r="W32" s="41">
        <f t="shared" si="8"/>
        <v>768016256</v>
      </c>
      <c r="X32" s="48">
        <v>140833000</v>
      </c>
      <c r="Y32" s="48"/>
      <c r="Z32" s="48"/>
      <c r="AA32" s="48"/>
      <c r="AB32" s="48"/>
      <c r="AC32" s="48">
        <v>243175128</v>
      </c>
      <c r="AD32" s="48"/>
      <c r="AE32" s="48"/>
      <c r="AF32" s="48"/>
      <c r="AG32" s="48"/>
      <c r="AH32" s="41">
        <v>384008128</v>
      </c>
      <c r="AI32" s="41">
        <v>82576000</v>
      </c>
      <c r="AJ32" s="41">
        <f t="shared" si="9"/>
        <v>601153280</v>
      </c>
      <c r="AK32" s="41">
        <v>301432128</v>
      </c>
      <c r="AL32" s="41">
        <f t="shared" si="10"/>
        <v>2194425891.8400002</v>
      </c>
      <c r="AM32" s="41">
        <f t="shared" si="3"/>
        <v>601153280</v>
      </c>
      <c r="AN32" s="42">
        <f>W32/T32</f>
        <v>768016.25600000005</v>
      </c>
      <c r="AO32" s="55">
        <f>_xlfn.CEILING.MATH(AN32)</f>
        <v>768017</v>
      </c>
      <c r="AP32" s="66"/>
      <c r="AQ32" s="36">
        <v>44607</v>
      </c>
      <c r="AR32" s="36">
        <v>44743</v>
      </c>
      <c r="AS32" s="36">
        <v>45108</v>
      </c>
      <c r="AT32" s="36">
        <v>44621</v>
      </c>
      <c r="AU32" s="36">
        <v>44757</v>
      </c>
      <c r="AV32" s="38">
        <v>45122</v>
      </c>
      <c r="AW32" s="56" t="s">
        <v>230</v>
      </c>
    </row>
    <row r="33" spans="1:49" ht="126" customHeight="1" x14ac:dyDescent="0.3">
      <c r="A33" s="39" t="s">
        <v>248</v>
      </c>
      <c r="B33" s="36">
        <v>44526</v>
      </c>
      <c r="C33" s="37">
        <v>1416</v>
      </c>
      <c r="D33" s="39" t="s">
        <v>249</v>
      </c>
      <c r="E33" s="60" t="s">
        <v>250</v>
      </c>
      <c r="F33" s="36">
        <v>44547</v>
      </c>
      <c r="G33" s="39" t="s">
        <v>251</v>
      </c>
      <c r="H33" s="40" t="s">
        <v>224</v>
      </c>
      <c r="I33" s="40" t="s">
        <v>252</v>
      </c>
      <c r="J33" s="41">
        <v>66010896</v>
      </c>
      <c r="K33" s="41">
        <v>33005448</v>
      </c>
      <c r="L33" s="30">
        <f t="shared" si="7"/>
        <v>33005448</v>
      </c>
      <c r="M33" s="30">
        <v>66010896</v>
      </c>
      <c r="N33" s="40" t="s">
        <v>253</v>
      </c>
      <c r="O33" s="40" t="s">
        <v>254</v>
      </c>
      <c r="P33" s="30" t="s">
        <v>255</v>
      </c>
      <c r="Q33" s="44">
        <v>0</v>
      </c>
      <c r="R33" s="37">
        <v>100</v>
      </c>
      <c r="S33" s="48" t="s">
        <v>229</v>
      </c>
      <c r="T33" s="40">
        <v>250</v>
      </c>
      <c r="U33" s="30" t="e">
        <f>#REF!/W33</f>
        <v>#REF!</v>
      </c>
      <c r="V33" s="43">
        <f>R33*Q33</f>
        <v>0</v>
      </c>
      <c r="W33" s="41">
        <f t="shared" si="8"/>
        <v>8366400</v>
      </c>
      <c r="X33" s="48">
        <v>461750</v>
      </c>
      <c r="Y33" s="48"/>
      <c r="Z33" s="48"/>
      <c r="AA33" s="48"/>
      <c r="AB33" s="48"/>
      <c r="AC33" s="48">
        <v>3721450</v>
      </c>
      <c r="AD33" s="48"/>
      <c r="AE33" s="48"/>
      <c r="AF33" s="48"/>
      <c r="AG33" s="48"/>
      <c r="AH33" s="41">
        <v>4183200</v>
      </c>
      <c r="AI33" s="41">
        <v>2130450</v>
      </c>
      <c r="AJ33" s="41" t="e">
        <f t="shared" si="9"/>
        <v>#REF!</v>
      </c>
      <c r="AK33" s="41">
        <v>2052750</v>
      </c>
      <c r="AL33" s="41" t="e">
        <f t="shared" si="10"/>
        <v>#REF!</v>
      </c>
      <c r="AM33" s="41" t="e">
        <f t="shared" si="3"/>
        <v>#REF!</v>
      </c>
      <c r="AN33" s="42">
        <f>W33/T33</f>
        <v>33465.599999999999</v>
      </c>
      <c r="AO33" s="55">
        <f>_xlfn.CEILING.MATH(AN33)</f>
        <v>33466</v>
      </c>
      <c r="AP33" s="55"/>
      <c r="AQ33" s="36">
        <v>44607</v>
      </c>
      <c r="AR33" s="36">
        <v>44743</v>
      </c>
      <c r="AS33" s="36">
        <v>45108</v>
      </c>
      <c r="AT33" s="36">
        <v>44621</v>
      </c>
      <c r="AU33" s="36">
        <v>44757</v>
      </c>
      <c r="AV33" s="38">
        <v>45122</v>
      </c>
      <c r="AW33" s="56" t="s">
        <v>87</v>
      </c>
    </row>
    <row r="34" spans="1:49" ht="126" customHeight="1" x14ac:dyDescent="0.3">
      <c r="A34" s="39" t="s">
        <v>256</v>
      </c>
      <c r="B34" s="36">
        <v>44526</v>
      </c>
      <c r="C34" s="37">
        <v>1416</v>
      </c>
      <c r="D34" s="39" t="s">
        <v>257</v>
      </c>
      <c r="E34" s="60" t="s">
        <v>258</v>
      </c>
      <c r="F34" s="36">
        <v>44547</v>
      </c>
      <c r="G34" s="39" t="s">
        <v>259</v>
      </c>
      <c r="H34" s="40" t="s">
        <v>224</v>
      </c>
      <c r="I34" s="40" t="s">
        <v>260</v>
      </c>
      <c r="J34" s="41">
        <v>6107220</v>
      </c>
      <c r="K34" s="41">
        <v>3053610</v>
      </c>
      <c r="L34" s="30">
        <f t="shared" si="7"/>
        <v>3053610</v>
      </c>
      <c r="M34" s="30">
        <v>6107220</v>
      </c>
      <c r="N34" s="40" t="s">
        <v>261</v>
      </c>
      <c r="O34" s="40" t="s">
        <v>262</v>
      </c>
      <c r="P34" s="30" t="s">
        <v>263</v>
      </c>
      <c r="Q34" s="44">
        <v>0</v>
      </c>
      <c r="R34" s="37">
        <v>100</v>
      </c>
      <c r="S34" s="48" t="s">
        <v>229</v>
      </c>
      <c r="T34" s="40">
        <v>250</v>
      </c>
      <c r="U34" s="30" t="e">
        <f>#REF!/W34</f>
        <v>#REF!</v>
      </c>
      <c r="V34" s="43">
        <f>R34*Q34</f>
        <v>0</v>
      </c>
      <c r="W34" s="41">
        <f t="shared" si="8"/>
        <v>786000</v>
      </c>
      <c r="X34" s="48">
        <v>196500</v>
      </c>
      <c r="Y34" s="48"/>
      <c r="Z34" s="48"/>
      <c r="AA34" s="48"/>
      <c r="AB34" s="48"/>
      <c r="AC34" s="48">
        <v>196500</v>
      </c>
      <c r="AD34" s="48"/>
      <c r="AE34" s="48"/>
      <c r="AF34" s="48"/>
      <c r="AG34" s="48"/>
      <c r="AH34" s="41">
        <v>393000</v>
      </c>
      <c r="AI34" s="41">
        <v>196500</v>
      </c>
      <c r="AJ34" s="41" t="e">
        <f t="shared" si="9"/>
        <v>#REF!</v>
      </c>
      <c r="AK34" s="41">
        <v>196500</v>
      </c>
      <c r="AL34" s="41" t="e">
        <f t="shared" si="10"/>
        <v>#REF!</v>
      </c>
      <c r="AM34" s="41" t="e">
        <f t="shared" si="3"/>
        <v>#REF!</v>
      </c>
      <c r="AN34" s="42">
        <f>W34/T34</f>
        <v>3144</v>
      </c>
      <c r="AO34" s="55">
        <f>_xlfn.CEILING.MATH(AN34)</f>
        <v>3144</v>
      </c>
      <c r="AP34" s="55"/>
      <c r="AQ34" s="36">
        <v>44607</v>
      </c>
      <c r="AR34" s="36">
        <v>44743</v>
      </c>
      <c r="AS34" s="36">
        <v>45108</v>
      </c>
      <c r="AT34" s="36">
        <v>44621</v>
      </c>
      <c r="AU34" s="36">
        <v>44757</v>
      </c>
      <c r="AV34" s="38">
        <v>45122</v>
      </c>
      <c r="AW34" s="56" t="s">
        <v>87</v>
      </c>
    </row>
    <row r="35" spans="1:49" ht="126" customHeight="1" x14ac:dyDescent="0.3">
      <c r="A35" s="39" t="s">
        <v>264</v>
      </c>
      <c r="B35" s="36">
        <v>44526</v>
      </c>
      <c r="C35" s="37">
        <v>1416</v>
      </c>
      <c r="D35" s="39" t="s">
        <v>265</v>
      </c>
      <c r="E35" s="61" t="s">
        <v>266</v>
      </c>
      <c r="F35" s="36">
        <v>44557</v>
      </c>
      <c r="G35" s="39" t="s">
        <v>267</v>
      </c>
      <c r="H35" s="40" t="s">
        <v>224</v>
      </c>
      <c r="I35" s="40" t="s">
        <v>268</v>
      </c>
      <c r="J35" s="41">
        <v>561912932</v>
      </c>
      <c r="K35" s="41">
        <v>280956466</v>
      </c>
      <c r="L35" s="30">
        <f t="shared" si="7"/>
        <v>280956466</v>
      </c>
      <c r="M35" s="30">
        <v>561912932</v>
      </c>
      <c r="N35" s="40" t="s">
        <v>236</v>
      </c>
      <c r="O35" s="40" t="s">
        <v>237</v>
      </c>
      <c r="P35" s="30" t="s">
        <v>238</v>
      </c>
      <c r="Q35" s="44">
        <v>0</v>
      </c>
      <c r="R35" s="37">
        <v>100</v>
      </c>
      <c r="S35" s="48" t="s">
        <v>229</v>
      </c>
      <c r="T35" s="40" t="s">
        <v>269</v>
      </c>
      <c r="U35" s="30" t="e">
        <f>#REF!/W35</f>
        <v>#REF!</v>
      </c>
      <c r="V35" s="43" t="s">
        <v>270</v>
      </c>
      <c r="W35" s="41">
        <f t="shared" si="8"/>
        <v>52368400</v>
      </c>
      <c r="X35" s="48">
        <v>11609400</v>
      </c>
      <c r="Y35" s="48"/>
      <c r="Z35" s="48"/>
      <c r="AA35" s="48"/>
      <c r="AB35" s="48"/>
      <c r="AC35" s="48">
        <v>14574800</v>
      </c>
      <c r="AD35" s="48"/>
      <c r="AE35" s="48"/>
      <c r="AF35" s="48"/>
      <c r="AG35" s="48"/>
      <c r="AH35" s="41">
        <v>26184200</v>
      </c>
      <c r="AI35" s="41">
        <v>11329500</v>
      </c>
      <c r="AJ35" s="41" t="e">
        <f t="shared" si="9"/>
        <v>#REF!</v>
      </c>
      <c r="AK35" s="41">
        <v>14854700</v>
      </c>
      <c r="AL35" s="41" t="e">
        <f t="shared" si="10"/>
        <v>#REF!</v>
      </c>
      <c r="AM35" s="41" t="e">
        <f t="shared" si="3"/>
        <v>#REF!</v>
      </c>
      <c r="AN35" s="63" t="s">
        <v>271</v>
      </c>
      <c r="AO35" s="55" t="s">
        <v>272</v>
      </c>
      <c r="AP35" s="55"/>
      <c r="AQ35" s="36">
        <v>44607</v>
      </c>
      <c r="AR35" s="36">
        <v>44743</v>
      </c>
      <c r="AS35" s="36">
        <v>45108</v>
      </c>
      <c r="AT35" s="36">
        <v>44621</v>
      </c>
      <c r="AU35" s="36">
        <v>44757</v>
      </c>
      <c r="AV35" s="38">
        <v>45122</v>
      </c>
      <c r="AW35" s="56" t="s">
        <v>87</v>
      </c>
    </row>
    <row r="36" spans="1:49" ht="126" customHeight="1" x14ac:dyDescent="0.3">
      <c r="A36" s="39" t="s">
        <v>273</v>
      </c>
      <c r="B36" s="36">
        <v>44539</v>
      </c>
      <c r="C36" s="37">
        <v>1416</v>
      </c>
      <c r="D36" s="39" t="s">
        <v>274</v>
      </c>
      <c r="E36" s="1" t="s">
        <v>275</v>
      </c>
      <c r="F36" s="36">
        <v>44560</v>
      </c>
      <c r="G36" s="39" t="s">
        <v>276</v>
      </c>
      <c r="H36" s="40" t="s">
        <v>224</v>
      </c>
      <c r="I36" s="40" t="s">
        <v>277</v>
      </c>
      <c r="J36" s="41">
        <v>151459075.84</v>
      </c>
      <c r="K36" s="41">
        <v>75729537.920000002</v>
      </c>
      <c r="L36" s="30">
        <f t="shared" si="7"/>
        <v>75729537.920000002</v>
      </c>
      <c r="M36" s="30">
        <v>151459075.84</v>
      </c>
      <c r="N36" s="40" t="s">
        <v>278</v>
      </c>
      <c r="O36" s="40" t="s">
        <v>279</v>
      </c>
      <c r="P36" s="37" t="s">
        <v>47</v>
      </c>
      <c r="Q36" s="44">
        <v>100</v>
      </c>
      <c r="R36" s="37">
        <v>0</v>
      </c>
      <c r="S36" s="48" t="s">
        <v>200</v>
      </c>
      <c r="T36" s="40">
        <v>60</v>
      </c>
      <c r="U36" s="30">
        <f>M36/W36</f>
        <v>55.84</v>
      </c>
      <c r="V36" s="43">
        <f t="shared" ref="V36:V54" si="11">U36*T36</f>
        <v>3350.4</v>
      </c>
      <c r="W36" s="41">
        <f t="shared" si="8"/>
        <v>2712376</v>
      </c>
      <c r="X36" s="41">
        <v>1356188</v>
      </c>
      <c r="Y36" s="41"/>
      <c r="Z36" s="41">
        <v>0</v>
      </c>
      <c r="AA36" s="41"/>
      <c r="AB36" s="41">
        <v>0</v>
      </c>
      <c r="AC36" s="41">
        <f>AD36+AF36</f>
        <v>1140000</v>
      </c>
      <c r="AD36" s="41">
        <v>49380</v>
      </c>
      <c r="AE36" s="41">
        <f>AD36*U36</f>
        <v>2757379.2</v>
      </c>
      <c r="AF36" s="41">
        <v>1090620</v>
      </c>
      <c r="AG36" s="41">
        <f>AF36*U36</f>
        <v>60900220.800000004</v>
      </c>
      <c r="AH36" s="41">
        <f>AI36+AK36</f>
        <v>216188</v>
      </c>
      <c r="AI36" s="41">
        <v>9180</v>
      </c>
      <c r="AJ36" s="41">
        <f t="shared" si="9"/>
        <v>512611.2</v>
      </c>
      <c r="AK36" s="41">
        <v>207008</v>
      </c>
      <c r="AL36" s="41">
        <f t="shared" si="10"/>
        <v>11559326.720000001</v>
      </c>
      <c r="AM36" s="41">
        <f t="shared" si="3"/>
        <v>3269990.4000000004</v>
      </c>
      <c r="AN36" s="42">
        <f>W36/T36</f>
        <v>45206.26666666667</v>
      </c>
      <c r="AO36" s="55">
        <f t="shared" ref="AO36:AO61" si="12">_xlfn.CEILING.MATH(AN36)</f>
        <v>45207</v>
      </c>
      <c r="AP36" s="37"/>
      <c r="AQ36" s="36">
        <v>44621</v>
      </c>
      <c r="AR36" s="36">
        <v>44713</v>
      </c>
      <c r="AS36" s="36" t="s">
        <v>280</v>
      </c>
      <c r="AT36" s="36">
        <v>44635</v>
      </c>
      <c r="AU36" s="36">
        <v>44727</v>
      </c>
      <c r="AV36" s="38" t="s">
        <v>281</v>
      </c>
      <c r="AW36" s="33" t="s">
        <v>87</v>
      </c>
    </row>
    <row r="37" spans="1:49" ht="126" customHeight="1" x14ac:dyDescent="0.3">
      <c r="A37" s="39" t="s">
        <v>282</v>
      </c>
      <c r="B37" s="36">
        <v>44540</v>
      </c>
      <c r="C37" s="37">
        <v>1416</v>
      </c>
      <c r="D37" s="39" t="s">
        <v>283</v>
      </c>
      <c r="E37" s="1" t="s">
        <v>284</v>
      </c>
      <c r="F37" s="36">
        <v>44571</v>
      </c>
      <c r="G37" s="39" t="s">
        <v>285</v>
      </c>
      <c r="H37" s="40" t="s">
        <v>224</v>
      </c>
      <c r="I37" s="40" t="s">
        <v>286</v>
      </c>
      <c r="J37" s="41">
        <v>82079104.319999993</v>
      </c>
      <c r="K37" s="41">
        <v>41039552.159999996</v>
      </c>
      <c r="L37" s="30">
        <f t="shared" si="7"/>
        <v>41039552.159999996</v>
      </c>
      <c r="M37" s="30">
        <v>82079104.319999993</v>
      </c>
      <c r="N37" s="40" t="s">
        <v>278</v>
      </c>
      <c r="O37" s="40" t="s">
        <v>287</v>
      </c>
      <c r="P37" s="37" t="s">
        <v>47</v>
      </c>
      <c r="Q37" s="44">
        <v>100</v>
      </c>
      <c r="R37" s="37">
        <v>0</v>
      </c>
      <c r="S37" s="48" t="s">
        <v>200</v>
      </c>
      <c r="T37" s="40">
        <v>60</v>
      </c>
      <c r="U37" s="30">
        <f>M37/W37</f>
        <v>167.51999999999998</v>
      </c>
      <c r="V37" s="43">
        <f t="shared" si="11"/>
        <v>10051.199999999999</v>
      </c>
      <c r="W37" s="41">
        <f t="shared" si="8"/>
        <v>489966</v>
      </c>
      <c r="X37" s="41">
        <v>244983</v>
      </c>
      <c r="Y37" s="41"/>
      <c r="Z37" s="41">
        <v>0</v>
      </c>
      <c r="AA37" s="41"/>
      <c r="AB37" s="41">
        <v>0</v>
      </c>
      <c r="AC37" s="41">
        <v>244983</v>
      </c>
      <c r="AD37" s="41">
        <v>6000</v>
      </c>
      <c r="AE37" s="41">
        <v>1005119.9999999999</v>
      </c>
      <c r="AF37" s="41">
        <v>238983</v>
      </c>
      <c r="AG37" s="41">
        <v>40034432.159999996</v>
      </c>
      <c r="AH37" s="41"/>
      <c r="AI37" s="41"/>
      <c r="AJ37" s="41">
        <v>0</v>
      </c>
      <c r="AK37" s="41"/>
      <c r="AL37" s="41">
        <v>0</v>
      </c>
      <c r="AM37" s="41">
        <f t="shared" si="3"/>
        <v>1005119.9999999999</v>
      </c>
      <c r="AN37" s="42">
        <f>W37/T37</f>
        <v>8166.1</v>
      </c>
      <c r="AO37" s="55">
        <f t="shared" si="12"/>
        <v>8167</v>
      </c>
      <c r="AP37" s="37"/>
      <c r="AQ37" s="36">
        <v>44713</v>
      </c>
      <c r="AR37" s="36">
        <v>45078</v>
      </c>
      <c r="AS37" s="36"/>
      <c r="AT37" s="36">
        <v>44727</v>
      </c>
      <c r="AU37" s="36">
        <v>45092</v>
      </c>
      <c r="AV37" s="38"/>
      <c r="AW37" s="40" t="s">
        <v>87</v>
      </c>
    </row>
    <row r="38" spans="1:49" ht="126" customHeight="1" x14ac:dyDescent="0.3">
      <c r="A38" s="39" t="s">
        <v>288</v>
      </c>
      <c r="B38" s="36">
        <v>44540</v>
      </c>
      <c r="C38" s="37">
        <v>1416</v>
      </c>
      <c r="D38" s="39" t="s">
        <v>289</v>
      </c>
      <c r="E38" s="1" t="s">
        <v>290</v>
      </c>
      <c r="F38" s="36">
        <v>44573</v>
      </c>
      <c r="G38" s="39" t="s">
        <v>291</v>
      </c>
      <c r="H38" s="40" t="s">
        <v>224</v>
      </c>
      <c r="I38" s="40" t="s">
        <v>292</v>
      </c>
      <c r="J38" s="41">
        <v>329857377.92000002</v>
      </c>
      <c r="K38" s="41">
        <v>164928688.96000001</v>
      </c>
      <c r="L38" s="30">
        <f>127315200+37613488.96</f>
        <v>164928688.96000001</v>
      </c>
      <c r="M38" s="30">
        <v>329857377.92000002</v>
      </c>
      <c r="N38" s="40" t="s">
        <v>278</v>
      </c>
      <c r="O38" s="40" t="s">
        <v>293</v>
      </c>
      <c r="P38" s="37" t="s">
        <v>47</v>
      </c>
      <c r="Q38" s="44">
        <v>100</v>
      </c>
      <c r="R38" s="37">
        <v>0</v>
      </c>
      <c r="S38" s="48" t="s">
        <v>200</v>
      </c>
      <c r="T38" s="40">
        <v>60</v>
      </c>
      <c r="U38" s="30">
        <f>M38/W38</f>
        <v>111.68</v>
      </c>
      <c r="V38" s="43">
        <f t="shared" si="11"/>
        <v>6700.8</v>
      </c>
      <c r="W38" s="41">
        <f t="shared" si="8"/>
        <v>2953594</v>
      </c>
      <c r="X38" s="41">
        <v>1140000</v>
      </c>
      <c r="Y38" s="41"/>
      <c r="Z38" s="41">
        <v>0</v>
      </c>
      <c r="AA38" s="41"/>
      <c r="AB38" s="41">
        <v>0</v>
      </c>
      <c r="AC38" s="41">
        <v>336797</v>
      </c>
      <c r="AD38" s="41">
        <v>30900</v>
      </c>
      <c r="AE38" s="41">
        <f t="shared" ref="AE38:AE43" si="13">AD38*U38</f>
        <v>3450912</v>
      </c>
      <c r="AF38" s="41">
        <v>1109100</v>
      </c>
      <c r="AG38" s="41">
        <f t="shared" ref="AG38:AG43" si="14">AF38*U38</f>
        <v>123864288.00000001</v>
      </c>
      <c r="AH38" s="41">
        <v>1476797</v>
      </c>
      <c r="AI38" s="41">
        <v>8940</v>
      </c>
      <c r="AJ38" s="41">
        <f>AI38*U38</f>
        <v>998419.20000000007</v>
      </c>
      <c r="AK38" s="41">
        <v>327857</v>
      </c>
      <c r="AL38" s="41">
        <f>AK38*U38</f>
        <v>36615069.760000005</v>
      </c>
      <c r="AM38" s="41">
        <f t="shared" si="3"/>
        <v>4449331.2000000002</v>
      </c>
      <c r="AN38" s="42">
        <f>W38/T38</f>
        <v>49226.566666666666</v>
      </c>
      <c r="AO38" s="55">
        <f t="shared" si="12"/>
        <v>49227</v>
      </c>
      <c r="AP38" s="37"/>
      <c r="AQ38" s="36">
        <v>44621</v>
      </c>
      <c r="AR38" s="36">
        <v>44713</v>
      </c>
      <c r="AS38" s="36" t="s">
        <v>280</v>
      </c>
      <c r="AT38" s="36">
        <v>44635</v>
      </c>
      <c r="AU38" s="36">
        <v>44727</v>
      </c>
      <c r="AV38" s="38" t="s">
        <v>281</v>
      </c>
      <c r="AW38" s="40" t="s">
        <v>87</v>
      </c>
    </row>
    <row r="39" spans="1:49" ht="72" x14ac:dyDescent="0.3">
      <c r="A39" s="39" t="s">
        <v>294</v>
      </c>
      <c r="B39" s="36">
        <v>44580</v>
      </c>
      <c r="C39" s="37">
        <v>1416</v>
      </c>
      <c r="D39" s="39" t="s">
        <v>295</v>
      </c>
      <c r="E39" s="1" t="s">
        <v>296</v>
      </c>
      <c r="F39" s="36">
        <v>44617</v>
      </c>
      <c r="G39" s="37" t="s">
        <v>297</v>
      </c>
      <c r="H39" s="40" t="s">
        <v>177</v>
      </c>
      <c r="I39" s="40" t="s">
        <v>298</v>
      </c>
      <c r="J39" s="41">
        <v>765023068.5</v>
      </c>
      <c r="K39" s="41">
        <v>255007689.5</v>
      </c>
      <c r="L39" s="30">
        <f t="shared" ref="L39:M84" si="15">K39</f>
        <v>255007689.5</v>
      </c>
      <c r="M39" s="30">
        <v>765023068.5</v>
      </c>
      <c r="N39" s="40" t="s">
        <v>299</v>
      </c>
      <c r="O39" s="40" t="s">
        <v>300</v>
      </c>
      <c r="P39" s="40" t="s">
        <v>199</v>
      </c>
      <c r="Q39" s="37">
        <v>0</v>
      </c>
      <c r="R39" s="37">
        <v>100</v>
      </c>
      <c r="S39" s="37" t="s">
        <v>200</v>
      </c>
      <c r="T39" s="48"/>
      <c r="U39" s="30">
        <f>K39/AC39</f>
        <v>295.37</v>
      </c>
      <c r="V39" s="41">
        <f t="shared" si="11"/>
        <v>0</v>
      </c>
      <c r="W39" s="41">
        <f t="shared" si="8"/>
        <v>2590050</v>
      </c>
      <c r="X39" s="41">
        <v>863350</v>
      </c>
      <c r="Y39" s="41"/>
      <c r="Z39" s="41"/>
      <c r="AA39" s="41"/>
      <c r="AB39" s="41"/>
      <c r="AC39" s="41">
        <v>863350</v>
      </c>
      <c r="AD39" s="41">
        <v>20300</v>
      </c>
      <c r="AE39" s="41">
        <f t="shared" si="13"/>
        <v>5996011</v>
      </c>
      <c r="AF39" s="41">
        <v>843050</v>
      </c>
      <c r="AG39" s="41">
        <f t="shared" si="14"/>
        <v>249011678.5</v>
      </c>
      <c r="AH39" s="41">
        <v>863350</v>
      </c>
      <c r="AI39" s="41"/>
      <c r="AJ39" s="41"/>
      <c r="AK39" s="41"/>
      <c r="AL39" s="41"/>
      <c r="AM39" s="41">
        <f t="shared" si="3"/>
        <v>5996011</v>
      </c>
      <c r="AN39" s="42" t="e">
        <f>W39/T39</f>
        <v>#DIV/0!</v>
      </c>
      <c r="AO39" s="55" t="e">
        <f t="shared" si="12"/>
        <v>#DIV/0!</v>
      </c>
      <c r="AP39" s="40" t="s">
        <v>301</v>
      </c>
      <c r="AQ39" s="36">
        <v>44682</v>
      </c>
      <c r="AR39" s="36">
        <v>45047</v>
      </c>
      <c r="AS39" s="36">
        <v>45413</v>
      </c>
      <c r="AT39" s="36">
        <v>44696</v>
      </c>
      <c r="AU39" s="36">
        <v>45061</v>
      </c>
      <c r="AV39" s="38">
        <v>45427</v>
      </c>
      <c r="AW39" s="40" t="s">
        <v>302</v>
      </c>
    </row>
    <row r="40" spans="1:49" ht="165.75" customHeight="1" x14ac:dyDescent="0.3">
      <c r="A40" s="39" t="s">
        <v>303</v>
      </c>
      <c r="B40" s="36">
        <v>44580</v>
      </c>
      <c r="C40" s="37">
        <v>1416</v>
      </c>
      <c r="D40" s="39" t="s">
        <v>304</v>
      </c>
      <c r="E40" s="1" t="s">
        <v>305</v>
      </c>
      <c r="F40" s="36">
        <v>44617</v>
      </c>
      <c r="G40" s="37" t="s">
        <v>306</v>
      </c>
      <c r="H40" s="40" t="s">
        <v>177</v>
      </c>
      <c r="I40" s="40" t="s">
        <v>307</v>
      </c>
      <c r="J40" s="41">
        <v>659336242.5</v>
      </c>
      <c r="K40" s="41">
        <v>219778747.5</v>
      </c>
      <c r="L40" s="30">
        <f t="shared" si="15"/>
        <v>219778747.5</v>
      </c>
      <c r="M40" s="30">
        <v>659336242.5</v>
      </c>
      <c r="N40" s="40" t="s">
        <v>299</v>
      </c>
      <c r="O40" s="40" t="s">
        <v>300</v>
      </c>
      <c r="P40" s="40" t="s">
        <v>199</v>
      </c>
      <c r="Q40" s="37">
        <v>0</v>
      </c>
      <c r="R40" s="37">
        <v>100</v>
      </c>
      <c r="S40" s="37" t="s">
        <v>200</v>
      </c>
      <c r="T40" s="48">
        <v>50</v>
      </c>
      <c r="U40" s="30">
        <v>27.55</v>
      </c>
      <c r="V40" s="41">
        <f t="shared" si="11"/>
        <v>1377.5</v>
      </c>
      <c r="W40" s="41">
        <f t="shared" si="8"/>
        <v>23932350</v>
      </c>
      <c r="X40" s="41">
        <v>7977450</v>
      </c>
      <c r="Y40" s="41"/>
      <c r="Z40" s="41"/>
      <c r="AA40" s="41"/>
      <c r="AB40" s="41"/>
      <c r="AC40" s="41">
        <v>7977450</v>
      </c>
      <c r="AD40" s="41">
        <v>167650</v>
      </c>
      <c r="AE40" s="41">
        <f t="shared" si="13"/>
        <v>4618757.5</v>
      </c>
      <c r="AF40" s="41">
        <v>7809800</v>
      </c>
      <c r="AG40" s="41">
        <f t="shared" si="14"/>
        <v>215159990</v>
      </c>
      <c r="AH40" s="41">
        <v>7977450</v>
      </c>
      <c r="AI40" s="41"/>
      <c r="AJ40" s="41"/>
      <c r="AK40" s="41"/>
      <c r="AL40" s="41"/>
      <c r="AM40" s="41">
        <f t="shared" si="3"/>
        <v>4618757.5</v>
      </c>
      <c r="AN40" s="42">
        <f>W40/T40</f>
        <v>478647</v>
      </c>
      <c r="AO40" s="55">
        <f t="shared" si="12"/>
        <v>478647</v>
      </c>
      <c r="AP40" s="37"/>
      <c r="AQ40" s="36">
        <v>44682</v>
      </c>
      <c r="AR40" s="36">
        <v>45047</v>
      </c>
      <c r="AS40" s="36">
        <v>45413</v>
      </c>
      <c r="AT40" s="36">
        <v>44696</v>
      </c>
      <c r="AU40" s="36">
        <v>45061</v>
      </c>
      <c r="AV40" s="38">
        <v>45427</v>
      </c>
      <c r="AW40" s="40" t="s">
        <v>230</v>
      </c>
    </row>
    <row r="41" spans="1:49" ht="137.25" customHeight="1" x14ac:dyDescent="0.3">
      <c r="A41" s="39" t="s">
        <v>308</v>
      </c>
      <c r="B41" s="36">
        <v>44580</v>
      </c>
      <c r="C41" s="37">
        <v>1416</v>
      </c>
      <c r="D41" s="39" t="s">
        <v>309</v>
      </c>
      <c r="E41" s="1" t="s">
        <v>310</v>
      </c>
      <c r="F41" s="36">
        <v>44616</v>
      </c>
      <c r="G41" s="39" t="s">
        <v>311</v>
      </c>
      <c r="H41" s="40" t="s">
        <v>177</v>
      </c>
      <c r="I41" s="40" t="s">
        <v>312</v>
      </c>
      <c r="J41" s="41">
        <v>2656156119</v>
      </c>
      <c r="K41" s="41">
        <v>885385373</v>
      </c>
      <c r="L41" s="30">
        <f t="shared" si="15"/>
        <v>885385373</v>
      </c>
      <c r="M41" s="30">
        <v>2656156119</v>
      </c>
      <c r="N41" s="40" t="s">
        <v>299</v>
      </c>
      <c r="O41" s="40" t="s">
        <v>300</v>
      </c>
      <c r="P41" s="40" t="s">
        <v>199</v>
      </c>
      <c r="Q41" s="37">
        <v>0</v>
      </c>
      <c r="R41" s="37">
        <v>100</v>
      </c>
      <c r="S41" s="37" t="s">
        <v>200</v>
      </c>
      <c r="U41" s="30">
        <f>K41/AC41</f>
        <v>59.81</v>
      </c>
      <c r="V41" s="41">
        <f t="shared" si="11"/>
        <v>0</v>
      </c>
      <c r="W41" s="41">
        <f t="shared" si="8"/>
        <v>44409900</v>
      </c>
      <c r="X41" s="41">
        <v>14803300</v>
      </c>
      <c r="Y41" s="41"/>
      <c r="Z41" s="41"/>
      <c r="AA41" s="41"/>
      <c r="AB41" s="41"/>
      <c r="AC41" s="41">
        <v>14803300</v>
      </c>
      <c r="AD41" s="41">
        <v>298600</v>
      </c>
      <c r="AE41" s="41">
        <f t="shared" si="13"/>
        <v>17859266</v>
      </c>
      <c r="AF41" s="41">
        <v>14504700</v>
      </c>
      <c r="AG41" s="41">
        <f t="shared" si="14"/>
        <v>867526107</v>
      </c>
      <c r="AH41" s="41">
        <v>14803300</v>
      </c>
      <c r="AI41" s="41"/>
      <c r="AJ41" s="41"/>
      <c r="AK41" s="41"/>
      <c r="AL41" s="41"/>
      <c r="AM41" s="41">
        <f t="shared" si="3"/>
        <v>17859266</v>
      </c>
      <c r="AN41" s="41">
        <f>L41/W41</f>
        <v>19.936666666666667</v>
      </c>
      <c r="AO41" s="41">
        <f t="shared" si="12"/>
        <v>20</v>
      </c>
      <c r="AQ41" s="36">
        <v>44682</v>
      </c>
      <c r="AR41" s="36">
        <v>45047</v>
      </c>
      <c r="AS41" s="36">
        <v>45413</v>
      </c>
      <c r="AT41" s="36">
        <v>44696</v>
      </c>
      <c r="AU41" s="36">
        <v>45061</v>
      </c>
      <c r="AV41" s="38">
        <v>45427</v>
      </c>
      <c r="AW41" s="40" t="s">
        <v>302</v>
      </c>
    </row>
    <row r="42" spans="1:49" ht="169.5" customHeight="1" x14ac:dyDescent="0.3">
      <c r="A42" s="39" t="s">
        <v>313</v>
      </c>
      <c r="B42" s="36">
        <v>44670</v>
      </c>
      <c r="C42" s="37">
        <v>1416</v>
      </c>
      <c r="D42" s="39" t="s">
        <v>314</v>
      </c>
      <c r="E42" s="1" t="s">
        <v>315</v>
      </c>
      <c r="F42" s="36">
        <v>44712</v>
      </c>
      <c r="G42" s="39" t="s">
        <v>316</v>
      </c>
      <c r="H42" s="40" t="s">
        <v>177</v>
      </c>
      <c r="I42" s="40" t="s">
        <v>317</v>
      </c>
      <c r="J42" s="41">
        <v>5314027089.6000004</v>
      </c>
      <c r="K42" s="41">
        <v>5314027089.6000004</v>
      </c>
      <c r="L42" s="30">
        <f t="shared" si="15"/>
        <v>5314027089.6000004</v>
      </c>
      <c r="M42" s="30">
        <f>L42</f>
        <v>5314027089.6000004</v>
      </c>
      <c r="N42" s="40" t="s">
        <v>318</v>
      </c>
      <c r="O42" s="40" t="s">
        <v>319</v>
      </c>
      <c r="P42" s="40" t="s">
        <v>218</v>
      </c>
      <c r="Q42" s="37">
        <v>0</v>
      </c>
      <c r="R42" s="37">
        <v>100</v>
      </c>
      <c r="S42" s="37" t="s">
        <v>219</v>
      </c>
      <c r="T42" s="48">
        <v>10</v>
      </c>
      <c r="U42" s="30">
        <f>M42/W42</f>
        <v>25791.24</v>
      </c>
      <c r="V42" s="41">
        <f t="shared" si="11"/>
        <v>257912.40000000002</v>
      </c>
      <c r="W42" s="41">
        <f t="shared" si="8"/>
        <v>206040</v>
      </c>
      <c r="X42" s="41">
        <v>130000</v>
      </c>
      <c r="Y42" s="41"/>
      <c r="Z42" s="41"/>
      <c r="AA42" s="41"/>
      <c r="AB42" s="41"/>
      <c r="AC42" s="41">
        <v>76040</v>
      </c>
      <c r="AD42" s="41">
        <v>320</v>
      </c>
      <c r="AE42" s="41">
        <f t="shared" si="13"/>
        <v>8253196.8000000007</v>
      </c>
      <c r="AF42" s="41">
        <v>75720</v>
      </c>
      <c r="AG42" s="41">
        <f t="shared" si="14"/>
        <v>1952912692.8000002</v>
      </c>
      <c r="AH42" s="41"/>
      <c r="AI42" s="41"/>
      <c r="AJ42" s="41"/>
      <c r="AK42" s="41"/>
      <c r="AL42" s="41"/>
      <c r="AM42" s="41">
        <f>Z42+AE42+AJ42</f>
        <v>8253196.8000000007</v>
      </c>
      <c r="AN42" s="41">
        <f t="shared" ref="AN42:AN54" si="16">W42/T42</f>
        <v>20604</v>
      </c>
      <c r="AO42" s="41">
        <f t="shared" si="12"/>
        <v>20604</v>
      </c>
      <c r="AP42" s="40"/>
      <c r="AQ42" s="36">
        <v>44936</v>
      </c>
      <c r="AR42" s="36">
        <v>44986</v>
      </c>
      <c r="AS42" s="36"/>
      <c r="AT42" s="36">
        <v>44941</v>
      </c>
      <c r="AU42" s="36">
        <v>45000</v>
      </c>
      <c r="AV42" s="38"/>
      <c r="AW42" s="40" t="s">
        <v>87</v>
      </c>
    </row>
    <row r="43" spans="1:49" ht="70.5" customHeight="1" x14ac:dyDescent="0.3">
      <c r="A43" s="39" t="s">
        <v>320</v>
      </c>
      <c r="B43" s="36">
        <v>44670</v>
      </c>
      <c r="C43" s="37">
        <v>1416</v>
      </c>
      <c r="D43" s="39" t="s">
        <v>321</v>
      </c>
      <c r="E43" s="1" t="s">
        <v>322</v>
      </c>
      <c r="F43" s="36">
        <v>44707</v>
      </c>
      <c r="G43" s="39" t="s">
        <v>323</v>
      </c>
      <c r="H43" s="40" t="s">
        <v>186</v>
      </c>
      <c r="I43" s="40" t="s">
        <v>324</v>
      </c>
      <c r="J43" s="41">
        <v>2135775810</v>
      </c>
      <c r="K43" s="41">
        <v>2135775810</v>
      </c>
      <c r="L43" s="30">
        <f t="shared" si="15"/>
        <v>2135775810</v>
      </c>
      <c r="M43" s="30">
        <f>L43</f>
        <v>2135775810</v>
      </c>
      <c r="N43" s="40" t="s">
        <v>325</v>
      </c>
      <c r="O43" s="40" t="s">
        <v>326</v>
      </c>
      <c r="P43" s="40" t="s">
        <v>47</v>
      </c>
      <c r="Q43" s="37">
        <v>100</v>
      </c>
      <c r="R43" s="37">
        <v>0</v>
      </c>
      <c r="S43" s="37" t="s">
        <v>229</v>
      </c>
      <c r="T43" s="48">
        <v>1000</v>
      </c>
      <c r="U43" s="30">
        <f>K43/W43</f>
        <v>12.39</v>
      </c>
      <c r="V43" s="41">
        <f t="shared" si="11"/>
        <v>12390</v>
      </c>
      <c r="W43" s="41">
        <f t="shared" si="8"/>
        <v>172379000</v>
      </c>
      <c r="X43" s="41">
        <v>86190000</v>
      </c>
      <c r="Y43" s="41"/>
      <c r="Z43" s="41"/>
      <c r="AA43" s="41"/>
      <c r="AB43" s="41"/>
      <c r="AC43" s="41">
        <v>86189000</v>
      </c>
      <c r="AD43" s="41">
        <v>1586000</v>
      </c>
      <c r="AE43" s="41">
        <f t="shared" si="13"/>
        <v>19650540</v>
      </c>
      <c r="AF43" s="41">
        <v>84603000</v>
      </c>
      <c r="AG43" s="41">
        <f t="shared" si="14"/>
        <v>1048231170</v>
      </c>
      <c r="AH43" s="41"/>
      <c r="AI43" s="41"/>
      <c r="AJ43" s="41"/>
      <c r="AK43" s="41"/>
      <c r="AL43" s="41"/>
      <c r="AM43" s="41">
        <f t="shared" ref="AM43:AM51" si="17">Z43+AE43+AJ43</f>
        <v>19650540</v>
      </c>
      <c r="AN43" s="41">
        <f t="shared" si="16"/>
        <v>172379</v>
      </c>
      <c r="AO43" s="41">
        <f t="shared" si="12"/>
        <v>172379</v>
      </c>
      <c r="AP43" s="40"/>
      <c r="AQ43" s="36">
        <v>44958</v>
      </c>
      <c r="AR43" s="36">
        <v>45017</v>
      </c>
      <c r="AS43" s="36"/>
      <c r="AT43" s="36">
        <v>44972</v>
      </c>
      <c r="AU43" s="36">
        <v>45031</v>
      </c>
      <c r="AV43" s="38"/>
      <c r="AW43" s="40" t="s">
        <v>87</v>
      </c>
    </row>
    <row r="44" spans="1:49" ht="81.599999999999994" customHeight="1" x14ac:dyDescent="0.3">
      <c r="A44" s="39" t="s">
        <v>327</v>
      </c>
      <c r="B44" s="36">
        <v>44670</v>
      </c>
      <c r="C44" s="37">
        <v>1416</v>
      </c>
      <c r="D44" s="39" t="s">
        <v>328</v>
      </c>
      <c r="E44" s="1" t="s">
        <v>329</v>
      </c>
      <c r="F44" s="36">
        <v>44704</v>
      </c>
      <c r="G44" s="39" t="s">
        <v>330</v>
      </c>
      <c r="H44" s="40" t="s">
        <v>186</v>
      </c>
      <c r="I44" s="40" t="s">
        <v>331</v>
      </c>
      <c r="J44" s="41">
        <v>370128760</v>
      </c>
      <c r="K44" s="41">
        <v>370128760</v>
      </c>
      <c r="L44" s="30">
        <f t="shared" si="15"/>
        <v>370128760</v>
      </c>
      <c r="M44" s="30">
        <f>L44</f>
        <v>370128760</v>
      </c>
      <c r="N44" s="40" t="s">
        <v>325</v>
      </c>
      <c r="O44" s="40" t="s">
        <v>332</v>
      </c>
      <c r="P44" s="40" t="s">
        <v>47</v>
      </c>
      <c r="Q44" s="37">
        <v>100</v>
      </c>
      <c r="R44" s="37">
        <v>0</v>
      </c>
      <c r="S44" s="37" t="s">
        <v>229</v>
      </c>
      <c r="T44" s="48">
        <v>500</v>
      </c>
      <c r="U44" s="30">
        <f>K44/W44</f>
        <v>12.52</v>
      </c>
      <c r="V44" s="41">
        <f t="shared" si="11"/>
        <v>6260</v>
      </c>
      <c r="W44" s="41">
        <f t="shared" si="8"/>
        <v>29563000</v>
      </c>
      <c r="X44" s="41">
        <v>14781500</v>
      </c>
      <c r="Y44" s="41"/>
      <c r="Z44" s="41"/>
      <c r="AA44" s="41"/>
      <c r="AB44" s="41"/>
      <c r="AC44" s="41">
        <v>14781500</v>
      </c>
      <c r="AD44" s="41"/>
      <c r="AE44" s="41"/>
      <c r="AF44" s="41"/>
      <c r="AG44" s="41"/>
      <c r="AH44" s="41"/>
      <c r="AI44" s="41"/>
      <c r="AJ44" s="41"/>
      <c r="AK44" s="41"/>
      <c r="AL44" s="41"/>
      <c r="AM44" s="41">
        <f t="shared" si="17"/>
        <v>0</v>
      </c>
      <c r="AN44" s="41">
        <f t="shared" si="16"/>
        <v>59126</v>
      </c>
      <c r="AO44" s="41">
        <f t="shared" si="12"/>
        <v>59126</v>
      </c>
      <c r="AP44" s="40"/>
      <c r="AQ44" s="36">
        <v>44958</v>
      </c>
      <c r="AR44" s="36">
        <v>45017</v>
      </c>
      <c r="AS44" s="36"/>
      <c r="AT44" s="36">
        <v>44972</v>
      </c>
      <c r="AU44" s="36">
        <v>45397</v>
      </c>
      <c r="AV44" s="38"/>
      <c r="AW44" s="40" t="s">
        <v>87</v>
      </c>
    </row>
    <row r="45" spans="1:49" ht="72" x14ac:dyDescent="0.3">
      <c r="A45" s="39" t="s">
        <v>333</v>
      </c>
      <c r="B45" s="36">
        <v>44670</v>
      </c>
      <c r="C45" s="37">
        <v>1416</v>
      </c>
      <c r="D45" s="39" t="s">
        <v>334</v>
      </c>
      <c r="E45" s="1" t="s">
        <v>335</v>
      </c>
      <c r="F45" s="36">
        <v>44707</v>
      </c>
      <c r="G45" s="39" t="s">
        <v>336</v>
      </c>
      <c r="H45" s="40" t="s">
        <v>177</v>
      </c>
      <c r="I45" s="40" t="s">
        <v>337</v>
      </c>
      <c r="J45" s="41">
        <v>1153585170</v>
      </c>
      <c r="K45" s="30">
        <v>747348732</v>
      </c>
      <c r="L45" s="30">
        <f t="shared" si="15"/>
        <v>747348732</v>
      </c>
      <c r="M45" s="30">
        <v>1153585170</v>
      </c>
      <c r="N45" s="40" t="s">
        <v>338</v>
      </c>
      <c r="O45" s="40" t="s">
        <v>339</v>
      </c>
      <c r="P45" s="40" t="s">
        <v>47</v>
      </c>
      <c r="Q45" s="37">
        <v>100</v>
      </c>
      <c r="R45" s="37">
        <v>0</v>
      </c>
      <c r="S45" s="37" t="s">
        <v>219</v>
      </c>
      <c r="T45" s="48">
        <v>10</v>
      </c>
      <c r="U45" s="30">
        <f>M45/W45</f>
        <v>647.1</v>
      </c>
      <c r="V45" s="41">
        <f t="shared" si="11"/>
        <v>6471</v>
      </c>
      <c r="W45" s="41">
        <f t="shared" si="8"/>
        <v>1782700</v>
      </c>
      <c r="X45" s="41">
        <v>527140</v>
      </c>
      <c r="Y45" s="41">
        <v>0</v>
      </c>
      <c r="Z45" s="41">
        <f>Y45*U45</f>
        <v>0</v>
      </c>
      <c r="AA45" s="41">
        <v>527140</v>
      </c>
      <c r="AB45" s="41">
        <f>AA45*U45</f>
        <v>341112294</v>
      </c>
      <c r="AC45" s="41">
        <v>627780</v>
      </c>
      <c r="AD45" s="41">
        <v>740</v>
      </c>
      <c r="AE45" s="41">
        <f>AD45*U45</f>
        <v>478854</v>
      </c>
      <c r="AF45" s="41">
        <v>627040</v>
      </c>
      <c r="AG45" s="41">
        <f>AF45*U45</f>
        <v>405757584</v>
      </c>
      <c r="AH45" s="41">
        <v>627780</v>
      </c>
      <c r="AI45" s="41"/>
      <c r="AJ45" s="41"/>
      <c r="AK45" s="41"/>
      <c r="AL45" s="41"/>
      <c r="AM45" s="41">
        <f t="shared" si="17"/>
        <v>478854</v>
      </c>
      <c r="AN45" s="41">
        <f t="shared" si="16"/>
        <v>178270</v>
      </c>
      <c r="AO45" s="41">
        <f t="shared" si="12"/>
        <v>178270</v>
      </c>
      <c r="AP45" s="40"/>
      <c r="AQ45" s="36">
        <v>44936</v>
      </c>
      <c r="AR45" s="36">
        <v>44986</v>
      </c>
      <c r="AS45" s="36">
        <v>45352</v>
      </c>
      <c r="AT45" s="36">
        <v>44951</v>
      </c>
      <c r="AU45" s="36">
        <v>45000</v>
      </c>
      <c r="AV45" s="38">
        <v>45366</v>
      </c>
      <c r="AW45" s="40" t="s">
        <v>302</v>
      </c>
    </row>
    <row r="46" spans="1:49" ht="115.5" customHeight="1" x14ac:dyDescent="0.3">
      <c r="A46" s="39" t="s">
        <v>340</v>
      </c>
      <c r="B46" s="36">
        <v>44670</v>
      </c>
      <c r="C46" s="37">
        <v>1416</v>
      </c>
      <c r="D46" s="39" t="s">
        <v>341</v>
      </c>
      <c r="E46" s="1" t="s">
        <v>342</v>
      </c>
      <c r="F46" s="36">
        <v>44704</v>
      </c>
      <c r="G46" s="39" t="s">
        <v>343</v>
      </c>
      <c r="H46" s="40" t="s">
        <v>344</v>
      </c>
      <c r="I46" s="40" t="s">
        <v>345</v>
      </c>
      <c r="J46" s="41">
        <v>136394503.30000001</v>
      </c>
      <c r="K46" s="41">
        <v>123430239.90000001</v>
      </c>
      <c r="L46" s="30">
        <f t="shared" si="15"/>
        <v>123430239.90000001</v>
      </c>
      <c r="M46" s="30">
        <f>L46</f>
        <v>123430239.90000001</v>
      </c>
      <c r="N46" s="40" t="s">
        <v>346</v>
      </c>
      <c r="O46" s="40" t="s">
        <v>347</v>
      </c>
      <c r="P46" s="40" t="s">
        <v>348</v>
      </c>
      <c r="Q46" s="37">
        <v>0</v>
      </c>
      <c r="R46" s="37">
        <v>100</v>
      </c>
      <c r="S46" s="37" t="s">
        <v>219</v>
      </c>
      <c r="T46" s="48">
        <v>5</v>
      </c>
      <c r="U46" s="30">
        <f>M46/W46</f>
        <v>3221.46</v>
      </c>
      <c r="V46" s="41">
        <f t="shared" si="11"/>
        <v>16107.3</v>
      </c>
      <c r="W46" s="41">
        <f t="shared" si="8"/>
        <v>38315</v>
      </c>
      <c r="X46" s="41">
        <v>38315</v>
      </c>
      <c r="Y46" s="41"/>
      <c r="Z46" s="41"/>
      <c r="AA46" s="41"/>
      <c r="AB46" s="41"/>
      <c r="AC46" s="41"/>
      <c r="AD46" s="41"/>
      <c r="AE46" s="41"/>
      <c r="AF46" s="41"/>
      <c r="AG46" s="41"/>
      <c r="AH46" s="41"/>
      <c r="AI46" s="41"/>
      <c r="AJ46" s="41"/>
      <c r="AK46" s="41"/>
      <c r="AL46" s="41"/>
      <c r="AM46" s="41">
        <f t="shared" si="17"/>
        <v>0</v>
      </c>
      <c r="AN46" s="41">
        <f t="shared" si="16"/>
        <v>7663</v>
      </c>
      <c r="AO46" s="41">
        <f t="shared" si="12"/>
        <v>7663</v>
      </c>
      <c r="AP46" s="40"/>
      <c r="AQ46" s="36">
        <v>45046</v>
      </c>
      <c r="AR46" s="36"/>
      <c r="AS46" s="36"/>
      <c r="AT46" s="36">
        <v>45061</v>
      </c>
      <c r="AU46" s="36"/>
      <c r="AV46" s="38"/>
      <c r="AW46" s="40" t="s">
        <v>87</v>
      </c>
    </row>
    <row r="47" spans="1:49" ht="72" x14ac:dyDescent="0.3">
      <c r="A47" s="39" t="s">
        <v>349</v>
      </c>
      <c r="B47" s="36">
        <v>44670</v>
      </c>
      <c r="C47" s="37">
        <v>1416</v>
      </c>
      <c r="D47" s="39" t="s">
        <v>350</v>
      </c>
      <c r="E47" s="1" t="s">
        <v>351</v>
      </c>
      <c r="F47" s="36">
        <v>44711</v>
      </c>
      <c r="G47" s="39" t="s">
        <v>352</v>
      </c>
      <c r="H47" s="40" t="s">
        <v>353</v>
      </c>
      <c r="I47" s="40" t="s">
        <v>354</v>
      </c>
      <c r="J47" s="41">
        <v>1452031915.1800001</v>
      </c>
      <c r="K47" s="41">
        <v>1452031915.1800001</v>
      </c>
      <c r="L47" s="30">
        <f t="shared" si="15"/>
        <v>1452031915.1800001</v>
      </c>
      <c r="M47" s="30">
        <f>L47</f>
        <v>1452031915.1800001</v>
      </c>
      <c r="N47" s="40" t="s">
        <v>355</v>
      </c>
      <c r="O47" s="40" t="s">
        <v>356</v>
      </c>
      <c r="P47" s="40" t="s">
        <v>357</v>
      </c>
      <c r="Q47" s="37">
        <v>0</v>
      </c>
      <c r="R47" s="37">
        <v>100</v>
      </c>
      <c r="S47" s="37" t="s">
        <v>219</v>
      </c>
      <c r="T47" s="41">
        <v>0.7</v>
      </c>
      <c r="U47" s="30">
        <f>M47/W47</f>
        <v>263842.7</v>
      </c>
      <c r="V47" s="41">
        <f t="shared" si="11"/>
        <v>184689.88999999998</v>
      </c>
      <c r="W47" s="41">
        <f t="shared" si="8"/>
        <v>5503.4</v>
      </c>
      <c r="X47" s="41">
        <v>2738.4</v>
      </c>
      <c r="Y47" s="41"/>
      <c r="Z47" s="41"/>
      <c r="AA47" s="41"/>
      <c r="AB47" s="41"/>
      <c r="AC47" s="41">
        <v>2765</v>
      </c>
      <c r="AD47" s="41">
        <v>965.3</v>
      </c>
      <c r="AE47" s="41">
        <f>AD47*U47</f>
        <v>254687358.31</v>
      </c>
      <c r="AF47" s="41">
        <v>1799.7</v>
      </c>
      <c r="AG47" s="41">
        <f>AF47*U47</f>
        <v>474837707.19000006</v>
      </c>
      <c r="AH47" s="41"/>
      <c r="AI47" s="41"/>
      <c r="AJ47" s="41"/>
      <c r="AK47" s="41"/>
      <c r="AL47" s="41"/>
      <c r="AM47" s="41">
        <f t="shared" si="17"/>
        <v>254687358.31</v>
      </c>
      <c r="AN47" s="41">
        <f t="shared" si="16"/>
        <v>7862</v>
      </c>
      <c r="AO47" s="41">
        <f t="shared" si="12"/>
        <v>7862</v>
      </c>
      <c r="AP47" s="40"/>
      <c r="AQ47" s="36">
        <v>44936</v>
      </c>
      <c r="AR47" s="36">
        <v>45017</v>
      </c>
      <c r="AS47" s="36"/>
      <c r="AT47" s="36">
        <v>44951</v>
      </c>
      <c r="AU47" s="36">
        <v>45017</v>
      </c>
      <c r="AV47" s="38"/>
      <c r="AW47" s="40" t="s">
        <v>87</v>
      </c>
    </row>
    <row r="48" spans="1:49" ht="137.25" customHeight="1" x14ac:dyDescent="0.3">
      <c r="A48" s="39" t="s">
        <v>358</v>
      </c>
      <c r="B48" s="36">
        <v>44671</v>
      </c>
      <c r="C48" s="37">
        <v>1416</v>
      </c>
      <c r="D48" s="39" t="s">
        <v>359</v>
      </c>
      <c r="E48" s="1" t="s">
        <v>360</v>
      </c>
      <c r="F48" s="36">
        <v>44706</v>
      </c>
      <c r="G48" s="39" t="s">
        <v>361</v>
      </c>
      <c r="H48" s="40" t="s">
        <v>186</v>
      </c>
      <c r="I48" s="40" t="s">
        <v>362</v>
      </c>
      <c r="J48" s="41">
        <v>815520160</v>
      </c>
      <c r="K48" s="41">
        <v>815520160</v>
      </c>
      <c r="L48" s="30">
        <f t="shared" si="15"/>
        <v>815520160</v>
      </c>
      <c r="M48" s="30">
        <f>L48</f>
        <v>815520160</v>
      </c>
      <c r="N48" s="40" t="s">
        <v>325</v>
      </c>
      <c r="O48" s="40" t="s">
        <v>363</v>
      </c>
      <c r="P48" s="40" t="s">
        <v>47</v>
      </c>
      <c r="Q48" s="37">
        <v>100</v>
      </c>
      <c r="R48" s="37">
        <v>0</v>
      </c>
      <c r="S48" s="37" t="s">
        <v>229</v>
      </c>
      <c r="T48" s="48">
        <v>2000</v>
      </c>
      <c r="U48" s="30">
        <f>M48/W48</f>
        <v>11.06</v>
      </c>
      <c r="V48" s="41">
        <f t="shared" si="11"/>
        <v>22120</v>
      </c>
      <c r="W48" s="41">
        <f t="shared" si="8"/>
        <v>73736000</v>
      </c>
      <c r="X48" s="41">
        <v>36868000</v>
      </c>
      <c r="Y48" s="41"/>
      <c r="Z48" s="41"/>
      <c r="AA48" s="41"/>
      <c r="AB48" s="41"/>
      <c r="AC48" s="41">
        <v>36868000</v>
      </c>
      <c r="AD48" s="41">
        <v>1568000</v>
      </c>
      <c r="AE48" s="41">
        <f>AD48*U48</f>
        <v>17342080</v>
      </c>
      <c r="AF48" s="41">
        <v>35300000</v>
      </c>
      <c r="AG48" s="41">
        <f>AF48*U48</f>
        <v>390418000</v>
      </c>
      <c r="AH48" s="41"/>
      <c r="AI48" s="41"/>
      <c r="AJ48" s="41"/>
      <c r="AK48" s="41"/>
      <c r="AL48" s="41"/>
      <c r="AM48" s="41">
        <f t="shared" si="17"/>
        <v>17342080</v>
      </c>
      <c r="AN48" s="41">
        <f t="shared" si="16"/>
        <v>36868</v>
      </c>
      <c r="AO48" s="41">
        <f t="shared" si="12"/>
        <v>36868</v>
      </c>
      <c r="AP48" s="40"/>
      <c r="AQ48" s="36">
        <v>44958</v>
      </c>
      <c r="AR48" s="36">
        <v>45017</v>
      </c>
      <c r="AS48" s="36"/>
      <c r="AT48" s="36">
        <v>44972</v>
      </c>
      <c r="AU48" s="36">
        <v>45031</v>
      </c>
      <c r="AV48" s="38"/>
      <c r="AW48" s="40" t="s">
        <v>87</v>
      </c>
    </row>
    <row r="49" spans="1:49" s="34" customFormat="1" ht="123" customHeight="1" x14ac:dyDescent="0.3">
      <c r="A49" s="39" t="s">
        <v>364</v>
      </c>
      <c r="B49" s="36">
        <v>44671</v>
      </c>
      <c r="C49" s="37">
        <v>1416</v>
      </c>
      <c r="D49" s="39" t="s">
        <v>365</v>
      </c>
      <c r="E49" s="1" t="s">
        <v>366</v>
      </c>
      <c r="F49" s="36">
        <v>44697</v>
      </c>
      <c r="G49" s="37" t="s">
        <v>367</v>
      </c>
      <c r="H49" s="40" t="s">
        <v>224</v>
      </c>
      <c r="I49" s="40" t="s">
        <v>368</v>
      </c>
      <c r="J49" s="41">
        <v>90177300</v>
      </c>
      <c r="K49" s="41">
        <v>60118200</v>
      </c>
      <c r="L49" s="30">
        <f t="shared" si="15"/>
        <v>60118200</v>
      </c>
      <c r="M49" s="30">
        <v>90177300</v>
      </c>
      <c r="N49" s="40" t="s">
        <v>369</v>
      </c>
      <c r="O49" s="40" t="s">
        <v>370</v>
      </c>
      <c r="P49" s="40" t="s">
        <v>218</v>
      </c>
      <c r="Q49" s="37">
        <v>0</v>
      </c>
      <c r="R49" s="37">
        <v>100</v>
      </c>
      <c r="S49" s="37" t="s">
        <v>229</v>
      </c>
      <c r="T49" s="48">
        <v>1500</v>
      </c>
      <c r="U49" s="30">
        <f>M49/W49</f>
        <v>12.37</v>
      </c>
      <c r="V49" s="41">
        <f t="shared" si="11"/>
        <v>18555</v>
      </c>
      <c r="W49" s="41">
        <f t="shared" si="8"/>
        <v>7290000</v>
      </c>
      <c r="X49" s="41">
        <v>2430000</v>
      </c>
      <c r="Y49" s="41"/>
      <c r="Z49" s="41"/>
      <c r="AA49" s="41"/>
      <c r="AB49" s="41"/>
      <c r="AC49" s="41">
        <v>2430000</v>
      </c>
      <c r="AD49" s="41"/>
      <c r="AE49" s="41"/>
      <c r="AF49" s="41"/>
      <c r="AG49" s="41"/>
      <c r="AH49" s="41">
        <v>2430000</v>
      </c>
      <c r="AI49" s="41"/>
      <c r="AJ49" s="41"/>
      <c r="AK49" s="41"/>
      <c r="AL49" s="41"/>
      <c r="AM49" s="41">
        <f t="shared" si="17"/>
        <v>0</v>
      </c>
      <c r="AN49" s="41">
        <f t="shared" si="16"/>
        <v>4860</v>
      </c>
      <c r="AO49" s="41">
        <f t="shared" si="12"/>
        <v>4860</v>
      </c>
      <c r="AP49" s="40"/>
      <c r="AQ49" s="36">
        <v>44936</v>
      </c>
      <c r="AR49" s="36">
        <v>44986</v>
      </c>
      <c r="AS49" s="36">
        <v>45352</v>
      </c>
      <c r="AT49" s="36">
        <v>44951</v>
      </c>
      <c r="AU49" s="36">
        <v>45000</v>
      </c>
      <c r="AV49" s="38">
        <v>45366</v>
      </c>
      <c r="AW49" s="40" t="s">
        <v>302</v>
      </c>
    </row>
    <row r="50" spans="1:49" s="34" customFormat="1" ht="115.5" customHeight="1" x14ac:dyDescent="0.3">
      <c r="A50" s="39" t="s">
        <v>371</v>
      </c>
      <c r="B50" s="36">
        <v>44671</v>
      </c>
      <c r="C50" s="37">
        <v>1416</v>
      </c>
      <c r="D50" s="39" t="s">
        <v>372</v>
      </c>
      <c r="E50" s="1" t="s">
        <v>373</v>
      </c>
      <c r="F50" s="36">
        <v>44697</v>
      </c>
      <c r="G50" s="37" t="s">
        <v>374</v>
      </c>
      <c r="H50" s="40" t="s">
        <v>224</v>
      </c>
      <c r="I50" s="40" t="s">
        <v>375</v>
      </c>
      <c r="J50" s="41">
        <v>39485040</v>
      </c>
      <c r="K50" s="41">
        <v>26323360</v>
      </c>
      <c r="L50" s="30">
        <f t="shared" si="15"/>
        <v>26323360</v>
      </c>
      <c r="M50" s="30">
        <v>39485040</v>
      </c>
      <c r="N50" s="40" t="s">
        <v>369</v>
      </c>
      <c r="O50" s="40" t="s">
        <v>376</v>
      </c>
      <c r="P50" s="40" t="s">
        <v>218</v>
      </c>
      <c r="Q50" s="37">
        <v>0</v>
      </c>
      <c r="R50" s="37">
        <v>100</v>
      </c>
      <c r="S50" s="37" t="s">
        <v>229</v>
      </c>
      <c r="T50" s="48">
        <v>500</v>
      </c>
      <c r="U50" s="30">
        <f>M50/W50</f>
        <v>12.37</v>
      </c>
      <c r="V50" s="41">
        <f t="shared" si="11"/>
        <v>6185</v>
      </c>
      <c r="W50" s="41">
        <f t="shared" si="8"/>
        <v>3192000</v>
      </c>
      <c r="X50" s="41">
        <v>1064000</v>
      </c>
      <c r="Y50" s="41"/>
      <c r="Z50" s="41"/>
      <c r="AA50" s="41"/>
      <c r="AB50" s="41"/>
      <c r="AC50" s="41">
        <v>1064000</v>
      </c>
      <c r="AD50" s="41"/>
      <c r="AE50" s="41"/>
      <c r="AF50" s="41"/>
      <c r="AG50" s="41"/>
      <c r="AH50" s="41">
        <v>1064000</v>
      </c>
      <c r="AI50" s="41"/>
      <c r="AJ50" s="41"/>
      <c r="AK50" s="41"/>
      <c r="AL50" s="41"/>
      <c r="AM50" s="41">
        <f t="shared" si="17"/>
        <v>0</v>
      </c>
      <c r="AN50" s="41">
        <f t="shared" si="16"/>
        <v>6384</v>
      </c>
      <c r="AO50" s="41">
        <f t="shared" si="12"/>
        <v>6384</v>
      </c>
      <c r="AP50" s="40"/>
      <c r="AQ50" s="36">
        <v>44936</v>
      </c>
      <c r="AR50" s="36">
        <v>44986</v>
      </c>
      <c r="AS50" s="36">
        <v>45352</v>
      </c>
      <c r="AT50" s="36">
        <v>44941</v>
      </c>
      <c r="AU50" s="36">
        <v>45000</v>
      </c>
      <c r="AV50" s="38">
        <v>45366</v>
      </c>
      <c r="AW50" s="40" t="s">
        <v>302</v>
      </c>
    </row>
    <row r="51" spans="1:49" s="34" customFormat="1" ht="94.5" customHeight="1" x14ac:dyDescent="0.3">
      <c r="A51" s="39" t="s">
        <v>377</v>
      </c>
      <c r="B51" s="36">
        <v>44671</v>
      </c>
      <c r="C51" s="37">
        <v>1416</v>
      </c>
      <c r="D51" s="39" t="s">
        <v>378</v>
      </c>
      <c r="E51" s="1" t="s">
        <v>379</v>
      </c>
      <c r="F51" s="36">
        <v>44704</v>
      </c>
      <c r="G51" s="39" t="s">
        <v>380</v>
      </c>
      <c r="H51" s="40" t="s">
        <v>224</v>
      </c>
      <c r="I51" s="40" t="s">
        <v>381</v>
      </c>
      <c r="J51" s="41">
        <v>465000670</v>
      </c>
      <c r="K51" s="41">
        <v>310004570</v>
      </c>
      <c r="L51" s="30">
        <f t="shared" si="15"/>
        <v>310004570</v>
      </c>
      <c r="M51" s="30">
        <v>465000670</v>
      </c>
      <c r="N51" s="40" t="s">
        <v>369</v>
      </c>
      <c r="O51" s="40" t="s">
        <v>382</v>
      </c>
      <c r="P51" s="40" t="s">
        <v>218</v>
      </c>
      <c r="Q51" s="37">
        <v>0</v>
      </c>
      <c r="R51" s="37">
        <v>100</v>
      </c>
      <c r="S51" s="37" t="s">
        <v>229</v>
      </c>
      <c r="T51" s="48">
        <v>1000</v>
      </c>
      <c r="U51" s="30">
        <f>M51/W51</f>
        <v>12.37</v>
      </c>
      <c r="V51" s="41">
        <f t="shared" si="11"/>
        <v>12370</v>
      </c>
      <c r="W51" s="41">
        <f t="shared" si="8"/>
        <v>37591000</v>
      </c>
      <c r="X51" s="41">
        <v>12531000</v>
      </c>
      <c r="Y51" s="41"/>
      <c r="Z51" s="41"/>
      <c r="AA51" s="41"/>
      <c r="AB51" s="41"/>
      <c r="AC51" s="41">
        <v>12530000</v>
      </c>
      <c r="AD51" s="41"/>
      <c r="AE51" s="41"/>
      <c r="AF51" s="41"/>
      <c r="AG51" s="41"/>
      <c r="AH51" s="41">
        <v>12530000</v>
      </c>
      <c r="AI51" s="41"/>
      <c r="AJ51" s="41"/>
      <c r="AK51" s="41"/>
      <c r="AL51" s="41"/>
      <c r="AM51" s="41">
        <f t="shared" si="17"/>
        <v>0</v>
      </c>
      <c r="AN51" s="41">
        <f t="shared" si="16"/>
        <v>37591</v>
      </c>
      <c r="AO51" s="41">
        <f t="shared" si="12"/>
        <v>37591</v>
      </c>
      <c r="AP51" s="40"/>
      <c r="AQ51" s="36">
        <v>44936</v>
      </c>
      <c r="AR51" s="36">
        <v>44986</v>
      </c>
      <c r="AS51" s="36">
        <v>45352</v>
      </c>
      <c r="AT51" s="36">
        <v>44941</v>
      </c>
      <c r="AU51" s="36">
        <v>45000</v>
      </c>
      <c r="AV51" s="38">
        <v>45366</v>
      </c>
      <c r="AW51" s="40" t="s">
        <v>302</v>
      </c>
    </row>
    <row r="52" spans="1:49" s="34" customFormat="1" ht="72" x14ac:dyDescent="0.3">
      <c r="A52" s="39" t="s">
        <v>383</v>
      </c>
      <c r="B52" s="36">
        <v>44673</v>
      </c>
      <c r="C52" s="37">
        <v>1416</v>
      </c>
      <c r="D52" s="39" t="s">
        <v>384</v>
      </c>
      <c r="E52" s="1" t="s">
        <v>385</v>
      </c>
      <c r="F52" s="36">
        <v>44705</v>
      </c>
      <c r="G52" s="39" t="s">
        <v>386</v>
      </c>
      <c r="H52" s="40" t="s">
        <v>387</v>
      </c>
      <c r="I52" s="40" t="s">
        <v>388</v>
      </c>
      <c r="J52" s="41">
        <v>78920034.480000004</v>
      </c>
      <c r="K52" s="41">
        <v>39257673.840000004</v>
      </c>
      <c r="L52" s="30">
        <f t="shared" si="15"/>
        <v>39257673.840000004</v>
      </c>
      <c r="M52" s="30">
        <v>78515347.680000007</v>
      </c>
      <c r="N52" s="40" t="s">
        <v>389</v>
      </c>
      <c r="O52" s="40" t="s">
        <v>390</v>
      </c>
      <c r="P52" s="40" t="s">
        <v>47</v>
      </c>
      <c r="Q52" s="37">
        <v>100</v>
      </c>
      <c r="R52" s="37">
        <v>0</v>
      </c>
      <c r="S52" s="37" t="s">
        <v>219</v>
      </c>
      <c r="T52" s="48">
        <v>6</v>
      </c>
      <c r="U52" s="30">
        <f>M52/W52</f>
        <v>514.1400000000001</v>
      </c>
      <c r="V52" s="41">
        <f t="shared" si="11"/>
        <v>3084.8400000000006</v>
      </c>
      <c r="W52" s="41">
        <f t="shared" si="8"/>
        <v>152712</v>
      </c>
      <c r="X52" s="41">
        <v>76356</v>
      </c>
      <c r="Y52" s="41">
        <v>60</v>
      </c>
      <c r="Z52" s="41">
        <f>Y52*U52</f>
        <v>30848.400000000005</v>
      </c>
      <c r="AA52" s="41">
        <v>76296</v>
      </c>
      <c r="AB52" s="41">
        <f>AA52*U52</f>
        <v>39226825.440000005</v>
      </c>
      <c r="AC52" s="41">
        <v>76356</v>
      </c>
      <c r="AD52" s="41"/>
      <c r="AE52" s="41"/>
      <c r="AF52" s="41"/>
      <c r="AG52" s="41"/>
      <c r="AH52" s="41"/>
      <c r="AI52" s="41"/>
      <c r="AJ52" s="41"/>
      <c r="AK52" s="41"/>
      <c r="AL52" s="41"/>
      <c r="AM52" s="41">
        <f>Z52+AE52+AJ52</f>
        <v>30848.400000000005</v>
      </c>
      <c r="AN52" s="41">
        <f t="shared" si="16"/>
        <v>25452</v>
      </c>
      <c r="AO52" s="41">
        <f t="shared" si="12"/>
        <v>25452</v>
      </c>
      <c r="AP52" s="40"/>
      <c r="AQ52" s="36">
        <v>44958</v>
      </c>
      <c r="AR52" s="36">
        <v>45323</v>
      </c>
      <c r="AS52" s="36"/>
      <c r="AT52" s="36">
        <v>44972</v>
      </c>
      <c r="AU52" s="36">
        <v>45337</v>
      </c>
      <c r="AV52" s="38"/>
      <c r="AW52" s="40" t="s">
        <v>302</v>
      </c>
    </row>
    <row r="53" spans="1:49" s="34" customFormat="1" ht="94.5" customHeight="1" x14ac:dyDescent="0.3">
      <c r="A53" s="39" t="s">
        <v>391</v>
      </c>
      <c r="B53" s="36">
        <v>44673</v>
      </c>
      <c r="C53" s="37">
        <v>1416</v>
      </c>
      <c r="D53" s="39" t="s">
        <v>392</v>
      </c>
      <c r="E53" s="1" t="s">
        <v>393</v>
      </c>
      <c r="F53" s="36">
        <v>44711</v>
      </c>
      <c r="G53" s="39" t="s">
        <v>394</v>
      </c>
      <c r="H53" s="40" t="s">
        <v>344</v>
      </c>
      <c r="I53" s="40" t="s">
        <v>395</v>
      </c>
      <c r="J53" s="41">
        <v>3908041592.4000001</v>
      </c>
      <c r="K53" s="41">
        <v>3908041592.4000001</v>
      </c>
      <c r="L53" s="30">
        <f t="shared" si="15"/>
        <v>3908041592.4000001</v>
      </c>
      <c r="M53" s="30">
        <f>L53</f>
        <v>3908041592.4000001</v>
      </c>
      <c r="N53" s="40" t="s">
        <v>346</v>
      </c>
      <c r="O53" s="40" t="s">
        <v>396</v>
      </c>
      <c r="P53" s="40" t="s">
        <v>348</v>
      </c>
      <c r="Q53" s="37">
        <v>0</v>
      </c>
      <c r="R53" s="37">
        <v>100</v>
      </c>
      <c r="S53" s="37" t="s">
        <v>219</v>
      </c>
      <c r="T53" s="48">
        <v>20</v>
      </c>
      <c r="U53" s="30">
        <f>M53/W53</f>
        <v>3559.82</v>
      </c>
      <c r="V53" s="41">
        <f t="shared" si="11"/>
        <v>71196.400000000009</v>
      </c>
      <c r="W53" s="41">
        <f t="shared" si="8"/>
        <v>1097820</v>
      </c>
      <c r="X53" s="41">
        <v>549580</v>
      </c>
      <c r="Y53" s="41"/>
      <c r="Z53" s="41"/>
      <c r="AA53" s="41"/>
      <c r="AB53" s="41"/>
      <c r="AC53" s="41">
        <v>548240</v>
      </c>
      <c r="AD53" s="41"/>
      <c r="AE53" s="41"/>
      <c r="AF53" s="41"/>
      <c r="AG53" s="41"/>
      <c r="AH53" s="41"/>
      <c r="AI53" s="41"/>
      <c r="AJ53" s="41"/>
      <c r="AK53" s="41"/>
      <c r="AL53" s="41"/>
      <c r="AM53" s="41">
        <f t="shared" ref="AM53:AM58" si="18">Z53+AE53+AJ53</f>
        <v>0</v>
      </c>
      <c r="AN53" s="41">
        <f t="shared" si="16"/>
        <v>54891</v>
      </c>
      <c r="AO53" s="41">
        <f t="shared" si="12"/>
        <v>54891</v>
      </c>
      <c r="AP53" s="40"/>
      <c r="AQ53" s="36">
        <v>44936</v>
      </c>
      <c r="AR53" s="36">
        <v>45122</v>
      </c>
      <c r="AS53" s="36"/>
      <c r="AT53" s="36">
        <v>44951</v>
      </c>
      <c r="AU53" s="36">
        <v>45137</v>
      </c>
      <c r="AV53" s="38"/>
      <c r="AW53" s="40" t="s">
        <v>87</v>
      </c>
    </row>
    <row r="54" spans="1:49" s="34" customFormat="1" ht="168" customHeight="1" x14ac:dyDescent="0.3">
      <c r="A54" s="39" t="s">
        <v>397</v>
      </c>
      <c r="B54" s="36">
        <v>44673</v>
      </c>
      <c r="C54" s="37">
        <v>1416</v>
      </c>
      <c r="D54" s="39" t="s">
        <v>398</v>
      </c>
      <c r="E54" s="1" t="s">
        <v>399</v>
      </c>
      <c r="F54" s="36">
        <v>44704</v>
      </c>
      <c r="G54" s="39" t="s">
        <v>400</v>
      </c>
      <c r="H54" s="40" t="s">
        <v>224</v>
      </c>
      <c r="I54" s="40" t="s">
        <v>401</v>
      </c>
      <c r="J54" s="41">
        <v>239676800</v>
      </c>
      <c r="K54" s="41">
        <v>239676800</v>
      </c>
      <c r="L54" s="30">
        <f t="shared" si="15"/>
        <v>239676800</v>
      </c>
      <c r="M54" s="30">
        <f>L54</f>
        <v>239676800</v>
      </c>
      <c r="N54" s="40" t="s">
        <v>402</v>
      </c>
      <c r="O54" s="40" t="s">
        <v>403</v>
      </c>
      <c r="P54" s="40" t="s">
        <v>404</v>
      </c>
      <c r="Q54" s="37">
        <v>0</v>
      </c>
      <c r="R54" s="37">
        <v>100</v>
      </c>
      <c r="S54" s="37" t="s">
        <v>229</v>
      </c>
      <c r="T54" s="48">
        <v>2000</v>
      </c>
      <c r="U54" s="30">
        <f>M54/W54</f>
        <v>12.38</v>
      </c>
      <c r="V54" s="41">
        <f t="shared" si="11"/>
        <v>24760</v>
      </c>
      <c r="W54" s="41">
        <f t="shared" si="8"/>
        <v>19360000</v>
      </c>
      <c r="X54" s="41">
        <v>9682000</v>
      </c>
      <c r="Y54" s="41"/>
      <c r="Z54" s="41"/>
      <c r="AA54" s="41"/>
      <c r="AB54" s="41"/>
      <c r="AC54" s="41">
        <v>9678000</v>
      </c>
      <c r="AD54" s="41"/>
      <c r="AE54" s="41"/>
      <c r="AF54" s="41"/>
      <c r="AG54" s="41"/>
      <c r="AH54" s="41"/>
      <c r="AI54" s="41"/>
      <c r="AJ54" s="41"/>
      <c r="AK54" s="41"/>
      <c r="AL54" s="41"/>
      <c r="AM54" s="41">
        <f t="shared" si="18"/>
        <v>0</v>
      </c>
      <c r="AN54" s="41">
        <f t="shared" si="16"/>
        <v>9680</v>
      </c>
      <c r="AO54" s="41">
        <f t="shared" si="12"/>
        <v>9680</v>
      </c>
      <c r="AP54" s="40"/>
      <c r="AQ54" s="36">
        <v>44936</v>
      </c>
      <c r="AR54" s="36">
        <v>44958</v>
      </c>
      <c r="AS54" s="36"/>
      <c r="AT54" s="36">
        <v>44941</v>
      </c>
      <c r="AU54" s="36">
        <v>44972</v>
      </c>
      <c r="AV54" s="38"/>
      <c r="AW54" s="40" t="s">
        <v>87</v>
      </c>
    </row>
    <row r="55" spans="1:49" s="34" customFormat="1" ht="63" customHeight="1" x14ac:dyDescent="0.3">
      <c r="A55" s="39" t="s">
        <v>405</v>
      </c>
      <c r="B55" s="36">
        <v>44673</v>
      </c>
      <c r="C55" s="37">
        <v>1416</v>
      </c>
      <c r="D55" s="39" t="s">
        <v>406</v>
      </c>
      <c r="E55" s="1" t="s">
        <v>407</v>
      </c>
      <c r="F55" s="36">
        <v>44719</v>
      </c>
      <c r="G55" s="39" t="s">
        <v>408</v>
      </c>
      <c r="H55" s="40" t="s">
        <v>186</v>
      </c>
      <c r="I55" s="40" t="s">
        <v>409</v>
      </c>
      <c r="J55" s="41">
        <v>3278845200</v>
      </c>
      <c r="K55" s="41">
        <v>3278845200</v>
      </c>
      <c r="L55" s="30">
        <f t="shared" si="15"/>
        <v>3278845200</v>
      </c>
      <c r="M55" s="30">
        <f>L55</f>
        <v>3278845200</v>
      </c>
      <c r="N55" s="40" t="s">
        <v>410</v>
      </c>
      <c r="O55" s="40" t="s">
        <v>411</v>
      </c>
      <c r="P55" s="40" t="s">
        <v>263</v>
      </c>
      <c r="Q55" s="37">
        <v>0</v>
      </c>
      <c r="R55" s="37">
        <v>100</v>
      </c>
      <c r="S55" s="37" t="s">
        <v>229</v>
      </c>
      <c r="T55" s="54" t="s">
        <v>412</v>
      </c>
      <c r="U55" s="30">
        <f>M55/W55</f>
        <v>12.4</v>
      </c>
      <c r="V55" s="57" t="s">
        <v>413</v>
      </c>
      <c r="W55" s="41">
        <f t="shared" si="8"/>
        <v>264423000</v>
      </c>
      <c r="X55" s="41">
        <v>132427000</v>
      </c>
      <c r="Y55" s="41"/>
      <c r="Z55" s="41"/>
      <c r="AA55" s="41"/>
      <c r="AB55" s="41"/>
      <c r="AC55" s="41">
        <v>131996000</v>
      </c>
      <c r="AD55" s="41">
        <v>39710000</v>
      </c>
      <c r="AE55" s="41">
        <f>AD55*U55</f>
        <v>492404000</v>
      </c>
      <c r="AF55" s="41">
        <v>92286000</v>
      </c>
      <c r="AG55" s="41">
        <f>AF55*U55</f>
        <v>1144346400</v>
      </c>
      <c r="AH55" s="41"/>
      <c r="AI55" s="41"/>
      <c r="AJ55" s="41"/>
      <c r="AK55" s="41"/>
      <c r="AL55" s="41"/>
      <c r="AM55" s="41">
        <f t="shared" si="18"/>
        <v>492404000</v>
      </c>
      <c r="AN55" s="41">
        <v>244848.67</v>
      </c>
      <c r="AO55" s="41">
        <f t="shared" si="12"/>
        <v>244849</v>
      </c>
      <c r="AP55" s="40"/>
      <c r="AQ55" s="36">
        <v>44936</v>
      </c>
      <c r="AR55" s="36">
        <v>45097</v>
      </c>
      <c r="AS55" s="36"/>
      <c r="AT55" s="36">
        <v>44951</v>
      </c>
      <c r="AU55" s="36">
        <v>45112</v>
      </c>
      <c r="AV55" s="38"/>
      <c r="AW55" s="40" t="s">
        <v>87</v>
      </c>
    </row>
    <row r="56" spans="1:49" s="34" customFormat="1" ht="138.75" customHeight="1" x14ac:dyDescent="0.3">
      <c r="A56" s="39" t="s">
        <v>414</v>
      </c>
      <c r="B56" s="36">
        <v>44673</v>
      </c>
      <c r="C56" s="37">
        <v>1416</v>
      </c>
      <c r="D56" s="39" t="s">
        <v>415</v>
      </c>
      <c r="E56" s="1" t="s">
        <v>416</v>
      </c>
      <c r="F56" s="36">
        <v>44711</v>
      </c>
      <c r="G56" s="39" t="s">
        <v>417</v>
      </c>
      <c r="H56" s="40" t="s">
        <v>186</v>
      </c>
      <c r="I56" s="40" t="s">
        <v>418</v>
      </c>
      <c r="J56" s="41">
        <v>597455100</v>
      </c>
      <c r="K56" s="41">
        <v>597455100</v>
      </c>
      <c r="L56" s="30">
        <f t="shared" si="15"/>
        <v>597455100</v>
      </c>
      <c r="M56" s="30">
        <f>L56</f>
        <v>597455100</v>
      </c>
      <c r="N56" s="40" t="s">
        <v>419</v>
      </c>
      <c r="O56" s="40" t="s">
        <v>420</v>
      </c>
      <c r="P56" s="40" t="s">
        <v>421</v>
      </c>
      <c r="Q56" s="37">
        <v>0</v>
      </c>
      <c r="R56" s="37">
        <v>100</v>
      </c>
      <c r="S56" s="37" t="s">
        <v>229</v>
      </c>
      <c r="T56" s="48">
        <v>500</v>
      </c>
      <c r="U56" s="30">
        <f>M56/W56</f>
        <v>13.05</v>
      </c>
      <c r="V56" s="41">
        <f>U56*T56</f>
        <v>6525</v>
      </c>
      <c r="W56" s="41">
        <f t="shared" si="8"/>
        <v>45782000</v>
      </c>
      <c r="X56" s="41">
        <v>22890000</v>
      </c>
      <c r="Y56" s="41"/>
      <c r="Z56" s="41"/>
      <c r="AA56" s="41"/>
      <c r="AB56" s="41"/>
      <c r="AC56" s="41">
        <v>22892000</v>
      </c>
      <c r="AD56" s="41">
        <v>14527500</v>
      </c>
      <c r="AE56" s="41">
        <f>AD56*U56</f>
        <v>189583875</v>
      </c>
      <c r="AF56" s="41">
        <v>8364500</v>
      </c>
      <c r="AG56" s="41">
        <f>AF56*U56</f>
        <v>109156725</v>
      </c>
      <c r="AH56" s="41"/>
      <c r="AI56" s="41"/>
      <c r="AJ56" s="41"/>
      <c r="AK56" s="41"/>
      <c r="AL56" s="41"/>
      <c r="AM56" s="41">
        <f t="shared" si="18"/>
        <v>189583875</v>
      </c>
      <c r="AN56" s="41">
        <f>W56/T56</f>
        <v>91564</v>
      </c>
      <c r="AO56" s="41">
        <f t="shared" si="12"/>
        <v>91564</v>
      </c>
      <c r="AP56" s="40"/>
      <c r="AQ56" s="36">
        <v>44936</v>
      </c>
      <c r="AR56" s="36">
        <v>44986</v>
      </c>
      <c r="AS56" s="36"/>
      <c r="AT56" s="36">
        <v>44951</v>
      </c>
      <c r="AU56" s="36">
        <v>45000</v>
      </c>
      <c r="AV56" s="38"/>
      <c r="AW56" s="40" t="s">
        <v>87</v>
      </c>
    </row>
    <row r="57" spans="1:49" s="34" customFormat="1" ht="124.8" x14ac:dyDescent="0.3">
      <c r="A57" s="39" t="s">
        <v>422</v>
      </c>
      <c r="B57" s="36">
        <v>44673</v>
      </c>
      <c r="C57" s="37">
        <v>1416</v>
      </c>
      <c r="D57" s="39" t="s">
        <v>423</v>
      </c>
      <c r="E57" s="1" t="s">
        <v>424</v>
      </c>
      <c r="F57" s="36">
        <v>44711</v>
      </c>
      <c r="G57" s="39" t="s">
        <v>425</v>
      </c>
      <c r="H57" s="40" t="s">
        <v>387</v>
      </c>
      <c r="I57" s="40" t="s">
        <v>426</v>
      </c>
      <c r="J57" s="41">
        <v>2737233000</v>
      </c>
      <c r="K57" s="41">
        <v>1824789645</v>
      </c>
      <c r="L57" s="30">
        <f t="shared" si="15"/>
        <v>1824789645</v>
      </c>
      <c r="M57" s="30">
        <v>2737233000</v>
      </c>
      <c r="N57" s="40" t="s">
        <v>427</v>
      </c>
      <c r="O57" s="40" t="s">
        <v>428</v>
      </c>
      <c r="P57" s="40" t="s">
        <v>47</v>
      </c>
      <c r="Q57" s="37">
        <v>100</v>
      </c>
      <c r="R57" s="37">
        <v>0</v>
      </c>
      <c r="S57" s="37" t="s">
        <v>219</v>
      </c>
      <c r="T57" s="54" t="s">
        <v>429</v>
      </c>
      <c r="U57" s="30">
        <f>M57/W57</f>
        <v>647.1</v>
      </c>
      <c r="V57" s="57" t="s">
        <v>430</v>
      </c>
      <c r="W57" s="41">
        <f t="shared" si="8"/>
        <v>4230000</v>
      </c>
      <c r="X57" s="41">
        <v>1409900</v>
      </c>
      <c r="Y57" s="41"/>
      <c r="Z57" s="41"/>
      <c r="AA57" s="41"/>
      <c r="AB57" s="41"/>
      <c r="AC57" s="41">
        <v>1410050</v>
      </c>
      <c r="AD57" s="41">
        <v>800</v>
      </c>
      <c r="AE57" s="41">
        <f>AD57*U57</f>
        <v>517680</v>
      </c>
      <c r="AF57" s="41">
        <v>1409250</v>
      </c>
      <c r="AG57" s="41">
        <f>AF57*U57</f>
        <v>911925675</v>
      </c>
      <c r="AH57" s="41">
        <v>1410050</v>
      </c>
      <c r="AI57" s="41"/>
      <c r="AJ57" s="41"/>
      <c r="AK57" s="41"/>
      <c r="AL57" s="41"/>
      <c r="AM57" s="41">
        <f t="shared" si="18"/>
        <v>517680</v>
      </c>
      <c r="AN57" s="41">
        <v>114013.5</v>
      </c>
      <c r="AO57" s="41">
        <f t="shared" si="12"/>
        <v>114014</v>
      </c>
      <c r="AP57" s="40"/>
      <c r="AQ57" s="36">
        <v>44936</v>
      </c>
      <c r="AR57" s="36">
        <v>44986</v>
      </c>
      <c r="AS57" s="36">
        <v>45352</v>
      </c>
      <c r="AT57" s="36">
        <v>44951</v>
      </c>
      <c r="AU57" s="36">
        <v>45000</v>
      </c>
      <c r="AV57" s="38">
        <v>45366</v>
      </c>
      <c r="AW57" s="40" t="s">
        <v>302</v>
      </c>
    </row>
    <row r="58" spans="1:49" s="34" customFormat="1" ht="140.4" x14ac:dyDescent="0.3">
      <c r="A58" s="39" t="s">
        <v>431</v>
      </c>
      <c r="B58" s="36">
        <v>44673</v>
      </c>
      <c r="C58" s="37">
        <v>1416</v>
      </c>
      <c r="D58" s="39" t="s">
        <v>432</v>
      </c>
      <c r="E58" s="1" t="s">
        <v>433</v>
      </c>
      <c r="F58" s="36">
        <v>44704</v>
      </c>
      <c r="G58" s="39" t="s">
        <v>434</v>
      </c>
      <c r="H58" s="40" t="s">
        <v>224</v>
      </c>
      <c r="I58" s="40" t="s">
        <v>435</v>
      </c>
      <c r="J58" s="41">
        <v>99335655</v>
      </c>
      <c r="K58" s="41">
        <v>99335655</v>
      </c>
      <c r="L58" s="30">
        <f t="shared" si="15"/>
        <v>99335655</v>
      </c>
      <c r="M58" s="30">
        <f>L58</f>
        <v>99335655</v>
      </c>
      <c r="N58" s="40" t="s">
        <v>402</v>
      </c>
      <c r="O58" s="40" t="s">
        <v>436</v>
      </c>
      <c r="P58" s="40" t="s">
        <v>404</v>
      </c>
      <c r="Q58" s="37">
        <v>0</v>
      </c>
      <c r="R58" s="37">
        <v>100</v>
      </c>
      <c r="S58" s="37" t="s">
        <v>229</v>
      </c>
      <c r="T58" s="48">
        <v>500</v>
      </c>
      <c r="U58" s="30">
        <f>M58/W58</f>
        <v>12.51</v>
      </c>
      <c r="V58" s="41">
        <f>U58*T58</f>
        <v>6255</v>
      </c>
      <c r="W58" s="41">
        <f t="shared" si="8"/>
        <v>7940500</v>
      </c>
      <c r="X58" s="41">
        <v>3999000</v>
      </c>
      <c r="Y58" s="41"/>
      <c r="Z58" s="41"/>
      <c r="AA58" s="41"/>
      <c r="AB58" s="41"/>
      <c r="AC58" s="41">
        <v>3941500</v>
      </c>
      <c r="AD58" s="41"/>
      <c r="AE58" s="41"/>
      <c r="AF58" s="41"/>
      <c r="AG58" s="41"/>
      <c r="AH58" s="41"/>
      <c r="AI58" s="41"/>
      <c r="AJ58" s="41"/>
      <c r="AK58" s="41"/>
      <c r="AL58" s="41"/>
      <c r="AM58" s="41">
        <f t="shared" si="18"/>
        <v>0</v>
      </c>
      <c r="AN58" s="41">
        <f>W58/T58</f>
        <v>15881</v>
      </c>
      <c r="AO58" s="41">
        <f t="shared" si="12"/>
        <v>15881</v>
      </c>
      <c r="AP58" s="40"/>
      <c r="AQ58" s="36">
        <v>44936</v>
      </c>
      <c r="AR58" s="36">
        <v>44986</v>
      </c>
      <c r="AS58" s="36"/>
      <c r="AT58" s="36">
        <v>44951</v>
      </c>
      <c r="AU58" s="36">
        <v>45000</v>
      </c>
      <c r="AV58" s="38"/>
      <c r="AW58" s="40" t="s">
        <v>87</v>
      </c>
    </row>
    <row r="59" spans="1:49" s="34" customFormat="1" ht="180" customHeight="1" x14ac:dyDescent="0.3">
      <c r="A59" s="39" t="s">
        <v>437</v>
      </c>
      <c r="B59" s="36">
        <v>44673</v>
      </c>
      <c r="C59" s="37">
        <v>1416</v>
      </c>
      <c r="D59" s="39" t="s">
        <v>438</v>
      </c>
      <c r="E59" s="1" t="s">
        <v>439</v>
      </c>
      <c r="F59" s="36">
        <v>44704</v>
      </c>
      <c r="G59" s="39" t="s">
        <v>440</v>
      </c>
      <c r="H59" s="40" t="s">
        <v>387</v>
      </c>
      <c r="I59" s="40" t="s">
        <v>441</v>
      </c>
      <c r="J59" s="41">
        <v>95831540.640000001</v>
      </c>
      <c r="K59" s="41">
        <v>47915770.32</v>
      </c>
      <c r="L59" s="30">
        <f t="shared" si="15"/>
        <v>47915770.32</v>
      </c>
      <c r="M59" s="30">
        <v>95831540.640000001</v>
      </c>
      <c r="N59" s="40" t="s">
        <v>442</v>
      </c>
      <c r="O59" s="40" t="s">
        <v>443</v>
      </c>
      <c r="P59" s="40" t="s">
        <v>47</v>
      </c>
      <c r="Q59" s="37">
        <v>100</v>
      </c>
      <c r="R59" s="37">
        <v>0</v>
      </c>
      <c r="S59" s="37" t="s">
        <v>219</v>
      </c>
      <c r="T59" s="67">
        <v>1.5</v>
      </c>
      <c r="U59" s="30">
        <f>M59/W59</f>
        <v>3065.04</v>
      </c>
      <c r="V59" s="41">
        <f>U59*T59</f>
        <v>4597.5599999999995</v>
      </c>
      <c r="W59" s="41">
        <f t="shared" si="8"/>
        <v>31266</v>
      </c>
      <c r="X59" s="41">
        <v>15633</v>
      </c>
      <c r="Y59" s="41">
        <v>4732.5</v>
      </c>
      <c r="Z59" s="41">
        <v>14505301.800000001</v>
      </c>
      <c r="AA59" s="41">
        <v>10900</v>
      </c>
      <c r="AB59" s="41">
        <v>33408936</v>
      </c>
      <c r="AC59" s="41">
        <v>15633</v>
      </c>
      <c r="AD59" s="41"/>
      <c r="AE59" s="41">
        <v>0</v>
      </c>
      <c r="AF59" s="41"/>
      <c r="AG59" s="41">
        <v>0</v>
      </c>
      <c r="AH59" s="41"/>
      <c r="AI59" s="41"/>
      <c r="AJ59" s="41">
        <v>0</v>
      </c>
      <c r="AK59" s="41"/>
      <c r="AL59" s="41">
        <v>0</v>
      </c>
      <c r="AM59" s="41">
        <f>Z59+AE59+AJ59</f>
        <v>14505301.800000001</v>
      </c>
      <c r="AN59" s="41">
        <f>W59/T59</f>
        <v>20844</v>
      </c>
      <c r="AO59" s="41">
        <f t="shared" si="12"/>
        <v>20844</v>
      </c>
      <c r="AP59" s="40"/>
      <c r="AQ59" s="36">
        <v>44958</v>
      </c>
      <c r="AR59" s="36">
        <v>45352</v>
      </c>
      <c r="AS59" s="36"/>
      <c r="AT59" s="36">
        <v>44972</v>
      </c>
      <c r="AU59" s="36">
        <v>45366</v>
      </c>
      <c r="AV59" s="38"/>
      <c r="AW59" s="40" t="s">
        <v>302</v>
      </c>
    </row>
    <row r="60" spans="1:49" s="34" customFormat="1" ht="184.5" customHeight="1" x14ac:dyDescent="0.3">
      <c r="A60" s="39" t="s">
        <v>444</v>
      </c>
      <c r="B60" s="36">
        <v>44673</v>
      </c>
      <c r="C60" s="37">
        <v>1416</v>
      </c>
      <c r="D60" s="39" t="s">
        <v>445</v>
      </c>
      <c r="E60" s="1" t="s">
        <v>446</v>
      </c>
      <c r="F60" s="36">
        <v>44705</v>
      </c>
      <c r="G60" s="39" t="s">
        <v>447</v>
      </c>
      <c r="H60" s="40" t="s">
        <v>224</v>
      </c>
      <c r="I60" s="40" t="s">
        <v>448</v>
      </c>
      <c r="J60" s="41">
        <v>481293120</v>
      </c>
      <c r="K60" s="41">
        <v>481293120</v>
      </c>
      <c r="L60" s="30">
        <f t="shared" si="15"/>
        <v>481293120</v>
      </c>
      <c r="M60" s="30">
        <f>L60</f>
        <v>481293120</v>
      </c>
      <c r="N60" s="40" t="s">
        <v>402</v>
      </c>
      <c r="O60" s="40" t="s">
        <v>449</v>
      </c>
      <c r="P60" s="40" t="s">
        <v>404</v>
      </c>
      <c r="Q60" s="37">
        <v>0</v>
      </c>
      <c r="R60" s="37">
        <v>100</v>
      </c>
      <c r="S60" s="37" t="s">
        <v>229</v>
      </c>
      <c r="T60" s="48">
        <v>1000</v>
      </c>
      <c r="U60" s="30">
        <f>M60/W60</f>
        <v>12.32</v>
      </c>
      <c r="V60" s="41">
        <f>U60*T60</f>
        <v>12320</v>
      </c>
      <c r="W60" s="41">
        <f t="shared" si="8"/>
        <v>39066000</v>
      </c>
      <c r="X60" s="41">
        <v>19533000</v>
      </c>
      <c r="Y60" s="41"/>
      <c r="Z60" s="41"/>
      <c r="AA60" s="41"/>
      <c r="AB60" s="41"/>
      <c r="AC60" s="41">
        <v>19533000</v>
      </c>
      <c r="AD60" s="41">
        <v>5920000</v>
      </c>
      <c r="AE60" s="41">
        <f>AD60*U60</f>
        <v>72934400</v>
      </c>
      <c r="AF60" s="41">
        <v>13613000</v>
      </c>
      <c r="AG60" s="41">
        <f>AF60*U60</f>
        <v>167712160</v>
      </c>
      <c r="AH60" s="41"/>
      <c r="AI60" s="41"/>
      <c r="AJ60" s="41"/>
      <c r="AK60" s="41"/>
      <c r="AL60" s="41"/>
      <c r="AM60" s="41">
        <f>Z60+AE60+AJ60</f>
        <v>72934400</v>
      </c>
      <c r="AN60" s="41">
        <f>W60/T60</f>
        <v>39066</v>
      </c>
      <c r="AO60" s="41">
        <f t="shared" si="12"/>
        <v>39066</v>
      </c>
      <c r="AP60" s="40"/>
      <c r="AQ60" s="36">
        <v>44936</v>
      </c>
      <c r="AR60" s="36">
        <v>44986</v>
      </c>
      <c r="AS60" s="36"/>
      <c r="AT60" s="36">
        <v>44951</v>
      </c>
      <c r="AU60" s="36">
        <v>45000</v>
      </c>
      <c r="AV60" s="38"/>
      <c r="AW60" s="40" t="s">
        <v>87</v>
      </c>
    </row>
    <row r="61" spans="1:49" s="34" customFormat="1" ht="163.5" customHeight="1" x14ac:dyDescent="0.3">
      <c r="A61" s="39" t="s">
        <v>450</v>
      </c>
      <c r="B61" s="36">
        <v>44677</v>
      </c>
      <c r="C61" s="37">
        <v>1416</v>
      </c>
      <c r="D61" s="39" t="s">
        <v>451</v>
      </c>
      <c r="E61" s="1" t="s">
        <v>452</v>
      </c>
      <c r="F61" s="36">
        <v>44714</v>
      </c>
      <c r="G61" s="39" t="s">
        <v>453</v>
      </c>
      <c r="H61" s="40" t="s">
        <v>186</v>
      </c>
      <c r="I61" s="40" t="s">
        <v>454</v>
      </c>
      <c r="J61" s="41">
        <v>730992000</v>
      </c>
      <c r="K61" s="41">
        <v>730992000</v>
      </c>
      <c r="L61" s="30">
        <f t="shared" si="15"/>
        <v>730992000</v>
      </c>
      <c r="M61" s="30">
        <f>L61</f>
        <v>730992000</v>
      </c>
      <c r="N61" s="40" t="s">
        <v>455</v>
      </c>
      <c r="O61" s="40" t="s">
        <v>456</v>
      </c>
      <c r="P61" s="40" t="s">
        <v>263</v>
      </c>
      <c r="Q61" s="37">
        <v>0</v>
      </c>
      <c r="R61" s="37">
        <v>100</v>
      </c>
      <c r="S61" s="37" t="s">
        <v>457</v>
      </c>
      <c r="T61" s="48">
        <v>1000</v>
      </c>
      <c r="U61" s="30">
        <f>M61/W61</f>
        <v>48.5</v>
      </c>
      <c r="V61" s="41">
        <f>U61*T61</f>
        <v>48500</v>
      </c>
      <c r="W61" s="41">
        <f t="shared" si="8"/>
        <v>15072000</v>
      </c>
      <c r="X61" s="41">
        <v>11772000</v>
      </c>
      <c r="Y61" s="41">
        <v>2586000</v>
      </c>
      <c r="Z61" s="41">
        <v>125421000</v>
      </c>
      <c r="AA61" s="41">
        <v>9186000</v>
      </c>
      <c r="AB61" s="41">
        <v>445521000</v>
      </c>
      <c r="AC61" s="41">
        <v>3300000</v>
      </c>
      <c r="AD61" s="41">
        <v>740000</v>
      </c>
      <c r="AE61" s="41">
        <v>35890000</v>
      </c>
      <c r="AF61" s="41">
        <v>2560000</v>
      </c>
      <c r="AG61" s="41">
        <v>124160000</v>
      </c>
      <c r="AH61" s="41"/>
      <c r="AI61" s="41"/>
      <c r="AJ61" s="41">
        <v>0</v>
      </c>
      <c r="AK61" s="41"/>
      <c r="AL61" s="41">
        <v>0</v>
      </c>
      <c r="AM61" s="41">
        <f>Z61+AE61+AJ61</f>
        <v>161311000</v>
      </c>
      <c r="AN61" s="41">
        <f>W61/T61</f>
        <v>15072</v>
      </c>
      <c r="AO61" s="41">
        <f t="shared" si="12"/>
        <v>15072</v>
      </c>
      <c r="AP61" s="40"/>
      <c r="AQ61" s="36">
        <v>44958</v>
      </c>
      <c r="AR61" s="36">
        <v>45097</v>
      </c>
      <c r="AS61" s="36"/>
      <c r="AT61" s="36">
        <v>44972</v>
      </c>
      <c r="AU61" s="36">
        <v>45112</v>
      </c>
      <c r="AV61" s="38"/>
      <c r="AW61" s="40" t="s">
        <v>87</v>
      </c>
    </row>
    <row r="62" spans="1:49" s="34" customFormat="1" ht="157.5" customHeight="1" x14ac:dyDescent="0.3">
      <c r="A62" s="39" t="s">
        <v>458</v>
      </c>
      <c r="B62" s="36">
        <v>44677</v>
      </c>
      <c r="C62" s="37">
        <v>1416</v>
      </c>
      <c r="D62" s="39" t="s">
        <v>459</v>
      </c>
      <c r="E62" s="39" t="s">
        <v>459</v>
      </c>
      <c r="F62" s="39" t="s">
        <v>459</v>
      </c>
      <c r="G62" s="39" t="s">
        <v>459</v>
      </c>
      <c r="H62" s="39" t="s">
        <v>459</v>
      </c>
      <c r="I62" s="40" t="s">
        <v>460</v>
      </c>
      <c r="J62" s="41">
        <v>761721856</v>
      </c>
      <c r="K62" s="42" t="s">
        <v>459</v>
      </c>
      <c r="L62" s="30" t="str">
        <f t="shared" si="15"/>
        <v>нет заявок</v>
      </c>
      <c r="M62" s="30">
        <v>702951908.88</v>
      </c>
      <c r="N62" s="42" t="s">
        <v>459</v>
      </c>
      <c r="O62" s="63" t="s">
        <v>459</v>
      </c>
      <c r="P62" s="42" t="s">
        <v>459</v>
      </c>
      <c r="Q62" s="42" t="s">
        <v>459</v>
      </c>
      <c r="R62" s="42" t="s">
        <v>459</v>
      </c>
      <c r="S62" s="42" t="s">
        <v>459</v>
      </c>
      <c r="T62" s="42" t="s">
        <v>459</v>
      </c>
      <c r="U62" s="42" t="s">
        <v>459</v>
      </c>
      <c r="V62" s="42" t="s">
        <v>459</v>
      </c>
      <c r="W62" s="42" t="s">
        <v>459</v>
      </c>
      <c r="X62" s="42" t="s">
        <v>459</v>
      </c>
      <c r="Y62" s="42"/>
      <c r="Z62" s="42"/>
      <c r="AA62" s="42"/>
      <c r="AB62" s="42"/>
      <c r="AC62" s="42" t="s">
        <v>459</v>
      </c>
      <c r="AD62" s="42"/>
      <c r="AE62" s="42"/>
      <c r="AF62" s="42"/>
      <c r="AG62" s="42"/>
      <c r="AH62" s="42" t="s">
        <v>459</v>
      </c>
      <c r="AI62" s="42"/>
      <c r="AJ62" s="42"/>
      <c r="AK62" s="42"/>
      <c r="AL62" s="42"/>
      <c r="AM62" s="42"/>
      <c r="AN62" s="42" t="s">
        <v>459</v>
      </c>
      <c r="AO62" s="42" t="s">
        <v>459</v>
      </c>
      <c r="AP62" s="42" t="s">
        <v>459</v>
      </c>
      <c r="AQ62" s="42" t="s">
        <v>459</v>
      </c>
      <c r="AR62" s="42" t="s">
        <v>459</v>
      </c>
      <c r="AS62" s="42" t="s">
        <v>459</v>
      </c>
      <c r="AT62" s="42" t="s">
        <v>459</v>
      </c>
      <c r="AU62" s="42" t="s">
        <v>459</v>
      </c>
      <c r="AV62" s="42" t="s">
        <v>459</v>
      </c>
      <c r="AW62" s="42" t="s">
        <v>459</v>
      </c>
    </row>
    <row r="63" spans="1:49" s="34" customFormat="1" ht="138.75" customHeight="1" x14ac:dyDescent="0.3">
      <c r="A63" s="39" t="s">
        <v>461</v>
      </c>
      <c r="B63" s="36">
        <v>44677</v>
      </c>
      <c r="C63" s="37">
        <v>1416</v>
      </c>
      <c r="D63" s="39" t="s">
        <v>462</v>
      </c>
      <c r="E63" s="1" t="s">
        <v>463</v>
      </c>
      <c r="F63" s="36">
        <v>44712</v>
      </c>
      <c r="G63" s="39" t="s">
        <v>464</v>
      </c>
      <c r="H63" s="40" t="s">
        <v>465</v>
      </c>
      <c r="I63" s="40" t="s">
        <v>466</v>
      </c>
      <c r="J63" s="41">
        <v>1118776892.9400001</v>
      </c>
      <c r="K63" s="41">
        <v>1118776892.9400001</v>
      </c>
      <c r="L63" s="30">
        <f t="shared" si="15"/>
        <v>1118776892.9400001</v>
      </c>
      <c r="M63" s="30">
        <f>L63</f>
        <v>1118776892.9400001</v>
      </c>
      <c r="N63" s="40" t="s">
        <v>467</v>
      </c>
      <c r="O63" s="40" t="s">
        <v>468</v>
      </c>
      <c r="P63" s="40" t="s">
        <v>47</v>
      </c>
      <c r="Q63" s="37">
        <v>100</v>
      </c>
      <c r="R63" s="37">
        <v>0</v>
      </c>
      <c r="S63" s="37" t="s">
        <v>200</v>
      </c>
      <c r="T63" s="48">
        <v>3</v>
      </c>
      <c r="U63" s="30">
        <f>M63/W63</f>
        <v>69666.66</v>
      </c>
      <c r="V63" s="41">
        <f>U63*T63</f>
        <v>208999.98</v>
      </c>
      <c r="W63" s="41">
        <f>X63+AC63+AH63</f>
        <v>16059</v>
      </c>
      <c r="X63" s="41">
        <v>8043</v>
      </c>
      <c r="Y63" s="62"/>
      <c r="Z63" s="62"/>
      <c r="AA63" s="62"/>
      <c r="AB63" s="62"/>
      <c r="AC63" s="62">
        <v>8016</v>
      </c>
      <c r="AD63" s="62"/>
      <c r="AE63" s="62"/>
      <c r="AF63" s="62"/>
      <c r="AG63" s="62"/>
      <c r="AH63" s="41"/>
      <c r="AI63" s="41"/>
      <c r="AJ63" s="41"/>
      <c r="AK63" s="41"/>
      <c r="AL63" s="41"/>
      <c r="AM63" s="41">
        <f>Z63+AE63+AJ63</f>
        <v>0</v>
      </c>
      <c r="AN63" s="41">
        <f>W63/T63</f>
        <v>5353</v>
      </c>
      <c r="AO63" s="41">
        <f>_xlfn.CEILING.MATH(AN63)</f>
        <v>5353</v>
      </c>
      <c r="AP63" s="40"/>
      <c r="AQ63" s="36">
        <v>44936</v>
      </c>
      <c r="AR63" s="36">
        <v>44986</v>
      </c>
      <c r="AS63" s="36"/>
      <c r="AT63" s="36">
        <v>44951</v>
      </c>
      <c r="AU63" s="36">
        <v>45000</v>
      </c>
      <c r="AV63" s="38"/>
      <c r="AW63" s="40" t="s">
        <v>87</v>
      </c>
    </row>
    <row r="64" spans="1:49" s="34" customFormat="1" ht="127.5" customHeight="1" x14ac:dyDescent="0.3">
      <c r="A64" s="39" t="s">
        <v>469</v>
      </c>
      <c r="B64" s="36">
        <v>44677</v>
      </c>
      <c r="C64" s="37">
        <v>1416</v>
      </c>
      <c r="D64" s="39" t="s">
        <v>470</v>
      </c>
      <c r="E64" s="1" t="s">
        <v>471</v>
      </c>
      <c r="F64" s="36">
        <v>44712</v>
      </c>
      <c r="G64" s="37" t="s">
        <v>472</v>
      </c>
      <c r="H64" s="40" t="s">
        <v>186</v>
      </c>
      <c r="I64" s="40" t="s">
        <v>473</v>
      </c>
      <c r="J64" s="41">
        <v>2087771400</v>
      </c>
      <c r="K64" s="41">
        <v>1369797000</v>
      </c>
      <c r="L64" s="30">
        <f t="shared" si="15"/>
        <v>1369797000</v>
      </c>
      <c r="M64" s="30">
        <v>2087771400</v>
      </c>
      <c r="N64" s="40" t="s">
        <v>474</v>
      </c>
      <c r="O64" s="40" t="s">
        <v>475</v>
      </c>
      <c r="P64" s="40" t="s">
        <v>190</v>
      </c>
      <c r="Q64" s="37">
        <v>0</v>
      </c>
      <c r="R64" s="37">
        <v>100</v>
      </c>
      <c r="S64" s="37" t="s">
        <v>200</v>
      </c>
      <c r="T64" s="48">
        <v>1</v>
      </c>
      <c r="U64" s="30">
        <f>M64/W64</f>
        <v>85800</v>
      </c>
      <c r="V64" s="41">
        <f>U64*T64</f>
        <v>85800</v>
      </c>
      <c r="W64" s="41">
        <f>X64+AC64+AH64</f>
        <v>24333</v>
      </c>
      <c r="X64" s="41">
        <v>7597</v>
      </c>
      <c r="Y64" s="41"/>
      <c r="Z64" s="41"/>
      <c r="AA64" s="41"/>
      <c r="AB64" s="41"/>
      <c r="AC64" s="68">
        <v>8368</v>
      </c>
      <c r="AD64" s="68"/>
      <c r="AE64" s="68"/>
      <c r="AF64" s="68"/>
      <c r="AG64" s="68"/>
      <c r="AH64" s="41">
        <v>8368</v>
      </c>
      <c r="AI64" s="41"/>
      <c r="AJ64" s="41"/>
      <c r="AK64" s="41"/>
      <c r="AL64" s="41"/>
      <c r="AM64" s="41">
        <f>Z64+AE64+AJ64</f>
        <v>0</v>
      </c>
      <c r="AN64" s="41">
        <f>W64/T64</f>
        <v>24333</v>
      </c>
      <c r="AO64" s="41">
        <f>_xlfn.CEILING.MATH(AN64)</f>
        <v>24333</v>
      </c>
      <c r="AP64" s="40"/>
      <c r="AQ64" s="36">
        <v>44936</v>
      </c>
      <c r="AR64" s="36">
        <v>44986</v>
      </c>
      <c r="AS64" s="36">
        <v>45323</v>
      </c>
      <c r="AT64" s="36">
        <v>44958</v>
      </c>
      <c r="AU64" s="36">
        <v>45000</v>
      </c>
      <c r="AV64" s="38">
        <v>45366</v>
      </c>
      <c r="AW64" s="40" t="s">
        <v>302</v>
      </c>
    </row>
    <row r="65" spans="1:49" s="34" customFormat="1" ht="78" x14ac:dyDescent="0.3">
      <c r="A65" s="39" t="s">
        <v>476</v>
      </c>
      <c r="B65" s="36">
        <v>44677</v>
      </c>
      <c r="C65" s="37">
        <v>1416</v>
      </c>
      <c r="D65" s="39" t="s">
        <v>477</v>
      </c>
      <c r="E65" s="1" t="s">
        <v>478</v>
      </c>
      <c r="F65" s="36">
        <v>44711</v>
      </c>
      <c r="G65" s="39" t="s">
        <v>479</v>
      </c>
      <c r="H65" s="40" t="s">
        <v>177</v>
      </c>
      <c r="I65" s="40" t="s">
        <v>480</v>
      </c>
      <c r="J65" s="41">
        <v>2082265948.3499999</v>
      </c>
      <c r="K65" s="41">
        <v>1387286299.3499999</v>
      </c>
      <c r="L65" s="30">
        <f t="shared" si="15"/>
        <v>1387286299.3499999</v>
      </c>
      <c r="M65" s="30">
        <v>2082265948.3499999</v>
      </c>
      <c r="N65" s="40" t="s">
        <v>481</v>
      </c>
      <c r="O65" s="40" t="s">
        <v>482</v>
      </c>
      <c r="P65" s="40" t="s">
        <v>47</v>
      </c>
      <c r="Q65" s="37">
        <v>100</v>
      </c>
      <c r="R65" s="37">
        <v>0</v>
      </c>
      <c r="S65" s="37" t="s">
        <v>200</v>
      </c>
      <c r="T65" s="48">
        <v>21</v>
      </c>
      <c r="U65" s="30">
        <f>M65/W65</f>
        <v>14142.849999999999</v>
      </c>
      <c r="V65" s="41">
        <f>U65*T65</f>
        <v>296999.84999999998</v>
      </c>
      <c r="W65" s="41">
        <f>X65+AC65+AH65</f>
        <v>147231</v>
      </c>
      <c r="X65" s="41">
        <v>48951</v>
      </c>
      <c r="Y65" s="41"/>
      <c r="Z65" s="41"/>
      <c r="AA65" s="41"/>
      <c r="AB65" s="41"/>
      <c r="AC65" s="41">
        <v>49140</v>
      </c>
      <c r="AD65" s="41"/>
      <c r="AE65" s="41"/>
      <c r="AF65" s="41"/>
      <c r="AG65" s="41"/>
      <c r="AH65" s="41">
        <v>49140</v>
      </c>
      <c r="AI65" s="41"/>
      <c r="AJ65" s="41"/>
      <c r="AK65" s="41"/>
      <c r="AL65" s="41"/>
      <c r="AM65" s="41">
        <f>Z65+AE65+AJ65</f>
        <v>0</v>
      </c>
      <c r="AN65" s="41">
        <f>W65/T65</f>
        <v>7011</v>
      </c>
      <c r="AO65" s="41">
        <f>_xlfn.CEILING.MATH(AN65)</f>
        <v>7011</v>
      </c>
      <c r="AP65" s="40"/>
      <c r="AQ65" s="36">
        <v>44936</v>
      </c>
      <c r="AR65" s="36">
        <v>44986</v>
      </c>
      <c r="AS65" s="36">
        <v>45352</v>
      </c>
      <c r="AT65" s="36">
        <v>44951</v>
      </c>
      <c r="AU65" s="36">
        <v>45000</v>
      </c>
      <c r="AV65" s="38">
        <v>45366</v>
      </c>
      <c r="AW65" s="40" t="s">
        <v>302</v>
      </c>
    </row>
    <row r="66" spans="1:49" s="34" customFormat="1" ht="133.5" customHeight="1" x14ac:dyDescent="0.3">
      <c r="A66" s="39" t="s">
        <v>483</v>
      </c>
      <c r="B66" s="36">
        <v>44677</v>
      </c>
      <c r="C66" s="37">
        <v>1416</v>
      </c>
      <c r="D66" s="39" t="s">
        <v>484</v>
      </c>
      <c r="E66" s="1" t="s">
        <v>485</v>
      </c>
      <c r="F66" s="36">
        <v>44708</v>
      </c>
      <c r="G66" s="37" t="s">
        <v>486</v>
      </c>
      <c r="H66" s="40" t="s">
        <v>186</v>
      </c>
      <c r="I66" s="40" t="s">
        <v>487</v>
      </c>
      <c r="J66" s="41">
        <v>92331360</v>
      </c>
      <c r="K66" s="41">
        <v>92331360</v>
      </c>
      <c r="L66" s="30">
        <f t="shared" si="15"/>
        <v>92331360</v>
      </c>
      <c r="M66" s="30">
        <f>L66</f>
        <v>92331360</v>
      </c>
      <c r="N66" s="40" t="s">
        <v>455</v>
      </c>
      <c r="O66" s="40" t="s">
        <v>488</v>
      </c>
      <c r="P66" s="40" t="s">
        <v>263</v>
      </c>
      <c r="Q66" s="37"/>
      <c r="R66" s="37"/>
      <c r="S66" s="37" t="s">
        <v>457</v>
      </c>
      <c r="T66" s="48">
        <v>500</v>
      </c>
      <c r="U66" s="30">
        <f>M66/W66</f>
        <v>51.04</v>
      </c>
      <c r="V66" s="41">
        <f>U66*T66</f>
        <v>25520</v>
      </c>
      <c r="W66" s="41">
        <f>X66+AC66+AH66</f>
        <v>1809000</v>
      </c>
      <c r="X66" s="41">
        <v>1809000</v>
      </c>
      <c r="Y66" s="41">
        <v>1449500</v>
      </c>
      <c r="Z66" s="41">
        <v>73982480</v>
      </c>
      <c r="AA66" s="41">
        <v>359500</v>
      </c>
      <c r="AB66" s="41">
        <v>18348880</v>
      </c>
      <c r="AC66" s="41"/>
      <c r="AD66" s="41"/>
      <c r="AE66" s="41">
        <v>0</v>
      </c>
      <c r="AF66" s="41"/>
      <c r="AG66" s="41">
        <v>0</v>
      </c>
      <c r="AH66" s="41"/>
      <c r="AI66" s="41"/>
      <c r="AJ66" s="41">
        <v>0</v>
      </c>
      <c r="AK66" s="41"/>
      <c r="AL66" s="41">
        <v>0</v>
      </c>
      <c r="AM66" s="41">
        <f>Z66+AE66+AJ66</f>
        <v>73982480</v>
      </c>
      <c r="AN66" s="41">
        <f>W66/T66</f>
        <v>3618</v>
      </c>
      <c r="AO66" s="41">
        <f>_xlfn.CEILING.MATH(AN66)</f>
        <v>3618</v>
      </c>
      <c r="AP66" s="40"/>
      <c r="AQ66" s="36">
        <v>44958</v>
      </c>
      <c r="AR66" s="36"/>
      <c r="AS66" s="36"/>
      <c r="AT66" s="36">
        <v>44972</v>
      </c>
      <c r="AU66" s="36"/>
      <c r="AV66" s="38"/>
      <c r="AW66" s="40" t="s">
        <v>87</v>
      </c>
    </row>
    <row r="67" spans="1:49" s="34" customFormat="1" ht="139.5" customHeight="1" x14ac:dyDescent="0.3">
      <c r="A67" s="39" t="s">
        <v>489</v>
      </c>
      <c r="B67" s="36">
        <v>44677</v>
      </c>
      <c r="C67" s="37">
        <v>1416</v>
      </c>
      <c r="D67" s="39" t="s">
        <v>490</v>
      </c>
      <c r="E67" s="39" t="s">
        <v>491</v>
      </c>
      <c r="F67" s="39" t="s">
        <v>491</v>
      </c>
      <c r="G67" s="39" t="s">
        <v>491</v>
      </c>
      <c r="H67" s="39" t="s">
        <v>491</v>
      </c>
      <c r="I67" s="40" t="s">
        <v>492</v>
      </c>
      <c r="J67" s="41">
        <v>175678740</v>
      </c>
      <c r="K67" s="42" t="s">
        <v>490</v>
      </c>
      <c r="L67" s="30" t="str">
        <f t="shared" si="15"/>
        <v>отмена</v>
      </c>
      <c r="M67" s="30" t="str">
        <f>L67</f>
        <v>отмена</v>
      </c>
      <c r="N67" s="42" t="s">
        <v>490</v>
      </c>
      <c r="O67" s="63" t="s">
        <v>490</v>
      </c>
      <c r="P67" s="42" t="s">
        <v>490</v>
      </c>
      <c r="Q67" s="42" t="s">
        <v>490</v>
      </c>
      <c r="R67" s="42" t="s">
        <v>490</v>
      </c>
      <c r="S67" s="42" t="s">
        <v>490</v>
      </c>
      <c r="T67" s="42" t="s">
        <v>490</v>
      </c>
      <c r="U67" s="42" t="s">
        <v>490</v>
      </c>
      <c r="V67" s="42" t="s">
        <v>490</v>
      </c>
      <c r="W67" s="42" t="s">
        <v>490</v>
      </c>
      <c r="X67" s="42" t="s">
        <v>490</v>
      </c>
      <c r="Y67" s="42"/>
      <c r="Z67" s="42"/>
      <c r="AA67" s="42"/>
      <c r="AB67" s="42"/>
      <c r="AC67" s="42" t="s">
        <v>490</v>
      </c>
      <c r="AD67" s="42"/>
      <c r="AE67" s="42"/>
      <c r="AF67" s="42"/>
      <c r="AG67" s="42"/>
      <c r="AH67" s="42" t="s">
        <v>490</v>
      </c>
      <c r="AI67" s="42"/>
      <c r="AJ67" s="42"/>
      <c r="AK67" s="42"/>
      <c r="AL67" s="42"/>
      <c r="AM67" s="41">
        <f t="shared" ref="AM67:AM98" si="19">Z67+AE67+AJ67</f>
        <v>0</v>
      </c>
      <c r="AN67" s="42" t="s">
        <v>490</v>
      </c>
      <c r="AO67" s="42" t="s">
        <v>490</v>
      </c>
      <c r="AP67" s="42" t="s">
        <v>490</v>
      </c>
      <c r="AQ67" s="42" t="s">
        <v>490</v>
      </c>
      <c r="AR67" s="42" t="s">
        <v>490</v>
      </c>
      <c r="AS67" s="42" t="s">
        <v>490</v>
      </c>
      <c r="AT67" s="42" t="s">
        <v>490</v>
      </c>
      <c r="AU67" s="42" t="s">
        <v>490</v>
      </c>
      <c r="AV67" s="42" t="s">
        <v>490</v>
      </c>
      <c r="AW67" s="42" t="s">
        <v>490</v>
      </c>
    </row>
    <row r="68" spans="1:49" s="34" customFormat="1" ht="137.25" customHeight="1" x14ac:dyDescent="0.3">
      <c r="A68" s="39" t="s">
        <v>493</v>
      </c>
      <c r="B68" s="36">
        <v>44678</v>
      </c>
      <c r="C68" s="37">
        <v>1416</v>
      </c>
      <c r="D68" s="39" t="s">
        <v>494</v>
      </c>
      <c r="E68" s="1" t="s">
        <v>495</v>
      </c>
      <c r="F68" s="36">
        <v>44720</v>
      </c>
      <c r="G68" s="39" t="s">
        <v>496</v>
      </c>
      <c r="H68" s="40" t="s">
        <v>387</v>
      </c>
      <c r="I68" s="40" t="s">
        <v>497</v>
      </c>
      <c r="J68" s="41">
        <v>2419113638.4000001</v>
      </c>
      <c r="K68" s="41">
        <v>1209556819.2</v>
      </c>
      <c r="L68" s="30">
        <f t="shared" si="15"/>
        <v>1209556819.2</v>
      </c>
      <c r="M68" s="30">
        <v>2419113638.4000001</v>
      </c>
      <c r="N68" s="40" t="s">
        <v>442</v>
      </c>
      <c r="O68" s="40" t="s">
        <v>498</v>
      </c>
      <c r="P68" s="40" t="s">
        <v>47</v>
      </c>
      <c r="Q68" s="37">
        <v>100</v>
      </c>
      <c r="R68" s="37">
        <v>0</v>
      </c>
      <c r="S68" s="37" t="s">
        <v>219</v>
      </c>
      <c r="T68" s="48">
        <v>1.5</v>
      </c>
      <c r="U68" s="30">
        <f>M68/W68</f>
        <v>6006.4000000000005</v>
      </c>
      <c r="V68" s="41">
        <f>U68*T68</f>
        <v>9009.6</v>
      </c>
      <c r="W68" s="41">
        <f>X68+AC68+AH68</f>
        <v>402756</v>
      </c>
      <c r="X68" s="41">
        <v>201378</v>
      </c>
      <c r="Y68" s="41">
        <v>7902</v>
      </c>
      <c r="Z68" s="41">
        <f>Y68*U68</f>
        <v>47462572.800000004</v>
      </c>
      <c r="AA68" s="41">
        <v>193476</v>
      </c>
      <c r="AB68" s="41">
        <f>AA68*U68</f>
        <v>1162094246.4000001</v>
      </c>
      <c r="AC68" s="41">
        <v>201378</v>
      </c>
      <c r="AD68" s="41"/>
      <c r="AE68" s="41"/>
      <c r="AF68" s="41"/>
      <c r="AG68" s="41"/>
      <c r="AH68" s="41"/>
      <c r="AI68" s="41"/>
      <c r="AJ68" s="41"/>
      <c r="AK68" s="41"/>
      <c r="AL68" s="41"/>
      <c r="AM68" s="41">
        <f t="shared" si="19"/>
        <v>47462572.800000004</v>
      </c>
      <c r="AN68" s="41">
        <f>W68/T68</f>
        <v>268504</v>
      </c>
      <c r="AO68" s="41">
        <f>_xlfn.CEILING.MATH(AN68)</f>
        <v>268504</v>
      </c>
      <c r="AP68" s="40"/>
      <c r="AQ68" s="36">
        <v>44958</v>
      </c>
      <c r="AR68" s="36">
        <v>45352</v>
      </c>
      <c r="AS68" s="36"/>
      <c r="AT68" s="36">
        <v>44972</v>
      </c>
      <c r="AU68" s="36">
        <v>45366</v>
      </c>
      <c r="AV68" s="38"/>
      <c r="AW68" s="40" t="s">
        <v>302</v>
      </c>
    </row>
    <row r="69" spans="1:49" s="34" customFormat="1" ht="137.25" customHeight="1" x14ac:dyDescent="0.3">
      <c r="A69" s="39" t="s">
        <v>499</v>
      </c>
      <c r="B69" s="36">
        <v>44678</v>
      </c>
      <c r="C69" s="37">
        <v>1416</v>
      </c>
      <c r="D69" s="39" t="s">
        <v>500</v>
      </c>
      <c r="E69" s="1" t="s">
        <v>501</v>
      </c>
      <c r="F69" s="36">
        <v>44712</v>
      </c>
      <c r="G69" s="37" t="s">
        <v>502</v>
      </c>
      <c r="H69" s="40" t="s">
        <v>186</v>
      </c>
      <c r="I69" s="40" t="s">
        <v>503</v>
      </c>
      <c r="J69" s="41">
        <v>43857299.299999997</v>
      </c>
      <c r="K69" s="41">
        <v>43857244.079999998</v>
      </c>
      <c r="L69" s="30">
        <f t="shared" si="15"/>
        <v>43857244.079999998</v>
      </c>
      <c r="M69" s="30">
        <f>L69</f>
        <v>43857244.079999998</v>
      </c>
      <c r="N69" s="40" t="s">
        <v>504</v>
      </c>
      <c r="O69" s="40" t="s">
        <v>505</v>
      </c>
      <c r="P69" s="40" t="s">
        <v>348</v>
      </c>
      <c r="Q69" s="37">
        <v>0</v>
      </c>
      <c r="R69" s="37">
        <v>100</v>
      </c>
      <c r="S69" s="37" t="s">
        <v>219</v>
      </c>
      <c r="T69" s="48">
        <v>11.7</v>
      </c>
      <c r="U69" s="30">
        <f>M69/W69</f>
        <v>7941.7</v>
      </c>
      <c r="V69" s="41">
        <f>U69*T69</f>
        <v>92917.89</v>
      </c>
      <c r="W69" s="41">
        <f>X69+AC69+AH69</f>
        <v>5522.4</v>
      </c>
      <c r="X69" s="41">
        <v>5522.4</v>
      </c>
      <c r="Y69" s="41"/>
      <c r="Z69" s="41"/>
      <c r="AA69" s="41"/>
      <c r="AB69" s="41"/>
      <c r="AC69" s="41"/>
      <c r="AD69" s="41"/>
      <c r="AE69" s="41"/>
      <c r="AF69" s="41"/>
      <c r="AG69" s="41"/>
      <c r="AH69" s="41"/>
      <c r="AI69" s="41"/>
      <c r="AJ69" s="41"/>
      <c r="AK69" s="41"/>
      <c r="AL69" s="41"/>
      <c r="AM69" s="41">
        <f t="shared" si="19"/>
        <v>0</v>
      </c>
      <c r="AN69" s="41">
        <f>W69/T69</f>
        <v>472</v>
      </c>
      <c r="AO69" s="41">
        <f>_xlfn.CEILING.MATH(AN69)</f>
        <v>472</v>
      </c>
      <c r="AP69" s="40"/>
      <c r="AQ69" s="36">
        <v>44958</v>
      </c>
      <c r="AR69" s="36"/>
      <c r="AS69" s="36"/>
      <c r="AT69" s="36">
        <v>44972</v>
      </c>
      <c r="AU69" s="36"/>
      <c r="AV69" s="38"/>
      <c r="AW69" s="40" t="s">
        <v>87</v>
      </c>
    </row>
    <row r="70" spans="1:49" s="34" customFormat="1" ht="46.8" x14ac:dyDescent="0.3">
      <c r="A70" s="39" t="s">
        <v>506</v>
      </c>
      <c r="B70" s="36">
        <v>44678</v>
      </c>
      <c r="C70" s="37">
        <v>1416</v>
      </c>
      <c r="D70" s="39" t="s">
        <v>459</v>
      </c>
      <c r="E70" s="39" t="s">
        <v>459</v>
      </c>
      <c r="F70" s="39" t="s">
        <v>459</v>
      </c>
      <c r="G70" s="39" t="s">
        <v>459</v>
      </c>
      <c r="H70" s="39" t="s">
        <v>459</v>
      </c>
      <c r="I70" s="40" t="s">
        <v>507</v>
      </c>
      <c r="J70" s="41">
        <v>403573793.92000002</v>
      </c>
      <c r="K70" s="42" t="s">
        <v>459</v>
      </c>
      <c r="L70" s="30" t="str">
        <f t="shared" si="15"/>
        <v>нет заявок</v>
      </c>
      <c r="M70" s="30">
        <v>702951908.88</v>
      </c>
      <c r="N70" s="42" t="s">
        <v>459</v>
      </c>
      <c r="O70" s="63" t="s">
        <v>459</v>
      </c>
      <c r="P70" s="42" t="s">
        <v>459</v>
      </c>
      <c r="Q70" s="42" t="s">
        <v>459</v>
      </c>
      <c r="R70" s="42" t="s">
        <v>459</v>
      </c>
      <c r="S70" s="42" t="s">
        <v>459</v>
      </c>
      <c r="T70" s="42" t="s">
        <v>459</v>
      </c>
      <c r="U70" s="42" t="s">
        <v>459</v>
      </c>
      <c r="V70" s="42" t="s">
        <v>459</v>
      </c>
      <c r="W70" s="42" t="s">
        <v>459</v>
      </c>
      <c r="X70" s="42" t="s">
        <v>459</v>
      </c>
      <c r="Y70" s="42"/>
      <c r="Z70" s="42"/>
      <c r="AA70" s="42"/>
      <c r="AB70" s="42"/>
      <c r="AC70" s="42" t="s">
        <v>459</v>
      </c>
      <c r="AD70" s="42"/>
      <c r="AE70" s="42"/>
      <c r="AF70" s="42"/>
      <c r="AG70" s="42"/>
      <c r="AH70" s="42" t="s">
        <v>459</v>
      </c>
      <c r="AI70" s="42"/>
      <c r="AJ70" s="42"/>
      <c r="AK70" s="42"/>
      <c r="AL70" s="42"/>
      <c r="AM70" s="41">
        <f t="shared" si="19"/>
        <v>0</v>
      </c>
      <c r="AN70" s="42" t="s">
        <v>459</v>
      </c>
      <c r="AO70" s="42" t="s">
        <v>459</v>
      </c>
      <c r="AP70" s="42" t="s">
        <v>459</v>
      </c>
      <c r="AQ70" s="42" t="s">
        <v>459</v>
      </c>
      <c r="AR70" s="42" t="s">
        <v>459</v>
      </c>
      <c r="AS70" s="42" t="s">
        <v>459</v>
      </c>
      <c r="AT70" s="42" t="s">
        <v>459</v>
      </c>
      <c r="AU70" s="42" t="s">
        <v>459</v>
      </c>
      <c r="AV70" s="42" t="s">
        <v>459</v>
      </c>
      <c r="AW70" s="42" t="s">
        <v>459</v>
      </c>
    </row>
    <row r="71" spans="1:49" s="34" customFormat="1" ht="47.25" customHeight="1" x14ac:dyDescent="0.3">
      <c r="A71" s="39" t="s">
        <v>508</v>
      </c>
      <c r="B71" s="36">
        <v>44678</v>
      </c>
      <c r="C71" s="37">
        <v>1416</v>
      </c>
      <c r="D71" s="39" t="s">
        <v>509</v>
      </c>
      <c r="E71" s="1" t="s">
        <v>510</v>
      </c>
      <c r="F71" s="36">
        <v>44711</v>
      </c>
      <c r="G71" s="39" t="s">
        <v>511</v>
      </c>
      <c r="H71" s="40" t="s">
        <v>177</v>
      </c>
      <c r="I71" s="40" t="s">
        <v>512</v>
      </c>
      <c r="J71" s="41">
        <v>11608792.560000001</v>
      </c>
      <c r="K71" s="41">
        <v>5804396.2800000003</v>
      </c>
      <c r="L71" s="30">
        <f t="shared" si="15"/>
        <v>5804396.2800000003</v>
      </c>
      <c r="M71" s="30">
        <v>11608792.560000001</v>
      </c>
      <c r="N71" s="40" t="s">
        <v>513</v>
      </c>
      <c r="O71" s="40" t="s">
        <v>514</v>
      </c>
      <c r="P71" s="40" t="s">
        <v>218</v>
      </c>
      <c r="Q71" s="37">
        <v>0</v>
      </c>
      <c r="R71" s="37">
        <v>100</v>
      </c>
      <c r="S71" s="37" t="s">
        <v>200</v>
      </c>
      <c r="T71" s="48">
        <v>2</v>
      </c>
      <c r="U71" s="30">
        <f>M71/W71</f>
        <v>22497.66</v>
      </c>
      <c r="V71" s="41">
        <f>U71*T71</f>
        <v>44995.32</v>
      </c>
      <c r="W71" s="41">
        <f>X71+AC71+AH71</f>
        <v>516</v>
      </c>
      <c r="X71" s="41">
        <v>258</v>
      </c>
      <c r="Y71" s="41"/>
      <c r="Z71" s="41"/>
      <c r="AA71" s="41"/>
      <c r="AB71" s="41"/>
      <c r="AC71" s="41">
        <v>258</v>
      </c>
      <c r="AD71" s="41"/>
      <c r="AE71" s="41">
        <v>0</v>
      </c>
      <c r="AF71" s="41"/>
      <c r="AG71" s="41">
        <v>0</v>
      </c>
      <c r="AH71" s="41"/>
      <c r="AI71" s="41"/>
      <c r="AJ71" s="41">
        <v>0</v>
      </c>
      <c r="AK71" s="41"/>
      <c r="AL71" s="41">
        <v>0</v>
      </c>
      <c r="AM71" s="41">
        <f t="shared" si="19"/>
        <v>0</v>
      </c>
      <c r="AN71" s="41">
        <f>W71/T71</f>
        <v>258</v>
      </c>
      <c r="AO71" s="41">
        <f>_xlfn.CEILING.MATH(AN71)</f>
        <v>258</v>
      </c>
      <c r="AP71" s="40"/>
      <c r="AQ71" s="36">
        <v>44958</v>
      </c>
      <c r="AR71" s="36">
        <v>45352</v>
      </c>
      <c r="AS71" s="36"/>
      <c r="AT71" s="36">
        <v>44972</v>
      </c>
      <c r="AU71" s="36">
        <v>45366</v>
      </c>
      <c r="AV71" s="38"/>
      <c r="AW71" s="40" t="s">
        <v>302</v>
      </c>
    </row>
    <row r="72" spans="1:49" s="34" customFormat="1" ht="63.75" customHeight="1" x14ac:dyDescent="0.3">
      <c r="A72" s="39" t="s">
        <v>515</v>
      </c>
      <c r="B72" s="36">
        <v>44678</v>
      </c>
      <c r="C72" s="37">
        <v>1416</v>
      </c>
      <c r="D72" s="39" t="s">
        <v>516</v>
      </c>
      <c r="E72" s="1" t="s">
        <v>517</v>
      </c>
      <c r="F72" s="36">
        <v>44711</v>
      </c>
      <c r="G72" s="39" t="s">
        <v>518</v>
      </c>
      <c r="H72" s="40" t="s">
        <v>224</v>
      </c>
      <c r="I72" s="40" t="s">
        <v>519</v>
      </c>
      <c r="J72" s="41">
        <v>200319360</v>
      </c>
      <c r="K72" s="41">
        <v>133077600</v>
      </c>
      <c r="L72" s="30">
        <f t="shared" si="15"/>
        <v>133077600</v>
      </c>
      <c r="M72" s="30">
        <v>200319360</v>
      </c>
      <c r="N72" s="40" t="s">
        <v>369</v>
      </c>
      <c r="O72" s="40" t="s">
        <v>520</v>
      </c>
      <c r="P72" s="40" t="s">
        <v>218</v>
      </c>
      <c r="Q72" s="37">
        <v>0</v>
      </c>
      <c r="R72" s="37">
        <v>100</v>
      </c>
      <c r="S72" s="37" t="s">
        <v>229</v>
      </c>
      <c r="T72" s="48">
        <v>2000</v>
      </c>
      <c r="U72" s="30">
        <f>M72/W72</f>
        <v>12.12</v>
      </c>
      <c r="V72" s="41">
        <f>U72*T72</f>
        <v>24240</v>
      </c>
      <c r="W72" s="41">
        <f>X72+AC72+AH72</f>
        <v>16528000</v>
      </c>
      <c r="X72" s="41">
        <v>5432000</v>
      </c>
      <c r="Y72" s="41"/>
      <c r="Z72" s="41"/>
      <c r="AA72" s="41"/>
      <c r="AB72" s="41"/>
      <c r="AC72" s="41">
        <v>5548000</v>
      </c>
      <c r="AD72" s="41"/>
      <c r="AE72" s="41"/>
      <c r="AF72" s="41"/>
      <c r="AG72" s="41"/>
      <c r="AH72" s="41">
        <v>5548000</v>
      </c>
      <c r="AI72" s="41"/>
      <c r="AJ72" s="41"/>
      <c r="AK72" s="41"/>
      <c r="AL72" s="41"/>
      <c r="AM72" s="41">
        <f t="shared" si="19"/>
        <v>0</v>
      </c>
      <c r="AN72" s="41">
        <f>W72/T72</f>
        <v>8264</v>
      </c>
      <c r="AO72" s="41">
        <f>_xlfn.CEILING.MATH(AN72)</f>
        <v>8264</v>
      </c>
      <c r="AP72" s="40"/>
      <c r="AQ72" s="36">
        <v>44967</v>
      </c>
      <c r="AR72" s="36">
        <v>44986</v>
      </c>
      <c r="AS72" s="36">
        <v>45352</v>
      </c>
      <c r="AT72" s="36">
        <v>44982</v>
      </c>
      <c r="AU72" s="36">
        <v>45000</v>
      </c>
      <c r="AV72" s="38">
        <v>45366</v>
      </c>
      <c r="AW72" s="40" t="s">
        <v>302</v>
      </c>
    </row>
    <row r="73" spans="1:49" s="34" customFormat="1" ht="63.75" customHeight="1" x14ac:dyDescent="0.3">
      <c r="A73" s="39" t="s">
        <v>521</v>
      </c>
      <c r="B73" s="36">
        <v>44678</v>
      </c>
      <c r="C73" s="37">
        <v>1416</v>
      </c>
      <c r="D73" s="39" t="s">
        <v>459</v>
      </c>
      <c r="E73" s="39" t="s">
        <v>459</v>
      </c>
      <c r="F73" s="39" t="s">
        <v>459</v>
      </c>
      <c r="G73" s="39" t="s">
        <v>459</v>
      </c>
      <c r="H73" s="39" t="s">
        <v>459</v>
      </c>
      <c r="I73" s="40" t="s">
        <v>522</v>
      </c>
      <c r="J73" s="41">
        <v>1927740303.28</v>
      </c>
      <c r="K73" s="42" t="s">
        <v>459</v>
      </c>
      <c r="L73" s="30" t="str">
        <f t="shared" si="15"/>
        <v>нет заявок</v>
      </c>
      <c r="M73" s="30" t="str">
        <f>L73</f>
        <v>нет заявок</v>
      </c>
      <c r="N73" s="42" t="s">
        <v>459</v>
      </c>
      <c r="O73" s="63" t="s">
        <v>459</v>
      </c>
      <c r="P73" s="42" t="s">
        <v>459</v>
      </c>
      <c r="Q73" s="42" t="s">
        <v>459</v>
      </c>
      <c r="R73" s="42" t="s">
        <v>459</v>
      </c>
      <c r="S73" s="42" t="s">
        <v>459</v>
      </c>
      <c r="T73" s="42" t="s">
        <v>459</v>
      </c>
      <c r="U73" s="42" t="s">
        <v>459</v>
      </c>
      <c r="V73" s="42" t="s">
        <v>459</v>
      </c>
      <c r="W73" s="42" t="s">
        <v>459</v>
      </c>
      <c r="X73" s="42" t="s">
        <v>459</v>
      </c>
      <c r="Y73" s="42"/>
      <c r="Z73" s="42"/>
      <c r="AA73" s="42"/>
      <c r="AB73" s="42"/>
      <c r="AC73" s="42" t="s">
        <v>459</v>
      </c>
      <c r="AD73" s="42"/>
      <c r="AE73" s="42"/>
      <c r="AF73" s="42"/>
      <c r="AG73" s="42"/>
      <c r="AH73" s="42" t="s">
        <v>459</v>
      </c>
      <c r="AI73" s="42"/>
      <c r="AJ73" s="42"/>
      <c r="AK73" s="42"/>
      <c r="AL73" s="42"/>
      <c r="AM73" s="41">
        <f t="shared" si="19"/>
        <v>0</v>
      </c>
      <c r="AN73" s="42" t="s">
        <v>459</v>
      </c>
      <c r="AO73" s="42" t="s">
        <v>459</v>
      </c>
      <c r="AP73" s="42" t="s">
        <v>459</v>
      </c>
      <c r="AQ73" s="42" t="s">
        <v>459</v>
      </c>
      <c r="AR73" s="42" t="s">
        <v>459</v>
      </c>
      <c r="AS73" s="42" t="s">
        <v>459</v>
      </c>
      <c r="AT73" s="42" t="s">
        <v>459</v>
      </c>
      <c r="AU73" s="42" t="s">
        <v>459</v>
      </c>
      <c r="AV73" s="42" t="s">
        <v>459</v>
      </c>
      <c r="AW73" s="42" t="s">
        <v>459</v>
      </c>
    </row>
    <row r="74" spans="1:49" s="34" customFormat="1" ht="63.75" customHeight="1" x14ac:dyDescent="0.3">
      <c r="A74" s="39" t="s">
        <v>523</v>
      </c>
      <c r="B74" s="36">
        <v>44678</v>
      </c>
      <c r="C74" s="37">
        <v>1416</v>
      </c>
      <c r="D74" s="39" t="s">
        <v>524</v>
      </c>
      <c r="E74" s="1" t="s">
        <v>525</v>
      </c>
      <c r="F74" s="36">
        <v>44711</v>
      </c>
      <c r="G74" s="39" t="s">
        <v>526</v>
      </c>
      <c r="H74" s="40" t="s">
        <v>177</v>
      </c>
      <c r="I74" s="40" t="s">
        <v>527</v>
      </c>
      <c r="J74" s="41">
        <v>9624025.5999999996</v>
      </c>
      <c r="K74" s="41">
        <v>4812012.8</v>
      </c>
      <c r="L74" s="30">
        <f t="shared" si="15"/>
        <v>4812012.8</v>
      </c>
      <c r="M74" s="30">
        <v>9624025.5999999996</v>
      </c>
      <c r="N74" s="40" t="s">
        <v>528</v>
      </c>
      <c r="O74" s="40" t="s">
        <v>529</v>
      </c>
      <c r="P74" s="40" t="s">
        <v>199</v>
      </c>
      <c r="Q74" s="44">
        <v>0</v>
      </c>
      <c r="R74" s="37">
        <v>100</v>
      </c>
      <c r="S74" s="37" t="s">
        <v>219</v>
      </c>
      <c r="T74" s="48">
        <v>4</v>
      </c>
      <c r="U74" s="30">
        <f>M74/W74</f>
        <v>8592.8799999999992</v>
      </c>
      <c r="V74" s="41">
        <f t="shared" ref="V74:V86" si="20">U74*T74</f>
        <v>34371.519999999997</v>
      </c>
      <c r="W74" s="41">
        <f t="shared" ref="W74:W98" si="21">X74+AC74+AH74</f>
        <v>1120</v>
      </c>
      <c r="X74" s="41">
        <v>560</v>
      </c>
      <c r="Y74" s="41"/>
      <c r="Z74" s="41"/>
      <c r="AA74" s="41"/>
      <c r="AB74" s="41"/>
      <c r="AC74" s="41">
        <v>560</v>
      </c>
      <c r="AD74" s="41"/>
      <c r="AE74" s="41">
        <v>0</v>
      </c>
      <c r="AF74" s="41"/>
      <c r="AG74" s="41">
        <v>0</v>
      </c>
      <c r="AH74" s="41"/>
      <c r="AI74" s="41"/>
      <c r="AJ74" s="41">
        <v>0</v>
      </c>
      <c r="AK74" s="41"/>
      <c r="AL74" s="41">
        <v>0</v>
      </c>
      <c r="AM74" s="41">
        <f t="shared" si="19"/>
        <v>0</v>
      </c>
      <c r="AN74" s="41">
        <f t="shared" ref="AN74:AN79" si="22">W74/T74</f>
        <v>280</v>
      </c>
      <c r="AO74" s="41">
        <f t="shared" ref="AO74:AO98" si="23">_xlfn.CEILING.MATH(AN74)</f>
        <v>280</v>
      </c>
      <c r="AP74" s="40"/>
      <c r="AQ74" s="36">
        <v>44986</v>
      </c>
      <c r="AR74" s="36">
        <v>45352</v>
      </c>
      <c r="AS74" s="36"/>
      <c r="AT74" s="36">
        <v>45000</v>
      </c>
      <c r="AU74" s="36">
        <v>45366</v>
      </c>
      <c r="AV74" s="38"/>
      <c r="AW74" s="40" t="s">
        <v>302</v>
      </c>
    </row>
    <row r="75" spans="1:49" s="34" customFormat="1" ht="47.25" customHeight="1" x14ac:dyDescent="0.3">
      <c r="A75" s="39" t="s">
        <v>530</v>
      </c>
      <c r="B75" s="36">
        <v>44679</v>
      </c>
      <c r="C75" s="37">
        <v>1416</v>
      </c>
      <c r="D75" s="39" t="s">
        <v>531</v>
      </c>
      <c r="E75" s="1" t="s">
        <v>532</v>
      </c>
      <c r="F75" s="36">
        <v>44711</v>
      </c>
      <c r="G75" s="39" t="s">
        <v>533</v>
      </c>
      <c r="H75" s="40" t="s">
        <v>177</v>
      </c>
      <c r="I75" s="40" t="s">
        <v>534</v>
      </c>
      <c r="J75" s="41">
        <v>44846945.640000001</v>
      </c>
      <c r="K75" s="41">
        <v>22423472.82</v>
      </c>
      <c r="L75" s="30">
        <f t="shared" si="15"/>
        <v>22423472.82</v>
      </c>
      <c r="M75" s="30">
        <v>44846945.640000001</v>
      </c>
      <c r="N75" s="40" t="s">
        <v>535</v>
      </c>
      <c r="O75" s="40" t="s">
        <v>536</v>
      </c>
      <c r="P75" s="40" t="s">
        <v>47</v>
      </c>
      <c r="Q75" s="44">
        <v>100</v>
      </c>
      <c r="R75" s="37">
        <v>0</v>
      </c>
      <c r="S75" s="37" t="s">
        <v>200</v>
      </c>
      <c r="T75" s="48">
        <v>21</v>
      </c>
      <c r="U75" s="30">
        <f>M75/W75</f>
        <v>7071.42</v>
      </c>
      <c r="V75" s="41">
        <f t="shared" si="20"/>
        <v>148499.82</v>
      </c>
      <c r="W75" s="41">
        <f t="shared" si="21"/>
        <v>6342</v>
      </c>
      <c r="X75" s="41">
        <v>3171</v>
      </c>
      <c r="Y75" s="41"/>
      <c r="Z75" s="41"/>
      <c r="AA75" s="41"/>
      <c r="AB75" s="41"/>
      <c r="AC75" s="41">
        <v>3171</v>
      </c>
      <c r="AD75" s="41"/>
      <c r="AE75" s="41"/>
      <c r="AF75" s="41"/>
      <c r="AG75" s="41"/>
      <c r="AH75" s="41"/>
      <c r="AI75" s="41"/>
      <c r="AJ75" s="41"/>
      <c r="AK75" s="41"/>
      <c r="AL75" s="41"/>
      <c r="AM75" s="41">
        <f t="shared" si="19"/>
        <v>0</v>
      </c>
      <c r="AN75" s="41">
        <f t="shared" si="22"/>
        <v>302</v>
      </c>
      <c r="AO75" s="41">
        <f t="shared" si="23"/>
        <v>302</v>
      </c>
      <c r="AP75" s="40"/>
      <c r="AQ75" s="36">
        <v>44986</v>
      </c>
      <c r="AR75" s="36">
        <v>45352</v>
      </c>
      <c r="AS75" s="36"/>
      <c r="AT75" s="36">
        <v>45000</v>
      </c>
      <c r="AU75" s="36">
        <v>45366</v>
      </c>
      <c r="AV75" s="38"/>
      <c r="AW75" s="40" t="s">
        <v>302</v>
      </c>
    </row>
    <row r="76" spans="1:49" s="34" customFormat="1" ht="107.25" customHeight="1" x14ac:dyDescent="0.3">
      <c r="A76" s="39" t="s">
        <v>537</v>
      </c>
      <c r="B76" s="36">
        <v>44679</v>
      </c>
      <c r="C76" s="37">
        <v>1416</v>
      </c>
      <c r="D76" s="39" t="s">
        <v>538</v>
      </c>
      <c r="E76" s="1" t="s">
        <v>539</v>
      </c>
      <c r="F76" s="36">
        <v>44711</v>
      </c>
      <c r="G76" s="39" t="s">
        <v>540</v>
      </c>
      <c r="H76" s="40" t="s">
        <v>186</v>
      </c>
      <c r="I76" s="40" t="s">
        <v>541</v>
      </c>
      <c r="J76" s="41">
        <v>20703825</v>
      </c>
      <c r="K76" s="41">
        <v>20703825</v>
      </c>
      <c r="L76" s="30">
        <f t="shared" si="15"/>
        <v>20703825</v>
      </c>
      <c r="M76" s="30">
        <f>L76</f>
        <v>20703825</v>
      </c>
      <c r="N76" s="40" t="s">
        <v>419</v>
      </c>
      <c r="O76" s="40" t="s">
        <v>542</v>
      </c>
      <c r="P76" s="40" t="s">
        <v>543</v>
      </c>
      <c r="Q76" s="37">
        <v>0</v>
      </c>
      <c r="R76" s="37">
        <v>100</v>
      </c>
      <c r="S76" s="37" t="s">
        <v>229</v>
      </c>
      <c r="T76" s="48">
        <v>250</v>
      </c>
      <c r="U76" s="30">
        <f>M76/W76</f>
        <v>13.05</v>
      </c>
      <c r="V76" s="41">
        <f t="shared" si="20"/>
        <v>3262.5</v>
      </c>
      <c r="W76" s="41">
        <f t="shared" si="21"/>
        <v>1586500</v>
      </c>
      <c r="X76" s="41">
        <v>1586500</v>
      </c>
      <c r="Y76" s="41">
        <v>773250</v>
      </c>
      <c r="Z76" s="41">
        <v>10090912.5</v>
      </c>
      <c r="AA76" s="41">
        <v>813250</v>
      </c>
      <c r="AB76" s="41">
        <v>10612912.5</v>
      </c>
      <c r="AC76" s="41">
        <v>0</v>
      </c>
      <c r="AD76" s="41">
        <v>0</v>
      </c>
      <c r="AE76" s="41">
        <v>0</v>
      </c>
      <c r="AF76" s="41">
        <v>0</v>
      </c>
      <c r="AG76" s="41">
        <v>0</v>
      </c>
      <c r="AH76" s="41">
        <v>0</v>
      </c>
      <c r="AI76" s="41">
        <v>0</v>
      </c>
      <c r="AJ76" s="41">
        <v>0</v>
      </c>
      <c r="AK76" s="41">
        <v>0</v>
      </c>
      <c r="AL76" s="41">
        <v>0</v>
      </c>
      <c r="AM76" s="41">
        <f t="shared" si="19"/>
        <v>10090912.5</v>
      </c>
      <c r="AN76" s="41">
        <f t="shared" si="22"/>
        <v>6346</v>
      </c>
      <c r="AO76" s="41">
        <f t="shared" si="23"/>
        <v>6346</v>
      </c>
      <c r="AP76" s="40"/>
      <c r="AQ76" s="36">
        <v>44958</v>
      </c>
      <c r="AR76" s="36"/>
      <c r="AS76" s="36"/>
      <c r="AT76" s="36">
        <v>44972</v>
      </c>
      <c r="AU76" s="36"/>
      <c r="AV76" s="38"/>
      <c r="AW76" s="40" t="s">
        <v>87</v>
      </c>
    </row>
    <row r="77" spans="1:49" s="34" customFormat="1" ht="31.5" customHeight="1" x14ac:dyDescent="0.3">
      <c r="A77" s="39" t="s">
        <v>544</v>
      </c>
      <c r="B77" s="36">
        <v>44679</v>
      </c>
      <c r="C77" s="37">
        <v>1416</v>
      </c>
      <c r="D77" s="39" t="s">
        <v>545</v>
      </c>
      <c r="E77" s="1" t="s">
        <v>546</v>
      </c>
      <c r="F77" s="36">
        <v>44711</v>
      </c>
      <c r="G77" s="39" t="s">
        <v>547</v>
      </c>
      <c r="H77" s="40" t="s">
        <v>224</v>
      </c>
      <c r="I77" s="40" t="s">
        <v>548</v>
      </c>
      <c r="J77" s="41">
        <v>16510998.42</v>
      </c>
      <c r="K77" s="41">
        <v>16510998.42</v>
      </c>
      <c r="L77" s="30">
        <f t="shared" si="15"/>
        <v>16510998.42</v>
      </c>
      <c r="M77" s="30">
        <f>L77</f>
        <v>16510998.42</v>
      </c>
      <c r="N77" s="40" t="s">
        <v>549</v>
      </c>
      <c r="O77" s="40" t="s">
        <v>550</v>
      </c>
      <c r="P77" s="40" t="s">
        <v>218</v>
      </c>
      <c r="Q77" s="37">
        <v>0</v>
      </c>
      <c r="R77" s="37">
        <v>100</v>
      </c>
      <c r="S77" s="37" t="s">
        <v>200</v>
      </c>
      <c r="T77" s="54">
        <v>3</v>
      </c>
      <c r="U77" s="30">
        <f>M77/W77</f>
        <v>69666.66</v>
      </c>
      <c r="V77" s="41">
        <f t="shared" si="20"/>
        <v>208999.98</v>
      </c>
      <c r="W77" s="41">
        <f t="shared" si="21"/>
        <v>237</v>
      </c>
      <c r="X77" s="41">
        <v>237</v>
      </c>
      <c r="Y77" s="41"/>
      <c r="Z77" s="41"/>
      <c r="AA77" s="41"/>
      <c r="AB77" s="41"/>
      <c r="AC77" s="41"/>
      <c r="AD77" s="41"/>
      <c r="AE77" s="41"/>
      <c r="AF77" s="41"/>
      <c r="AG77" s="41"/>
      <c r="AH77" s="41"/>
      <c r="AI77" s="41"/>
      <c r="AJ77" s="41"/>
      <c r="AK77" s="41"/>
      <c r="AL77" s="41"/>
      <c r="AM77" s="41">
        <f t="shared" si="19"/>
        <v>0</v>
      </c>
      <c r="AN77" s="41">
        <f t="shared" si="22"/>
        <v>79</v>
      </c>
      <c r="AO77" s="41">
        <f t="shared" si="23"/>
        <v>79</v>
      </c>
      <c r="AP77" s="40"/>
      <c r="AQ77" s="36">
        <v>44958</v>
      </c>
      <c r="AR77" s="36"/>
      <c r="AS77" s="36"/>
      <c r="AT77" s="36">
        <v>44972</v>
      </c>
      <c r="AU77" s="36"/>
      <c r="AV77" s="38"/>
      <c r="AW77" s="40" t="s">
        <v>87</v>
      </c>
    </row>
    <row r="78" spans="1:49" s="34" customFormat="1" ht="78" x14ac:dyDescent="0.3">
      <c r="A78" s="39" t="s">
        <v>551</v>
      </c>
      <c r="B78" s="36">
        <v>44680</v>
      </c>
      <c r="C78" s="37">
        <v>1416</v>
      </c>
      <c r="D78" s="39" t="s">
        <v>552</v>
      </c>
      <c r="E78" s="1" t="s">
        <v>553</v>
      </c>
      <c r="F78" s="36">
        <v>44713</v>
      </c>
      <c r="G78" s="39" t="s">
        <v>554</v>
      </c>
      <c r="H78" s="40" t="s">
        <v>555</v>
      </c>
      <c r="I78" s="40" t="s">
        <v>556</v>
      </c>
      <c r="J78" s="41">
        <v>761678714.15999997</v>
      </c>
      <c r="K78" s="41">
        <v>377028331.68000001</v>
      </c>
      <c r="L78" s="30">
        <f t="shared" si="15"/>
        <v>377028331.68000001</v>
      </c>
      <c r="M78" s="30">
        <v>754056663.36000001</v>
      </c>
      <c r="N78" s="40" t="s">
        <v>557</v>
      </c>
      <c r="O78" s="40" t="s">
        <v>558</v>
      </c>
      <c r="P78" s="40" t="s">
        <v>47</v>
      </c>
      <c r="Q78" s="37">
        <v>100</v>
      </c>
      <c r="R78" s="37">
        <v>0</v>
      </c>
      <c r="S78" s="37" t="s">
        <v>200</v>
      </c>
      <c r="T78" s="54">
        <v>21</v>
      </c>
      <c r="U78" s="30">
        <f>M78/W78</f>
        <v>4412.32</v>
      </c>
      <c r="V78" s="41">
        <f t="shared" si="20"/>
        <v>92658.72</v>
      </c>
      <c r="W78" s="41">
        <f t="shared" si="21"/>
        <v>170898</v>
      </c>
      <c r="X78" s="41">
        <v>85449</v>
      </c>
      <c r="Y78" s="41"/>
      <c r="Z78" s="41"/>
      <c r="AA78" s="41"/>
      <c r="AB78" s="41"/>
      <c r="AC78" s="41">
        <v>85449</v>
      </c>
      <c r="AD78" s="41"/>
      <c r="AE78" s="41"/>
      <c r="AF78" s="41"/>
      <c r="AG78" s="41"/>
      <c r="AH78" s="41"/>
      <c r="AI78" s="41"/>
      <c r="AJ78" s="41"/>
      <c r="AK78" s="41"/>
      <c r="AL78" s="41"/>
      <c r="AM78" s="41">
        <f t="shared" si="19"/>
        <v>0</v>
      </c>
      <c r="AN78" s="41">
        <f t="shared" si="22"/>
        <v>8138</v>
      </c>
      <c r="AO78" s="41">
        <f t="shared" si="23"/>
        <v>8138</v>
      </c>
      <c r="AP78" s="40"/>
      <c r="AQ78" s="36">
        <v>44958</v>
      </c>
      <c r="AR78" s="36">
        <v>45352</v>
      </c>
      <c r="AS78" s="36"/>
      <c r="AT78" s="36">
        <v>44972</v>
      </c>
      <c r="AU78" s="36">
        <v>45366</v>
      </c>
      <c r="AV78" s="38"/>
      <c r="AW78" s="40" t="s">
        <v>302</v>
      </c>
    </row>
    <row r="79" spans="1:49" s="34" customFormat="1" ht="31.5" customHeight="1" x14ac:dyDescent="0.3">
      <c r="A79" s="39" t="s">
        <v>559</v>
      </c>
      <c r="B79" s="36">
        <v>44680</v>
      </c>
      <c r="C79" s="37">
        <v>1416</v>
      </c>
      <c r="D79" s="39" t="s">
        <v>560</v>
      </c>
      <c r="E79" s="1" t="s">
        <v>561</v>
      </c>
      <c r="F79" s="36">
        <v>44712</v>
      </c>
      <c r="G79" s="39" t="s">
        <v>562</v>
      </c>
      <c r="H79" s="40" t="s">
        <v>563</v>
      </c>
      <c r="I79" s="40" t="s">
        <v>564</v>
      </c>
      <c r="J79" s="41">
        <v>61486783.68</v>
      </c>
      <c r="K79" s="41">
        <v>29974785.120000001</v>
      </c>
      <c r="L79" s="30">
        <f t="shared" si="15"/>
        <v>29974785.120000001</v>
      </c>
      <c r="M79" s="30">
        <v>59949570.240000002</v>
      </c>
      <c r="N79" s="40" t="s">
        <v>565</v>
      </c>
      <c r="O79" s="40" t="s">
        <v>566</v>
      </c>
      <c r="P79" s="40" t="s">
        <v>47</v>
      </c>
      <c r="Q79" s="37">
        <v>100</v>
      </c>
      <c r="R79" s="37">
        <v>0</v>
      </c>
      <c r="S79" s="37" t="s">
        <v>200</v>
      </c>
      <c r="T79" s="54">
        <v>21</v>
      </c>
      <c r="U79" s="30">
        <f>M79/W79</f>
        <v>3076.23</v>
      </c>
      <c r="V79" s="41">
        <f t="shared" si="20"/>
        <v>64600.83</v>
      </c>
      <c r="W79" s="41">
        <f t="shared" si="21"/>
        <v>19488</v>
      </c>
      <c r="X79" s="41">
        <v>9744</v>
      </c>
      <c r="Y79" s="41"/>
      <c r="Z79" s="41"/>
      <c r="AA79" s="41"/>
      <c r="AB79" s="41"/>
      <c r="AC79" s="41">
        <v>9744</v>
      </c>
      <c r="AD79" s="41"/>
      <c r="AE79" s="41"/>
      <c r="AF79" s="41"/>
      <c r="AG79" s="41"/>
      <c r="AH79" s="41"/>
      <c r="AI79" s="41"/>
      <c r="AJ79" s="41"/>
      <c r="AK79" s="41"/>
      <c r="AL79" s="41"/>
      <c r="AM79" s="41">
        <f t="shared" si="19"/>
        <v>0</v>
      </c>
      <c r="AN79" s="41">
        <f t="shared" si="22"/>
        <v>928</v>
      </c>
      <c r="AO79" s="41">
        <f t="shared" si="23"/>
        <v>928</v>
      </c>
      <c r="AP79" s="40"/>
      <c r="AQ79" s="36">
        <v>44958</v>
      </c>
      <c r="AR79" s="36">
        <v>45292</v>
      </c>
      <c r="AS79" s="36"/>
      <c r="AT79" s="36">
        <v>44972</v>
      </c>
      <c r="AU79" s="36">
        <v>45366</v>
      </c>
      <c r="AV79" s="38"/>
      <c r="AW79" s="40" t="s">
        <v>302</v>
      </c>
    </row>
    <row r="80" spans="1:49" s="34" customFormat="1" ht="100.5" customHeight="1" x14ac:dyDescent="0.3">
      <c r="A80" s="39" t="s">
        <v>567</v>
      </c>
      <c r="B80" s="36">
        <v>44680</v>
      </c>
      <c r="C80" s="37">
        <v>1416</v>
      </c>
      <c r="D80" s="39" t="s">
        <v>568</v>
      </c>
      <c r="E80" s="1" t="s">
        <v>569</v>
      </c>
      <c r="F80" s="36">
        <v>44714</v>
      </c>
      <c r="G80" s="39" t="s">
        <v>570</v>
      </c>
      <c r="H80" s="40" t="s">
        <v>571</v>
      </c>
      <c r="I80" s="40" t="s">
        <v>572</v>
      </c>
      <c r="J80" s="41">
        <v>3291225799.6799998</v>
      </c>
      <c r="K80" s="41">
        <v>1637382418.5599999</v>
      </c>
      <c r="L80" s="30">
        <f t="shared" si="15"/>
        <v>1637382418.5599999</v>
      </c>
      <c r="M80" s="41">
        <v>3274764837.1199999</v>
      </c>
      <c r="N80" s="40" t="s">
        <v>573</v>
      </c>
      <c r="O80" s="40" t="s">
        <v>574</v>
      </c>
      <c r="P80" s="40" t="s">
        <v>47</v>
      </c>
      <c r="Q80" s="37">
        <v>100</v>
      </c>
      <c r="R80" s="37">
        <v>0</v>
      </c>
      <c r="S80" s="37" t="s">
        <v>200</v>
      </c>
      <c r="T80" s="54">
        <v>21</v>
      </c>
      <c r="U80" s="30">
        <f>M80/W80</f>
        <v>4878.04</v>
      </c>
      <c r="V80" s="41">
        <f t="shared" si="20"/>
        <v>102438.84</v>
      </c>
      <c r="W80" s="41">
        <f t="shared" si="21"/>
        <v>671328</v>
      </c>
      <c r="X80" s="41">
        <v>335664</v>
      </c>
      <c r="Y80" s="41">
        <v>84</v>
      </c>
      <c r="Z80" s="41">
        <v>409755.36</v>
      </c>
      <c r="AA80" s="41">
        <v>335580</v>
      </c>
      <c r="AB80" s="41">
        <v>1636972663.2</v>
      </c>
      <c r="AC80" s="41">
        <v>335664</v>
      </c>
      <c r="AD80" s="41"/>
      <c r="AE80" s="41"/>
      <c r="AF80" s="41">
        <v>1637382418.5599999</v>
      </c>
      <c r="AG80" s="41"/>
      <c r="AH80" s="41">
        <v>0</v>
      </c>
      <c r="AI80" s="41"/>
      <c r="AJ80" s="41"/>
      <c r="AK80" s="41">
        <v>0</v>
      </c>
      <c r="AL80" s="41"/>
      <c r="AM80" s="41">
        <f t="shared" si="19"/>
        <v>409755.36</v>
      </c>
      <c r="AN80" s="41">
        <v>0</v>
      </c>
      <c r="AO80" s="41">
        <f t="shared" si="23"/>
        <v>0</v>
      </c>
      <c r="AP80" s="40"/>
      <c r="AQ80" s="36">
        <v>44958</v>
      </c>
      <c r="AR80" s="36">
        <v>45352</v>
      </c>
      <c r="AS80" s="36"/>
      <c r="AT80" s="36">
        <v>44972</v>
      </c>
      <c r="AU80" s="36">
        <v>45366</v>
      </c>
      <c r="AV80" s="38"/>
      <c r="AW80" s="40" t="s">
        <v>302</v>
      </c>
    </row>
    <row r="81" spans="1:49" s="34" customFormat="1" ht="109.2" x14ac:dyDescent="0.3">
      <c r="A81" s="39" t="s">
        <v>575</v>
      </c>
      <c r="B81" s="36">
        <v>44680</v>
      </c>
      <c r="C81" s="37">
        <v>1416</v>
      </c>
      <c r="D81" s="39" t="s">
        <v>576</v>
      </c>
      <c r="E81" s="1" t="s">
        <v>577</v>
      </c>
      <c r="F81" s="36">
        <v>44712</v>
      </c>
      <c r="G81" s="39" t="s">
        <v>578</v>
      </c>
      <c r="H81" s="40" t="s">
        <v>579</v>
      </c>
      <c r="I81" s="40" t="s">
        <v>580</v>
      </c>
      <c r="J81" s="41">
        <v>26326573.98</v>
      </c>
      <c r="K81" s="41">
        <v>26326573.98</v>
      </c>
      <c r="L81" s="30">
        <f t="shared" si="15"/>
        <v>26326573.98</v>
      </c>
      <c r="M81" s="30">
        <f>L81</f>
        <v>26326573.98</v>
      </c>
      <c r="N81" s="40" t="s">
        <v>581</v>
      </c>
      <c r="O81" s="40" t="s">
        <v>582</v>
      </c>
      <c r="P81" s="40" t="s">
        <v>583</v>
      </c>
      <c r="Q81" s="44">
        <v>0</v>
      </c>
      <c r="R81" s="37">
        <v>100</v>
      </c>
      <c r="S81" s="37" t="s">
        <v>584</v>
      </c>
      <c r="T81" s="48">
        <v>1.2</v>
      </c>
      <c r="U81" s="30">
        <f>M81/W81</f>
        <v>12792.31</v>
      </c>
      <c r="V81" s="41">
        <f t="shared" si="20"/>
        <v>15350.771999999999</v>
      </c>
      <c r="W81" s="41">
        <f t="shared" si="21"/>
        <v>2058</v>
      </c>
      <c r="X81" s="41">
        <v>2058</v>
      </c>
      <c r="Y81" s="41">
        <v>957.6</v>
      </c>
      <c r="Z81" s="41">
        <f>Y81*U81</f>
        <v>12249916.056</v>
      </c>
      <c r="AA81" s="41">
        <v>1100.4000000000001</v>
      </c>
      <c r="AB81" s="41">
        <f>AA81*U81</f>
        <v>14076657.924000001</v>
      </c>
      <c r="AC81" s="41"/>
      <c r="AD81" s="41"/>
      <c r="AE81" s="41"/>
      <c r="AF81" s="41"/>
      <c r="AG81" s="41"/>
      <c r="AH81" s="41"/>
      <c r="AI81" s="41"/>
      <c r="AJ81" s="41"/>
      <c r="AK81" s="41"/>
      <c r="AL81" s="41"/>
      <c r="AM81" s="41">
        <f t="shared" si="19"/>
        <v>12249916.056</v>
      </c>
      <c r="AN81" s="41">
        <f t="shared" ref="AN81:AN98" si="24">W81/T81</f>
        <v>1715</v>
      </c>
      <c r="AO81" s="41">
        <f t="shared" si="23"/>
        <v>1715</v>
      </c>
      <c r="AP81" s="40"/>
      <c r="AQ81" s="36">
        <v>44986</v>
      </c>
      <c r="AR81" s="36"/>
      <c r="AS81" s="36"/>
      <c r="AT81" s="36">
        <v>45000</v>
      </c>
      <c r="AU81" s="36"/>
      <c r="AV81" s="38"/>
      <c r="AW81" s="40" t="s">
        <v>87</v>
      </c>
    </row>
    <row r="82" spans="1:49" s="34" customFormat="1" ht="119.25" customHeight="1" x14ac:dyDescent="0.3">
      <c r="A82" s="39" t="s">
        <v>585</v>
      </c>
      <c r="B82" s="36">
        <v>44680</v>
      </c>
      <c r="C82" s="37">
        <v>1416</v>
      </c>
      <c r="D82" s="39" t="s">
        <v>586</v>
      </c>
      <c r="E82" s="1" t="s">
        <v>587</v>
      </c>
      <c r="F82" s="36">
        <v>44713</v>
      </c>
      <c r="G82" s="39" t="s">
        <v>588</v>
      </c>
      <c r="H82" s="40" t="s">
        <v>186</v>
      </c>
      <c r="I82" s="40" t="s">
        <v>589</v>
      </c>
      <c r="J82" s="41">
        <v>462652033.68000001</v>
      </c>
      <c r="K82" s="41">
        <v>462652033.68000001</v>
      </c>
      <c r="L82" s="30">
        <f t="shared" si="15"/>
        <v>462652033.68000001</v>
      </c>
      <c r="M82" s="30">
        <f>L82</f>
        <v>462652033.68000001</v>
      </c>
      <c r="N82" s="40" t="s">
        <v>590</v>
      </c>
      <c r="O82" s="40" t="s">
        <v>591</v>
      </c>
      <c r="P82" s="40" t="s">
        <v>47</v>
      </c>
      <c r="Q82" s="44">
        <v>100</v>
      </c>
      <c r="R82" s="37">
        <v>0</v>
      </c>
      <c r="S82" s="37" t="s">
        <v>584</v>
      </c>
      <c r="T82" s="67">
        <v>4.8</v>
      </c>
      <c r="U82" s="30">
        <f>M82/W82</f>
        <v>13399.949999999999</v>
      </c>
      <c r="V82" s="41">
        <f t="shared" si="20"/>
        <v>64319.759999999995</v>
      </c>
      <c r="W82" s="41">
        <f t="shared" si="21"/>
        <v>34526.400000000001</v>
      </c>
      <c r="X82" s="41">
        <v>34526.400000000001</v>
      </c>
      <c r="Y82" s="41">
        <v>20376</v>
      </c>
      <c r="Z82" s="41">
        <f>Y82*U82</f>
        <v>273037381.19999999</v>
      </c>
      <c r="AA82" s="41">
        <v>14150.4</v>
      </c>
      <c r="AB82" s="41">
        <f>AA82*U82</f>
        <v>189614652.47999999</v>
      </c>
      <c r="AC82" s="41"/>
      <c r="AD82" s="41"/>
      <c r="AE82" s="41"/>
      <c r="AF82" s="41"/>
      <c r="AG82" s="41"/>
      <c r="AH82" s="41"/>
      <c r="AI82" s="41"/>
      <c r="AJ82" s="41"/>
      <c r="AK82" s="41"/>
      <c r="AL82" s="41"/>
      <c r="AM82" s="41">
        <f t="shared" si="19"/>
        <v>273037381.19999999</v>
      </c>
      <c r="AN82" s="41">
        <f t="shared" si="24"/>
        <v>7193.0000000000009</v>
      </c>
      <c r="AO82" s="41">
        <f t="shared" si="23"/>
        <v>7193</v>
      </c>
      <c r="AP82" s="40"/>
      <c r="AQ82" s="36">
        <v>44986</v>
      </c>
      <c r="AR82" s="36"/>
      <c r="AS82" s="36"/>
      <c r="AT82" s="36">
        <v>45000</v>
      </c>
      <c r="AU82" s="36"/>
      <c r="AV82" s="38"/>
      <c r="AW82" s="40" t="s">
        <v>87</v>
      </c>
    </row>
    <row r="83" spans="1:49" s="34" customFormat="1" ht="45" customHeight="1" x14ac:dyDescent="0.3">
      <c r="A83" s="39" t="s">
        <v>592</v>
      </c>
      <c r="B83" s="36">
        <v>44680</v>
      </c>
      <c r="C83" s="37">
        <v>1416</v>
      </c>
      <c r="D83" s="39" t="s">
        <v>593</v>
      </c>
      <c r="E83" s="1" t="s">
        <v>594</v>
      </c>
      <c r="F83" s="36">
        <v>44712</v>
      </c>
      <c r="G83" s="39" t="s">
        <v>595</v>
      </c>
      <c r="H83" s="40" t="s">
        <v>563</v>
      </c>
      <c r="I83" s="40" t="s">
        <v>596</v>
      </c>
      <c r="J83" s="41">
        <v>268892744.39999998</v>
      </c>
      <c r="K83" s="41">
        <v>132429619.34999999</v>
      </c>
      <c r="L83" s="30">
        <f t="shared" si="15"/>
        <v>132429619.34999999</v>
      </c>
      <c r="M83" s="30">
        <v>264859238.69999999</v>
      </c>
      <c r="N83" s="40" t="s">
        <v>565</v>
      </c>
      <c r="O83" s="40" t="s">
        <v>597</v>
      </c>
      <c r="P83" s="40" t="s">
        <v>47</v>
      </c>
      <c r="Q83" s="44">
        <v>0</v>
      </c>
      <c r="R83" s="37">
        <v>100</v>
      </c>
      <c r="S83" s="37" t="s">
        <v>200</v>
      </c>
      <c r="T83" s="48">
        <v>21</v>
      </c>
      <c r="U83" s="30">
        <f>M83/W83</f>
        <v>4162.49</v>
      </c>
      <c r="V83" s="41">
        <f t="shared" si="20"/>
        <v>87412.29</v>
      </c>
      <c r="W83" s="41">
        <f t="shared" si="21"/>
        <v>63630</v>
      </c>
      <c r="X83" s="41">
        <v>31815</v>
      </c>
      <c r="Y83" s="41">
        <v>84</v>
      </c>
      <c r="Z83" s="41">
        <v>349649.16</v>
      </c>
      <c r="AA83" s="41">
        <v>31731</v>
      </c>
      <c r="AB83" s="41">
        <v>132079970.19</v>
      </c>
      <c r="AC83" s="41">
        <v>31815</v>
      </c>
      <c r="AD83" s="41"/>
      <c r="AE83" s="41">
        <v>0</v>
      </c>
      <c r="AF83" s="41"/>
      <c r="AG83" s="41">
        <v>0</v>
      </c>
      <c r="AH83" s="41"/>
      <c r="AI83" s="41"/>
      <c r="AJ83" s="41">
        <v>0</v>
      </c>
      <c r="AK83" s="41"/>
      <c r="AL83" s="41">
        <v>0</v>
      </c>
      <c r="AM83" s="41">
        <f t="shared" si="19"/>
        <v>349649.16</v>
      </c>
      <c r="AN83" s="41">
        <f t="shared" si="24"/>
        <v>3030</v>
      </c>
      <c r="AO83" s="41">
        <f t="shared" si="23"/>
        <v>3030</v>
      </c>
      <c r="AP83" s="40"/>
      <c r="AQ83" s="36">
        <v>44958</v>
      </c>
      <c r="AR83" s="36">
        <v>45352</v>
      </c>
      <c r="AS83" s="36"/>
      <c r="AT83" s="36">
        <v>44972</v>
      </c>
      <c r="AU83" s="36">
        <v>45366</v>
      </c>
      <c r="AV83" s="38"/>
      <c r="AW83" s="40" t="s">
        <v>302</v>
      </c>
    </row>
    <row r="84" spans="1:49" s="34" customFormat="1" ht="31.5" customHeight="1" x14ac:dyDescent="0.3">
      <c r="A84" s="39" t="s">
        <v>598</v>
      </c>
      <c r="B84" s="36">
        <v>44680</v>
      </c>
      <c r="C84" s="37">
        <v>1416</v>
      </c>
      <c r="D84" s="39" t="s">
        <v>599</v>
      </c>
      <c r="E84" s="1" t="s">
        <v>600</v>
      </c>
      <c r="F84" s="36">
        <v>44713</v>
      </c>
      <c r="G84" s="39" t="s">
        <v>601</v>
      </c>
      <c r="H84" s="40" t="s">
        <v>602</v>
      </c>
      <c r="I84" s="40" t="s">
        <v>603</v>
      </c>
      <c r="J84" s="41">
        <v>299521199.04000002</v>
      </c>
      <c r="K84" s="41">
        <v>299521199.04000002</v>
      </c>
      <c r="L84" s="30">
        <f t="shared" si="15"/>
        <v>299521199.04000002</v>
      </c>
      <c r="M84" s="30">
        <f t="shared" si="15"/>
        <v>299521199.04000002</v>
      </c>
      <c r="N84" s="40" t="s">
        <v>604</v>
      </c>
      <c r="O84" s="40" t="s">
        <v>605</v>
      </c>
      <c r="P84" s="40" t="s">
        <v>583</v>
      </c>
      <c r="Q84" s="44">
        <v>0</v>
      </c>
      <c r="R84" s="37">
        <v>100</v>
      </c>
      <c r="S84" s="37" t="s">
        <v>584</v>
      </c>
      <c r="T84" s="67">
        <v>2.4</v>
      </c>
      <c r="U84" s="30">
        <f>M84/W84</f>
        <v>13605.2</v>
      </c>
      <c r="V84" s="41">
        <f t="shared" si="20"/>
        <v>32652.48</v>
      </c>
      <c r="W84" s="41">
        <f t="shared" si="21"/>
        <v>22015.200000000001</v>
      </c>
      <c r="X84" s="41">
        <v>22015.200000000001</v>
      </c>
      <c r="Y84" s="41">
        <v>10860</v>
      </c>
      <c r="Z84" s="41">
        <f>Y84*U84</f>
        <v>147752472</v>
      </c>
      <c r="AA84" s="41">
        <v>11155.2</v>
      </c>
      <c r="AB84" s="41">
        <f>AA84*U84</f>
        <v>151768727.04000002</v>
      </c>
      <c r="AC84" s="41"/>
      <c r="AD84" s="41"/>
      <c r="AE84" s="41"/>
      <c r="AF84" s="41"/>
      <c r="AG84" s="41"/>
      <c r="AH84" s="41"/>
      <c r="AI84" s="41"/>
      <c r="AJ84" s="41"/>
      <c r="AK84" s="41"/>
      <c r="AL84" s="41"/>
      <c r="AM84" s="41">
        <f t="shared" si="19"/>
        <v>147752472</v>
      </c>
      <c r="AN84" s="41">
        <f t="shared" si="24"/>
        <v>9173</v>
      </c>
      <c r="AO84" s="41">
        <f t="shared" si="23"/>
        <v>9173</v>
      </c>
      <c r="AP84" s="40"/>
      <c r="AQ84" s="36">
        <v>44986</v>
      </c>
      <c r="AR84" s="36"/>
      <c r="AS84" s="36"/>
      <c r="AT84" s="36">
        <v>45000</v>
      </c>
      <c r="AU84" s="36"/>
      <c r="AV84" s="38"/>
      <c r="AW84" s="40" t="s">
        <v>87</v>
      </c>
    </row>
    <row r="85" spans="1:49" s="34" customFormat="1" ht="63" customHeight="1" x14ac:dyDescent="0.3">
      <c r="A85" s="39" t="s">
        <v>606</v>
      </c>
      <c r="B85" s="36">
        <v>44685</v>
      </c>
      <c r="C85" s="37">
        <v>1416</v>
      </c>
      <c r="D85" s="39" t="s">
        <v>607</v>
      </c>
      <c r="E85" s="1" t="s">
        <v>608</v>
      </c>
      <c r="F85" s="36">
        <v>44712</v>
      </c>
      <c r="G85" s="37" t="s">
        <v>609</v>
      </c>
      <c r="H85" s="40" t="s">
        <v>344</v>
      </c>
      <c r="I85" s="40" t="s">
        <v>610</v>
      </c>
      <c r="J85" s="41">
        <v>277350527.51999998</v>
      </c>
      <c r="K85" s="41">
        <v>277350527.51999998</v>
      </c>
      <c r="L85" s="30">
        <v>293649546.95999998</v>
      </c>
      <c r="M85" s="30">
        <f t="shared" ref="M85:M90" si="25">L85</f>
        <v>293649546.95999998</v>
      </c>
      <c r="N85" s="40" t="s">
        <v>611</v>
      </c>
      <c r="O85" s="40" t="s">
        <v>612</v>
      </c>
      <c r="P85" s="40" t="s">
        <v>218</v>
      </c>
      <c r="Q85" s="37">
        <v>0</v>
      </c>
      <c r="R85" s="37">
        <v>100</v>
      </c>
      <c r="S85" s="37" t="s">
        <v>219</v>
      </c>
      <c r="T85" s="48">
        <v>1.2</v>
      </c>
      <c r="U85" s="30">
        <f>M85/W85</f>
        <v>222664.19999999998</v>
      </c>
      <c r="V85" s="41">
        <f t="shared" si="20"/>
        <v>267197.03999999998</v>
      </c>
      <c r="W85" s="41">
        <f t="shared" si="21"/>
        <v>1318.8</v>
      </c>
      <c r="X85" s="41">
        <v>872.4</v>
      </c>
      <c r="Y85" s="41"/>
      <c r="Z85" s="41">
        <v>0</v>
      </c>
      <c r="AA85" s="41"/>
      <c r="AB85" s="41">
        <v>0</v>
      </c>
      <c r="AC85" s="41">
        <f>AD85+AF85</f>
        <v>446.40000000000003</v>
      </c>
      <c r="AD85" s="41">
        <v>4.8</v>
      </c>
      <c r="AE85" s="41">
        <f>AD85*U85</f>
        <v>1068788.1599999999</v>
      </c>
      <c r="AF85" s="41">
        <v>441.6</v>
      </c>
      <c r="AG85" s="41">
        <f>AF85*U85</f>
        <v>98328510.719999999</v>
      </c>
      <c r="AH85" s="41"/>
      <c r="AI85" s="41"/>
      <c r="AJ85" s="41">
        <v>0</v>
      </c>
      <c r="AK85" s="41"/>
      <c r="AL85" s="41">
        <v>0</v>
      </c>
      <c r="AM85" s="41">
        <f t="shared" si="19"/>
        <v>1068788.1599999999</v>
      </c>
      <c r="AN85" s="41">
        <f t="shared" si="24"/>
        <v>1099</v>
      </c>
      <c r="AO85" s="41">
        <f t="shared" si="23"/>
        <v>1099</v>
      </c>
      <c r="AP85" s="40"/>
      <c r="AQ85" s="36">
        <v>44958</v>
      </c>
      <c r="AR85" s="36">
        <v>45139</v>
      </c>
      <c r="AS85" s="36"/>
      <c r="AT85" s="36">
        <v>44972</v>
      </c>
      <c r="AU85" s="36">
        <v>45153</v>
      </c>
      <c r="AV85" s="38"/>
      <c r="AW85" s="40" t="s">
        <v>75</v>
      </c>
    </row>
    <row r="86" spans="1:49" s="34" customFormat="1" ht="39.75" customHeight="1" x14ac:dyDescent="0.3">
      <c r="A86" s="39" t="s">
        <v>613</v>
      </c>
      <c r="B86" s="36">
        <v>44685</v>
      </c>
      <c r="C86" s="37">
        <v>1416</v>
      </c>
      <c r="D86" s="39" t="s">
        <v>614</v>
      </c>
      <c r="E86" s="1" t="s">
        <v>615</v>
      </c>
      <c r="F86" s="36">
        <v>44708</v>
      </c>
      <c r="G86" s="37" t="s">
        <v>616</v>
      </c>
      <c r="H86" s="40" t="s">
        <v>177</v>
      </c>
      <c r="I86" s="40" t="s">
        <v>617</v>
      </c>
      <c r="J86" s="41">
        <v>2049334.1</v>
      </c>
      <c r="K86" s="41">
        <v>2049334.1</v>
      </c>
      <c r="L86" s="30">
        <f t="shared" ref="L86:M98" si="26">K86</f>
        <v>2049334.1</v>
      </c>
      <c r="M86" s="30">
        <f t="shared" si="25"/>
        <v>2049334.1</v>
      </c>
      <c r="N86" s="40" t="s">
        <v>618</v>
      </c>
      <c r="O86" s="40" t="s">
        <v>619</v>
      </c>
      <c r="P86" s="40" t="s">
        <v>47</v>
      </c>
      <c r="Q86" s="44">
        <v>100</v>
      </c>
      <c r="R86" s="37">
        <v>0</v>
      </c>
      <c r="S86" s="48" t="s">
        <v>200</v>
      </c>
      <c r="T86" s="48">
        <v>2</v>
      </c>
      <c r="U86" s="30">
        <f>M86/W86</f>
        <v>18630.310000000001</v>
      </c>
      <c r="V86" s="41">
        <f t="shared" si="20"/>
        <v>37260.620000000003</v>
      </c>
      <c r="W86" s="41">
        <f t="shared" si="21"/>
        <v>110</v>
      </c>
      <c r="X86" s="41">
        <v>110</v>
      </c>
      <c r="Y86" s="41"/>
      <c r="Z86" s="41"/>
      <c r="AA86" s="41"/>
      <c r="AB86" s="41"/>
      <c r="AC86" s="41"/>
      <c r="AD86" s="41"/>
      <c r="AE86" s="41"/>
      <c r="AF86" s="41"/>
      <c r="AG86" s="41"/>
      <c r="AH86" s="41"/>
      <c r="AI86" s="41"/>
      <c r="AJ86" s="41"/>
      <c r="AK86" s="41"/>
      <c r="AL86" s="41"/>
      <c r="AM86" s="41">
        <f t="shared" si="19"/>
        <v>0</v>
      </c>
      <c r="AN86" s="41">
        <f t="shared" si="24"/>
        <v>55</v>
      </c>
      <c r="AO86" s="41">
        <f t="shared" si="23"/>
        <v>55</v>
      </c>
      <c r="AP86" s="40"/>
      <c r="AQ86" s="36">
        <v>44958</v>
      </c>
      <c r="AR86" s="36"/>
      <c r="AS86" s="36"/>
      <c r="AT86" s="36">
        <v>44972</v>
      </c>
      <c r="AU86" s="36"/>
      <c r="AV86" s="38"/>
      <c r="AW86" s="40" t="s">
        <v>87</v>
      </c>
    </row>
    <row r="87" spans="1:49" s="34" customFormat="1" ht="93.6" x14ac:dyDescent="0.3">
      <c r="A87" s="39" t="s">
        <v>620</v>
      </c>
      <c r="B87" s="36">
        <v>44685</v>
      </c>
      <c r="C87" s="37">
        <v>1416</v>
      </c>
      <c r="D87" s="39" t="s">
        <v>621</v>
      </c>
      <c r="E87" s="1" t="s">
        <v>622</v>
      </c>
      <c r="F87" s="36">
        <v>44705</v>
      </c>
      <c r="G87" s="39" t="s">
        <v>623</v>
      </c>
      <c r="H87" s="40" t="s">
        <v>177</v>
      </c>
      <c r="I87" s="40" t="s">
        <v>624</v>
      </c>
      <c r="J87" s="41">
        <v>6682491.9000000004</v>
      </c>
      <c r="K87" s="41">
        <v>6682491.9000000004</v>
      </c>
      <c r="L87" s="30">
        <f t="shared" si="26"/>
        <v>6682491.9000000004</v>
      </c>
      <c r="M87" s="30">
        <f t="shared" si="25"/>
        <v>6682491.9000000004</v>
      </c>
      <c r="N87" s="40" t="s">
        <v>625</v>
      </c>
      <c r="O87" s="40" t="s">
        <v>626</v>
      </c>
      <c r="P87" s="40" t="s">
        <v>47</v>
      </c>
      <c r="Q87" s="37">
        <v>100</v>
      </c>
      <c r="R87" s="37">
        <v>0</v>
      </c>
      <c r="S87" s="37" t="s">
        <v>627</v>
      </c>
      <c r="T87" s="48">
        <v>21</v>
      </c>
      <c r="U87" s="30" t="s">
        <v>628</v>
      </c>
      <c r="V87" s="57" t="s">
        <v>629</v>
      </c>
      <c r="W87" s="41">
        <f t="shared" si="21"/>
        <v>630</v>
      </c>
      <c r="X87" s="41">
        <v>630</v>
      </c>
      <c r="Y87" s="41"/>
      <c r="Z87" s="41"/>
      <c r="AA87" s="41"/>
      <c r="AB87" s="41"/>
      <c r="AC87" s="41"/>
      <c r="AD87" s="41"/>
      <c r="AE87" s="41"/>
      <c r="AF87" s="41"/>
      <c r="AG87" s="41"/>
      <c r="AH87" s="41"/>
      <c r="AI87" s="41"/>
      <c r="AJ87" s="41"/>
      <c r="AK87" s="41"/>
      <c r="AL87" s="41"/>
      <c r="AM87" s="41">
        <f t="shared" si="19"/>
        <v>0</v>
      </c>
      <c r="AN87" s="41">
        <f t="shared" si="24"/>
        <v>30</v>
      </c>
      <c r="AO87" s="41">
        <f t="shared" si="23"/>
        <v>30</v>
      </c>
      <c r="AP87" s="40"/>
      <c r="AQ87" s="36">
        <v>44986</v>
      </c>
      <c r="AR87" s="36"/>
      <c r="AS87" s="36"/>
      <c r="AT87" s="36">
        <v>45000</v>
      </c>
      <c r="AU87" s="36"/>
      <c r="AV87" s="38"/>
      <c r="AW87" s="40" t="s">
        <v>87</v>
      </c>
    </row>
    <row r="88" spans="1:49" s="34" customFormat="1" ht="93" customHeight="1" x14ac:dyDescent="0.3">
      <c r="A88" s="39" t="s">
        <v>630</v>
      </c>
      <c r="B88" s="36">
        <v>44685</v>
      </c>
      <c r="C88" s="37">
        <v>1416</v>
      </c>
      <c r="D88" s="39" t="s">
        <v>631</v>
      </c>
      <c r="E88" s="1" t="s">
        <v>632</v>
      </c>
      <c r="F88" s="36">
        <v>44708</v>
      </c>
      <c r="G88" s="39" t="s">
        <v>633</v>
      </c>
      <c r="H88" s="40" t="s">
        <v>177</v>
      </c>
      <c r="I88" s="40" t="s">
        <v>634</v>
      </c>
      <c r="J88" s="41">
        <v>3830058</v>
      </c>
      <c r="K88" s="41">
        <v>3830058</v>
      </c>
      <c r="L88" s="30">
        <f t="shared" si="26"/>
        <v>3830058</v>
      </c>
      <c r="M88" s="30">
        <f t="shared" si="25"/>
        <v>3830058</v>
      </c>
      <c r="N88" s="40" t="s">
        <v>528</v>
      </c>
      <c r="O88" s="40" t="s">
        <v>635</v>
      </c>
      <c r="P88" s="40" t="s">
        <v>636</v>
      </c>
      <c r="Q88" s="37">
        <v>0</v>
      </c>
      <c r="R88" s="37">
        <v>100</v>
      </c>
      <c r="S88" s="37" t="s">
        <v>584</v>
      </c>
      <c r="T88" s="48">
        <v>100</v>
      </c>
      <c r="U88" s="30">
        <f>M88/W88</f>
        <v>223.98</v>
      </c>
      <c r="V88" s="41">
        <f t="shared" ref="V88:V98" si="27">U88*T88</f>
        <v>22398</v>
      </c>
      <c r="W88" s="41">
        <f t="shared" si="21"/>
        <v>17100</v>
      </c>
      <c r="X88" s="41">
        <v>17100</v>
      </c>
      <c r="Y88" s="41">
        <v>10800</v>
      </c>
      <c r="Z88" s="41">
        <v>2418984</v>
      </c>
      <c r="AA88" s="41">
        <v>6300</v>
      </c>
      <c r="AB88" s="41">
        <v>1411074</v>
      </c>
      <c r="AC88" s="41"/>
      <c r="AD88" s="41"/>
      <c r="AE88" s="41">
        <v>0</v>
      </c>
      <c r="AF88" s="41"/>
      <c r="AG88" s="41">
        <v>0</v>
      </c>
      <c r="AH88" s="41"/>
      <c r="AI88" s="41"/>
      <c r="AJ88" s="41">
        <v>0</v>
      </c>
      <c r="AK88" s="41"/>
      <c r="AL88" s="41">
        <v>0</v>
      </c>
      <c r="AM88" s="41">
        <f t="shared" si="19"/>
        <v>2418984</v>
      </c>
      <c r="AN88" s="41">
        <f t="shared" si="24"/>
        <v>171</v>
      </c>
      <c r="AO88" s="41">
        <f t="shared" si="23"/>
        <v>171</v>
      </c>
      <c r="AP88" s="40"/>
      <c r="AQ88" s="36">
        <v>44958</v>
      </c>
      <c r="AR88" s="36"/>
      <c r="AS88" s="36"/>
      <c r="AT88" s="36">
        <v>44972</v>
      </c>
      <c r="AU88" s="36"/>
      <c r="AV88" s="38"/>
      <c r="AW88" s="40" t="s">
        <v>87</v>
      </c>
    </row>
    <row r="89" spans="1:49" s="34" customFormat="1" ht="63" customHeight="1" x14ac:dyDescent="0.3">
      <c r="A89" s="39" t="s">
        <v>637</v>
      </c>
      <c r="B89" s="36">
        <v>44685</v>
      </c>
      <c r="C89" s="37">
        <v>1416</v>
      </c>
      <c r="D89" s="39" t="s">
        <v>638</v>
      </c>
      <c r="E89" s="1" t="s">
        <v>639</v>
      </c>
      <c r="F89" s="36">
        <v>44708</v>
      </c>
      <c r="G89" s="39" t="s">
        <v>640</v>
      </c>
      <c r="H89" s="40" t="s">
        <v>224</v>
      </c>
      <c r="I89" s="40" t="s">
        <v>641</v>
      </c>
      <c r="J89" s="41">
        <v>290508444</v>
      </c>
      <c r="K89" s="41">
        <v>290508444</v>
      </c>
      <c r="L89" s="30">
        <f t="shared" si="26"/>
        <v>290508444</v>
      </c>
      <c r="M89" s="30">
        <f t="shared" si="25"/>
        <v>290508444</v>
      </c>
      <c r="N89" s="40" t="s">
        <v>642</v>
      </c>
      <c r="O89" s="40" t="s">
        <v>643</v>
      </c>
      <c r="P89" s="40" t="s">
        <v>644</v>
      </c>
      <c r="Q89" s="44">
        <v>0</v>
      </c>
      <c r="R89" s="37">
        <v>100</v>
      </c>
      <c r="S89" s="37" t="s">
        <v>457</v>
      </c>
      <c r="T89" s="48">
        <v>400</v>
      </c>
      <c r="U89" s="30">
        <f>M89/W89</f>
        <v>175.81</v>
      </c>
      <c r="V89" s="41">
        <f t="shared" si="27"/>
        <v>70324</v>
      </c>
      <c r="W89" s="41">
        <f t="shared" si="21"/>
        <v>1652400</v>
      </c>
      <c r="X89" s="41">
        <v>1652400</v>
      </c>
      <c r="Y89" s="41"/>
      <c r="Z89" s="41"/>
      <c r="AA89" s="41"/>
      <c r="AB89" s="41"/>
      <c r="AC89" s="41"/>
      <c r="AD89" s="41"/>
      <c r="AE89" s="41"/>
      <c r="AF89" s="41"/>
      <c r="AG89" s="41"/>
      <c r="AH89" s="41"/>
      <c r="AI89" s="41"/>
      <c r="AJ89" s="41"/>
      <c r="AK89" s="41"/>
      <c r="AL89" s="41"/>
      <c r="AM89" s="41">
        <f t="shared" si="19"/>
        <v>0</v>
      </c>
      <c r="AN89" s="41">
        <f t="shared" si="24"/>
        <v>4131</v>
      </c>
      <c r="AO89" s="41">
        <f t="shared" si="23"/>
        <v>4131</v>
      </c>
      <c r="AP89" s="40"/>
      <c r="AQ89" s="36">
        <v>44986</v>
      </c>
      <c r="AR89" s="36"/>
      <c r="AS89" s="36"/>
      <c r="AT89" s="36">
        <v>45000</v>
      </c>
      <c r="AU89" s="36"/>
      <c r="AV89" s="38"/>
      <c r="AW89" s="40" t="s">
        <v>87</v>
      </c>
    </row>
    <row r="90" spans="1:49" s="34" customFormat="1" ht="63" customHeight="1" x14ac:dyDescent="0.3">
      <c r="A90" s="39" t="s">
        <v>645</v>
      </c>
      <c r="B90" s="36">
        <v>44685</v>
      </c>
      <c r="C90" s="37">
        <v>1416</v>
      </c>
      <c r="D90" s="39" t="s">
        <v>646</v>
      </c>
      <c r="E90" s="1" t="s">
        <v>647</v>
      </c>
      <c r="F90" s="36">
        <v>44713</v>
      </c>
      <c r="G90" s="39" t="s">
        <v>648</v>
      </c>
      <c r="H90" s="40" t="s">
        <v>224</v>
      </c>
      <c r="I90" s="40" t="s">
        <v>649</v>
      </c>
      <c r="J90" s="41">
        <v>759168864</v>
      </c>
      <c r="K90" s="41">
        <v>759168864</v>
      </c>
      <c r="L90" s="30">
        <f t="shared" si="26"/>
        <v>759168864</v>
      </c>
      <c r="M90" s="30">
        <f t="shared" si="25"/>
        <v>759168864</v>
      </c>
      <c r="N90" s="40" t="s">
        <v>650</v>
      </c>
      <c r="O90" s="40" t="s">
        <v>651</v>
      </c>
      <c r="P90" s="40" t="s">
        <v>218</v>
      </c>
      <c r="Q90" s="44">
        <v>0</v>
      </c>
      <c r="R90" s="37">
        <v>100</v>
      </c>
      <c r="S90" s="37" t="s">
        <v>219</v>
      </c>
      <c r="T90" s="48">
        <v>5</v>
      </c>
      <c r="U90" s="30">
        <f>M90/W90</f>
        <v>18607.080000000002</v>
      </c>
      <c r="V90" s="41">
        <f t="shared" si="27"/>
        <v>93035.400000000009</v>
      </c>
      <c r="W90" s="41">
        <f t="shared" si="21"/>
        <v>40800</v>
      </c>
      <c r="X90" s="41">
        <v>40800</v>
      </c>
      <c r="Y90" s="41">
        <v>14135</v>
      </c>
      <c r="Z90" s="41">
        <v>263011075.80000001</v>
      </c>
      <c r="AA90" s="41">
        <v>26665</v>
      </c>
      <c r="AB90" s="41">
        <v>496157788.20000005</v>
      </c>
      <c r="AC90" s="41"/>
      <c r="AD90" s="41"/>
      <c r="AE90" s="41">
        <v>0</v>
      </c>
      <c r="AF90" s="41"/>
      <c r="AG90" s="41">
        <v>0</v>
      </c>
      <c r="AH90" s="41"/>
      <c r="AI90" s="41"/>
      <c r="AJ90" s="41">
        <v>0</v>
      </c>
      <c r="AK90" s="41"/>
      <c r="AL90" s="41">
        <v>0</v>
      </c>
      <c r="AM90" s="41">
        <f t="shared" si="19"/>
        <v>263011075.80000001</v>
      </c>
      <c r="AN90" s="41">
        <f t="shared" si="24"/>
        <v>8160</v>
      </c>
      <c r="AO90" s="41">
        <f t="shared" si="23"/>
        <v>8160</v>
      </c>
      <c r="AP90" s="40"/>
      <c r="AQ90" s="36">
        <v>44986</v>
      </c>
      <c r="AR90" s="36"/>
      <c r="AS90" s="36"/>
      <c r="AT90" s="36">
        <v>45000</v>
      </c>
      <c r="AU90" s="36"/>
      <c r="AV90" s="38"/>
      <c r="AW90" s="40" t="s">
        <v>87</v>
      </c>
    </row>
    <row r="91" spans="1:49" s="34" customFormat="1" ht="72" x14ac:dyDescent="0.3">
      <c r="A91" s="39" t="s">
        <v>652</v>
      </c>
      <c r="B91" s="36">
        <v>44685</v>
      </c>
      <c r="C91" s="37">
        <v>1416</v>
      </c>
      <c r="D91" s="39" t="s">
        <v>653</v>
      </c>
      <c r="E91" s="1" t="s">
        <v>654</v>
      </c>
      <c r="F91" s="36">
        <v>44626</v>
      </c>
      <c r="G91" s="39" t="s">
        <v>655</v>
      </c>
      <c r="H91" s="40" t="s">
        <v>387</v>
      </c>
      <c r="I91" s="40" t="s">
        <v>656</v>
      </c>
      <c r="J91" s="41">
        <v>1400150205</v>
      </c>
      <c r="K91" s="41">
        <v>5880660.75</v>
      </c>
      <c r="L91" s="30">
        <f t="shared" si="26"/>
        <v>5880660.75</v>
      </c>
      <c r="M91" s="41">
        <v>11761321.5</v>
      </c>
      <c r="N91" s="40" t="s">
        <v>657</v>
      </c>
      <c r="O91" s="40" t="s">
        <v>658</v>
      </c>
      <c r="P91" s="40" t="s">
        <v>47</v>
      </c>
      <c r="Q91" s="44">
        <v>100</v>
      </c>
      <c r="R91" s="37">
        <v>0</v>
      </c>
      <c r="S91" s="37" t="s">
        <v>200</v>
      </c>
      <c r="T91" s="48">
        <v>28</v>
      </c>
      <c r="U91" s="30">
        <f>M91/W91</f>
        <v>7.87</v>
      </c>
      <c r="V91" s="41">
        <f t="shared" si="27"/>
        <v>220.36</v>
      </c>
      <c r="W91" s="41">
        <f t="shared" si="21"/>
        <v>1494450</v>
      </c>
      <c r="X91" s="41">
        <v>747225</v>
      </c>
      <c r="Y91" s="41">
        <v>5110</v>
      </c>
      <c r="Z91" s="41">
        <f>Y91*U91</f>
        <v>40215.699999999997</v>
      </c>
      <c r="AA91" s="41">
        <v>742115</v>
      </c>
      <c r="AB91" s="41">
        <f>AA91*U91</f>
        <v>5840445.0499999998</v>
      </c>
      <c r="AC91" s="41">
        <v>747225</v>
      </c>
      <c r="AD91" s="41"/>
      <c r="AE91" s="41"/>
      <c r="AF91" s="41"/>
      <c r="AG91" s="41"/>
      <c r="AH91" s="41"/>
      <c r="AI91" s="41"/>
      <c r="AJ91" s="41"/>
      <c r="AK91" s="41"/>
      <c r="AL91" s="41"/>
      <c r="AM91" s="41">
        <f t="shared" si="19"/>
        <v>40215.699999999997</v>
      </c>
      <c r="AN91" s="41">
        <f t="shared" si="24"/>
        <v>53373.214285714283</v>
      </c>
      <c r="AO91" s="41">
        <f t="shared" si="23"/>
        <v>53374</v>
      </c>
      <c r="AP91" s="40"/>
      <c r="AQ91" s="36">
        <v>44986</v>
      </c>
      <c r="AR91" s="36">
        <v>45352</v>
      </c>
      <c r="AS91" s="36"/>
      <c r="AT91" s="36">
        <v>45000</v>
      </c>
      <c r="AU91" s="36">
        <v>45366</v>
      </c>
      <c r="AV91" s="38"/>
      <c r="AW91" s="40" t="s">
        <v>302</v>
      </c>
    </row>
    <row r="92" spans="1:49" s="34" customFormat="1" ht="124.8" x14ac:dyDescent="0.3">
      <c r="A92" s="39" t="s">
        <v>659</v>
      </c>
      <c r="B92" s="36">
        <v>44687</v>
      </c>
      <c r="C92" s="37">
        <v>1416</v>
      </c>
      <c r="D92" s="39" t="s">
        <v>660</v>
      </c>
      <c r="E92" s="1" t="s">
        <v>661</v>
      </c>
      <c r="F92" s="36">
        <v>44711</v>
      </c>
      <c r="G92" s="39" t="s">
        <v>662</v>
      </c>
      <c r="H92" s="40" t="s">
        <v>571</v>
      </c>
      <c r="I92" s="40" t="s">
        <v>663</v>
      </c>
      <c r="J92" s="41">
        <v>88754544.200000003</v>
      </c>
      <c r="K92" s="41">
        <v>86973354.299999997</v>
      </c>
      <c r="L92" s="30">
        <f t="shared" si="26"/>
        <v>86973354.299999997</v>
      </c>
      <c r="M92" s="30">
        <f t="shared" si="26"/>
        <v>86973354.299999997</v>
      </c>
      <c r="N92" s="40" t="s">
        <v>664</v>
      </c>
      <c r="O92" s="40" t="s">
        <v>665</v>
      </c>
      <c r="P92" s="40" t="s">
        <v>47</v>
      </c>
      <c r="Q92" s="44">
        <v>100</v>
      </c>
      <c r="R92" s="37">
        <v>0</v>
      </c>
      <c r="S92" s="37" t="s">
        <v>200</v>
      </c>
      <c r="T92" s="48">
        <v>30</v>
      </c>
      <c r="U92" s="30">
        <f>M92/W92</f>
        <v>125.49</v>
      </c>
      <c r="V92" s="41">
        <f t="shared" si="27"/>
        <v>3764.7</v>
      </c>
      <c r="W92" s="41">
        <f t="shared" si="21"/>
        <v>693070</v>
      </c>
      <c r="X92" s="41">
        <v>693070</v>
      </c>
      <c r="Y92" s="41">
        <v>9000</v>
      </c>
      <c r="Z92" s="41">
        <v>1129410</v>
      </c>
      <c r="AA92" s="41">
        <v>684070</v>
      </c>
      <c r="AB92" s="41">
        <v>85843944.299999997</v>
      </c>
      <c r="AC92" s="41"/>
      <c r="AD92" s="41"/>
      <c r="AE92" s="41">
        <v>0</v>
      </c>
      <c r="AF92" s="41"/>
      <c r="AG92" s="41">
        <v>0</v>
      </c>
      <c r="AH92" s="41"/>
      <c r="AI92" s="41"/>
      <c r="AJ92" s="41">
        <v>0</v>
      </c>
      <c r="AK92" s="41"/>
      <c r="AL92" s="41">
        <v>0</v>
      </c>
      <c r="AM92" s="41">
        <f t="shared" si="19"/>
        <v>1129410</v>
      </c>
      <c r="AN92" s="41">
        <f t="shared" si="24"/>
        <v>23102.333333333332</v>
      </c>
      <c r="AO92" s="41">
        <f t="shared" si="23"/>
        <v>23103</v>
      </c>
      <c r="AP92" s="40"/>
      <c r="AQ92" s="36">
        <v>44958</v>
      </c>
      <c r="AR92" s="36"/>
      <c r="AS92" s="36"/>
      <c r="AT92" s="36">
        <v>44972</v>
      </c>
      <c r="AU92" s="36"/>
      <c r="AV92" s="38"/>
      <c r="AW92" s="38" t="s">
        <v>87</v>
      </c>
    </row>
    <row r="93" spans="1:49" s="34" customFormat="1" ht="111.6" customHeight="1" x14ac:dyDescent="0.3">
      <c r="A93" s="39" t="s">
        <v>666</v>
      </c>
      <c r="B93" s="36">
        <v>44687</v>
      </c>
      <c r="C93" s="37">
        <v>1416</v>
      </c>
      <c r="D93" s="39" t="s">
        <v>667</v>
      </c>
      <c r="E93" s="1" t="s">
        <v>668</v>
      </c>
      <c r="F93" s="36">
        <v>44711</v>
      </c>
      <c r="G93" s="39" t="s">
        <v>669</v>
      </c>
      <c r="H93" s="40" t="s">
        <v>186</v>
      </c>
      <c r="I93" s="40" t="s">
        <v>670</v>
      </c>
      <c r="J93" s="41">
        <v>184820400</v>
      </c>
      <c r="K93" s="41">
        <v>184820400</v>
      </c>
      <c r="L93" s="30">
        <f t="shared" si="26"/>
        <v>184820400</v>
      </c>
      <c r="M93" s="30">
        <f t="shared" si="26"/>
        <v>184820400</v>
      </c>
      <c r="N93" s="40" t="s">
        <v>671</v>
      </c>
      <c r="O93" s="40" t="s">
        <v>672</v>
      </c>
      <c r="P93" s="40" t="s">
        <v>47</v>
      </c>
      <c r="Q93" s="44">
        <v>100</v>
      </c>
      <c r="R93" s="37">
        <v>0</v>
      </c>
      <c r="S93" s="37" t="s">
        <v>229</v>
      </c>
      <c r="T93" s="48">
        <v>1000</v>
      </c>
      <c r="U93" s="30">
        <f>M93/W93</f>
        <v>7.85</v>
      </c>
      <c r="V93" s="41">
        <f t="shared" si="27"/>
        <v>7850</v>
      </c>
      <c r="W93" s="41">
        <f t="shared" si="21"/>
        <v>23544000</v>
      </c>
      <c r="X93" s="41">
        <v>23544000</v>
      </c>
      <c r="Y93" s="41">
        <v>2984000</v>
      </c>
      <c r="Z93" s="41">
        <f>U93*Y93</f>
        <v>23424400</v>
      </c>
      <c r="AA93" s="41">
        <v>20560000</v>
      </c>
      <c r="AB93" s="41">
        <f>AA93*U93</f>
        <v>161396000</v>
      </c>
      <c r="AC93" s="41"/>
      <c r="AD93" s="41"/>
      <c r="AE93" s="41"/>
      <c r="AF93" s="41"/>
      <c r="AG93" s="41"/>
      <c r="AH93" s="41"/>
      <c r="AI93" s="41"/>
      <c r="AJ93" s="41"/>
      <c r="AK93" s="41"/>
      <c r="AL93" s="41"/>
      <c r="AM93" s="41">
        <f t="shared" si="19"/>
        <v>23424400</v>
      </c>
      <c r="AN93" s="41">
        <f t="shared" si="24"/>
        <v>23544</v>
      </c>
      <c r="AO93" s="41">
        <f t="shared" si="23"/>
        <v>23544</v>
      </c>
      <c r="AP93" s="40"/>
      <c r="AQ93" s="36">
        <v>44958</v>
      </c>
      <c r="AR93" s="36"/>
      <c r="AS93" s="36"/>
      <c r="AT93" s="36">
        <v>44972</v>
      </c>
      <c r="AU93" s="36"/>
      <c r="AV93" s="38"/>
      <c r="AW93" s="40" t="s">
        <v>87</v>
      </c>
    </row>
    <row r="94" spans="1:49" s="34" customFormat="1" ht="63" customHeight="1" x14ac:dyDescent="0.3">
      <c r="A94" s="39" t="s">
        <v>673</v>
      </c>
      <c r="B94" s="36">
        <v>44687</v>
      </c>
      <c r="C94" s="37">
        <v>1416</v>
      </c>
      <c r="D94" s="39" t="s">
        <v>674</v>
      </c>
      <c r="E94" s="1" t="s">
        <v>675</v>
      </c>
      <c r="F94" s="36">
        <v>44711</v>
      </c>
      <c r="G94" s="39" t="s">
        <v>676</v>
      </c>
      <c r="H94" s="40" t="s">
        <v>571</v>
      </c>
      <c r="I94" s="40" t="s">
        <v>677</v>
      </c>
      <c r="J94" s="41">
        <v>23112000</v>
      </c>
      <c r="K94" s="41">
        <v>23112000</v>
      </c>
      <c r="L94" s="30">
        <f t="shared" si="26"/>
        <v>23112000</v>
      </c>
      <c r="M94" s="30">
        <f t="shared" si="26"/>
        <v>23112000</v>
      </c>
      <c r="N94" s="40" t="s">
        <v>678</v>
      </c>
      <c r="O94" s="40" t="s">
        <v>679</v>
      </c>
      <c r="P94" s="40" t="s">
        <v>680</v>
      </c>
      <c r="Q94" s="37">
        <v>0</v>
      </c>
      <c r="R94" s="37">
        <v>100</v>
      </c>
      <c r="S94" s="37" t="s">
        <v>200</v>
      </c>
      <c r="T94" s="48">
        <v>50</v>
      </c>
      <c r="U94" s="30">
        <f>M94/W94</f>
        <v>15</v>
      </c>
      <c r="V94" s="41">
        <f t="shared" si="27"/>
        <v>750</v>
      </c>
      <c r="W94" s="41">
        <f t="shared" si="21"/>
        <v>1540800</v>
      </c>
      <c r="X94" s="41">
        <v>1540800</v>
      </c>
      <c r="Y94" s="41">
        <v>20300</v>
      </c>
      <c r="Z94" s="41">
        <v>304500</v>
      </c>
      <c r="AA94" s="41">
        <v>1520500</v>
      </c>
      <c r="AB94" s="41">
        <v>22807500</v>
      </c>
      <c r="AC94" s="41"/>
      <c r="AD94" s="41"/>
      <c r="AE94" s="41">
        <v>0</v>
      </c>
      <c r="AF94" s="41"/>
      <c r="AG94" s="41">
        <v>0</v>
      </c>
      <c r="AH94" s="41"/>
      <c r="AI94" s="41"/>
      <c r="AJ94" s="41">
        <v>0</v>
      </c>
      <c r="AK94" s="41"/>
      <c r="AL94" s="41">
        <v>0</v>
      </c>
      <c r="AM94" s="41">
        <f t="shared" si="19"/>
        <v>304500</v>
      </c>
      <c r="AN94" s="41">
        <f t="shared" si="24"/>
        <v>30816</v>
      </c>
      <c r="AO94" s="41">
        <f t="shared" si="23"/>
        <v>30816</v>
      </c>
      <c r="AP94" s="40"/>
      <c r="AQ94" s="36">
        <v>44958</v>
      </c>
      <c r="AR94" s="36"/>
      <c r="AS94" s="36"/>
      <c r="AT94" s="36">
        <v>44972</v>
      </c>
      <c r="AU94" s="36"/>
      <c r="AV94" s="38"/>
      <c r="AW94" s="40" t="s">
        <v>87</v>
      </c>
    </row>
    <row r="95" spans="1:49" s="34" customFormat="1" ht="124.8" x14ac:dyDescent="0.3">
      <c r="A95" s="39" t="s">
        <v>681</v>
      </c>
      <c r="B95" s="36">
        <v>44693</v>
      </c>
      <c r="C95" s="37">
        <v>1416</v>
      </c>
      <c r="D95" s="39" t="s">
        <v>682</v>
      </c>
      <c r="E95" s="1" t="s">
        <v>683</v>
      </c>
      <c r="F95" s="36">
        <v>44712</v>
      </c>
      <c r="G95" s="39" t="s">
        <v>684</v>
      </c>
      <c r="H95" s="40" t="s">
        <v>685</v>
      </c>
      <c r="I95" s="40" t="s">
        <v>686</v>
      </c>
      <c r="J95" s="41">
        <v>28072993</v>
      </c>
      <c r="K95" s="41">
        <v>28072993</v>
      </c>
      <c r="L95" s="30">
        <f t="shared" si="26"/>
        <v>28072993</v>
      </c>
      <c r="M95" s="30">
        <f t="shared" si="26"/>
        <v>28072993</v>
      </c>
      <c r="N95" s="40" t="s">
        <v>687</v>
      </c>
      <c r="O95" s="40" t="s">
        <v>688</v>
      </c>
      <c r="P95" s="40" t="s">
        <v>47</v>
      </c>
      <c r="Q95" s="44">
        <v>100</v>
      </c>
      <c r="R95" s="37">
        <v>0</v>
      </c>
      <c r="S95" s="37" t="s">
        <v>200</v>
      </c>
      <c r="T95" s="48">
        <v>50</v>
      </c>
      <c r="U95" s="30">
        <f>M95/W95</f>
        <v>15.86</v>
      </c>
      <c r="V95" s="41">
        <f t="shared" si="27"/>
        <v>793</v>
      </c>
      <c r="W95" s="41">
        <f t="shared" si="21"/>
        <v>1770050</v>
      </c>
      <c r="X95" s="41">
        <v>1770050</v>
      </c>
      <c r="Y95" s="41">
        <v>389800</v>
      </c>
      <c r="Z95" s="41">
        <f>Y95*U95</f>
        <v>6182228</v>
      </c>
      <c r="AA95" s="41">
        <v>1380250</v>
      </c>
      <c r="AB95" s="41">
        <f>AA95*U95</f>
        <v>21890765</v>
      </c>
      <c r="AC95" s="41"/>
      <c r="AD95" s="41"/>
      <c r="AE95" s="41"/>
      <c r="AF95" s="41"/>
      <c r="AG95" s="41"/>
      <c r="AH95" s="41"/>
      <c r="AI95" s="41"/>
      <c r="AJ95" s="41"/>
      <c r="AK95" s="41"/>
      <c r="AL95" s="41"/>
      <c r="AM95" s="41">
        <f t="shared" si="19"/>
        <v>6182228</v>
      </c>
      <c r="AN95" s="41">
        <f t="shared" si="24"/>
        <v>35401</v>
      </c>
      <c r="AO95" s="41">
        <f t="shared" si="23"/>
        <v>35401</v>
      </c>
      <c r="AP95" s="40"/>
      <c r="AQ95" s="36">
        <v>44986</v>
      </c>
      <c r="AR95" s="36"/>
      <c r="AS95" s="36"/>
      <c r="AT95" s="36">
        <v>45000</v>
      </c>
      <c r="AU95" s="36"/>
      <c r="AV95" s="38"/>
      <c r="AW95" s="40" t="s">
        <v>87</v>
      </c>
    </row>
    <row r="96" spans="1:49" s="34" customFormat="1" ht="47.25" customHeight="1" x14ac:dyDescent="0.3">
      <c r="A96" s="39" t="s">
        <v>689</v>
      </c>
      <c r="B96" s="36">
        <v>44693</v>
      </c>
      <c r="C96" s="37">
        <v>1416</v>
      </c>
      <c r="D96" s="39" t="s">
        <v>690</v>
      </c>
      <c r="E96" s="1" t="s">
        <v>691</v>
      </c>
      <c r="F96" s="36">
        <v>44718</v>
      </c>
      <c r="G96" s="39" t="s">
        <v>692</v>
      </c>
      <c r="H96" s="40" t="s">
        <v>693</v>
      </c>
      <c r="I96" s="40" t="s">
        <v>694</v>
      </c>
      <c r="J96" s="41">
        <v>161917201.74000001</v>
      </c>
      <c r="K96" s="41">
        <v>161917201.74000001</v>
      </c>
      <c r="L96" s="30">
        <f t="shared" si="26"/>
        <v>161917201.74000001</v>
      </c>
      <c r="M96" s="30">
        <f t="shared" si="26"/>
        <v>161917201.74000001</v>
      </c>
      <c r="N96" s="40" t="s">
        <v>695</v>
      </c>
      <c r="O96" s="40" t="s">
        <v>696</v>
      </c>
      <c r="P96" s="40" t="s">
        <v>697</v>
      </c>
      <c r="Q96" s="44">
        <v>0</v>
      </c>
      <c r="R96" s="37">
        <v>100</v>
      </c>
      <c r="S96" s="37" t="s">
        <v>219</v>
      </c>
      <c r="T96" s="48">
        <v>3</v>
      </c>
      <c r="U96" s="30">
        <f>M96/W96</f>
        <v>50773.66</v>
      </c>
      <c r="V96" s="41">
        <f t="shared" si="27"/>
        <v>152320.98000000001</v>
      </c>
      <c r="W96" s="41">
        <f t="shared" si="21"/>
        <v>3189</v>
      </c>
      <c r="X96" s="41">
        <v>3189</v>
      </c>
      <c r="Y96" s="41">
        <v>1992</v>
      </c>
      <c r="Z96" s="41">
        <v>101141130.72000001</v>
      </c>
      <c r="AA96" s="41">
        <v>1197</v>
      </c>
      <c r="AB96" s="41">
        <v>60776071.020000003</v>
      </c>
      <c r="AC96" s="41"/>
      <c r="AD96" s="41"/>
      <c r="AE96" s="41">
        <v>0</v>
      </c>
      <c r="AF96" s="41"/>
      <c r="AG96" s="41">
        <v>0</v>
      </c>
      <c r="AH96" s="41"/>
      <c r="AI96" s="41"/>
      <c r="AJ96" s="41">
        <v>0</v>
      </c>
      <c r="AK96" s="41"/>
      <c r="AL96" s="41">
        <v>0</v>
      </c>
      <c r="AM96" s="41">
        <f t="shared" si="19"/>
        <v>101141130.72000001</v>
      </c>
      <c r="AN96" s="41">
        <f t="shared" si="24"/>
        <v>1063</v>
      </c>
      <c r="AO96" s="41">
        <f t="shared" si="23"/>
        <v>1063</v>
      </c>
      <c r="AP96" s="40"/>
      <c r="AQ96" s="36">
        <v>44986</v>
      </c>
      <c r="AR96" s="36"/>
      <c r="AS96" s="36"/>
      <c r="AT96" s="36">
        <v>45000</v>
      </c>
      <c r="AU96" s="36"/>
      <c r="AV96" s="38"/>
      <c r="AW96" s="40" t="s">
        <v>87</v>
      </c>
    </row>
    <row r="97" spans="1:49" s="34" customFormat="1" ht="72" x14ac:dyDescent="0.3">
      <c r="A97" s="39" t="s">
        <v>698</v>
      </c>
      <c r="B97" s="36">
        <v>44693</v>
      </c>
      <c r="C97" s="37">
        <v>1416</v>
      </c>
      <c r="D97" s="39" t="s">
        <v>699</v>
      </c>
      <c r="E97" s="1" t="s">
        <v>700</v>
      </c>
      <c r="F97" s="36">
        <v>44722</v>
      </c>
      <c r="G97" s="39" t="s">
        <v>701</v>
      </c>
      <c r="H97" s="40" t="s">
        <v>186</v>
      </c>
      <c r="I97" s="40" t="s">
        <v>702</v>
      </c>
      <c r="J97" s="41">
        <v>467593344</v>
      </c>
      <c r="K97" s="41">
        <v>467593344</v>
      </c>
      <c r="L97" s="30">
        <f t="shared" si="26"/>
        <v>467593344</v>
      </c>
      <c r="M97" s="30">
        <f t="shared" si="26"/>
        <v>467593344</v>
      </c>
      <c r="N97" s="40" t="s">
        <v>703</v>
      </c>
      <c r="O97" s="40" t="s">
        <v>643</v>
      </c>
      <c r="P97" s="40" t="s">
        <v>47</v>
      </c>
      <c r="Q97" s="44">
        <v>100</v>
      </c>
      <c r="R97" s="37">
        <v>0</v>
      </c>
      <c r="S97" s="37" t="s">
        <v>457</v>
      </c>
      <c r="T97" s="48">
        <v>400</v>
      </c>
      <c r="U97" s="30">
        <f>M97/W97</f>
        <v>164.16</v>
      </c>
      <c r="V97" s="41">
        <f t="shared" si="27"/>
        <v>65664</v>
      </c>
      <c r="W97" s="41">
        <f t="shared" si="21"/>
        <v>2848400</v>
      </c>
      <c r="X97" s="41">
        <v>2848400</v>
      </c>
      <c r="Y97" s="41">
        <v>741600</v>
      </c>
      <c r="Z97" s="41">
        <v>121741056</v>
      </c>
      <c r="AA97" s="41">
        <v>2106800</v>
      </c>
      <c r="AB97" s="41">
        <v>345852288</v>
      </c>
      <c r="AC97" s="41"/>
      <c r="AD97" s="41"/>
      <c r="AE97" s="41">
        <v>0</v>
      </c>
      <c r="AF97" s="41"/>
      <c r="AG97" s="41">
        <v>0</v>
      </c>
      <c r="AH97" s="41"/>
      <c r="AI97" s="41"/>
      <c r="AJ97" s="41">
        <v>0</v>
      </c>
      <c r="AK97" s="41"/>
      <c r="AL97" s="41">
        <v>0</v>
      </c>
      <c r="AM97" s="41">
        <f t="shared" si="19"/>
        <v>121741056</v>
      </c>
      <c r="AN97" s="41">
        <f t="shared" si="24"/>
        <v>7121</v>
      </c>
      <c r="AO97" s="41">
        <f t="shared" si="23"/>
        <v>7121</v>
      </c>
      <c r="AP97" s="40"/>
      <c r="AQ97" s="36">
        <v>44958</v>
      </c>
      <c r="AR97" s="36"/>
      <c r="AS97" s="36"/>
      <c r="AT97" s="36">
        <v>44972</v>
      </c>
      <c r="AU97" s="36"/>
      <c r="AV97" s="38"/>
      <c r="AW97" s="40" t="s">
        <v>87</v>
      </c>
    </row>
    <row r="98" spans="1:49" s="34" customFormat="1" ht="31.5" customHeight="1" x14ac:dyDescent="0.3">
      <c r="A98" s="39" t="s">
        <v>704</v>
      </c>
      <c r="B98" s="36">
        <v>44693</v>
      </c>
      <c r="C98" s="37">
        <v>1416</v>
      </c>
      <c r="D98" s="39" t="s">
        <v>705</v>
      </c>
      <c r="E98" s="1" t="s">
        <v>706</v>
      </c>
      <c r="F98" s="36">
        <v>44718</v>
      </c>
      <c r="G98" s="39" t="s">
        <v>707</v>
      </c>
      <c r="H98" s="40" t="s">
        <v>571</v>
      </c>
      <c r="I98" s="40" t="s">
        <v>708</v>
      </c>
      <c r="J98" s="41">
        <v>17058000</v>
      </c>
      <c r="K98" s="41">
        <v>17058000</v>
      </c>
      <c r="L98" s="30">
        <f t="shared" si="26"/>
        <v>17058000</v>
      </c>
      <c r="M98" s="30">
        <f t="shared" si="26"/>
        <v>17058000</v>
      </c>
      <c r="N98" s="40" t="s">
        <v>709</v>
      </c>
      <c r="O98" s="40" t="s">
        <v>710</v>
      </c>
      <c r="P98" s="40" t="s">
        <v>47</v>
      </c>
      <c r="Q98" s="44">
        <v>100</v>
      </c>
      <c r="R98" s="37">
        <v>0</v>
      </c>
      <c r="S98" s="37" t="s">
        <v>200</v>
      </c>
      <c r="T98" s="48">
        <v>50</v>
      </c>
      <c r="U98" s="30">
        <f>M98/W98</f>
        <v>24</v>
      </c>
      <c r="V98" s="41">
        <f t="shared" si="27"/>
        <v>1200</v>
      </c>
      <c r="W98" s="41">
        <f t="shared" si="21"/>
        <v>710750</v>
      </c>
      <c r="X98" s="41">
        <v>710750</v>
      </c>
      <c r="Y98" s="41"/>
      <c r="Z98" s="41"/>
      <c r="AA98" s="41"/>
      <c r="AB98" s="41"/>
      <c r="AC98" s="41"/>
      <c r="AD98" s="41"/>
      <c r="AE98" s="41"/>
      <c r="AF98" s="41"/>
      <c r="AG98" s="41"/>
      <c r="AH98" s="41"/>
      <c r="AI98" s="41"/>
      <c r="AJ98" s="41"/>
      <c r="AK98" s="41"/>
      <c r="AL98" s="41"/>
      <c r="AM98" s="41">
        <f t="shared" si="19"/>
        <v>0</v>
      </c>
      <c r="AN98" s="41">
        <f t="shared" si="24"/>
        <v>14215</v>
      </c>
      <c r="AO98" s="41">
        <f t="shared" si="23"/>
        <v>14215</v>
      </c>
      <c r="AP98" s="40"/>
      <c r="AQ98" s="36">
        <v>44958</v>
      </c>
      <c r="AR98" s="36"/>
      <c r="AS98" s="36"/>
      <c r="AT98" s="36">
        <v>44972</v>
      </c>
      <c r="AU98" s="36"/>
      <c r="AV98" s="38"/>
      <c r="AW98" s="40" t="s">
        <v>87</v>
      </c>
    </row>
    <row r="99" spans="1:49" s="34" customFormat="1" ht="110.25" customHeight="1" x14ac:dyDescent="0.3">
      <c r="A99" s="39" t="s">
        <v>711</v>
      </c>
      <c r="B99" s="36">
        <v>44693</v>
      </c>
      <c r="C99" s="37">
        <v>1416</v>
      </c>
      <c r="D99" s="39" t="s">
        <v>459</v>
      </c>
      <c r="E99" s="39" t="s">
        <v>459</v>
      </c>
      <c r="F99" s="39" t="s">
        <v>459</v>
      </c>
      <c r="G99" s="39" t="s">
        <v>459</v>
      </c>
      <c r="H99" s="39" t="s">
        <v>459</v>
      </c>
      <c r="I99" s="40" t="s">
        <v>712</v>
      </c>
      <c r="J99" s="41">
        <v>4175516.4</v>
      </c>
      <c r="K99" s="42" t="s">
        <v>459</v>
      </c>
      <c r="L99" s="42" t="s">
        <v>459</v>
      </c>
      <c r="M99" s="42" t="s">
        <v>459</v>
      </c>
      <c r="N99" s="42" t="s">
        <v>459</v>
      </c>
      <c r="O99" s="63" t="s">
        <v>459</v>
      </c>
      <c r="P99" s="42" t="s">
        <v>459</v>
      </c>
      <c r="Q99" s="42" t="s">
        <v>459</v>
      </c>
      <c r="R99" s="42" t="s">
        <v>459</v>
      </c>
      <c r="S99" s="42" t="s">
        <v>459</v>
      </c>
      <c r="T99" s="42" t="s">
        <v>459</v>
      </c>
      <c r="U99" s="42" t="s">
        <v>459</v>
      </c>
      <c r="V99" s="42" t="s">
        <v>459</v>
      </c>
      <c r="W99" s="42" t="s">
        <v>459</v>
      </c>
      <c r="X99" s="42" t="s">
        <v>459</v>
      </c>
      <c r="Y99" s="42"/>
      <c r="Z99" s="42"/>
      <c r="AA99" s="42"/>
      <c r="AB99" s="42"/>
      <c r="AC99" s="42" t="s">
        <v>459</v>
      </c>
      <c r="AD99" s="42"/>
      <c r="AE99" s="42"/>
      <c r="AF99" s="42"/>
      <c r="AG99" s="42"/>
      <c r="AH99" s="42" t="s">
        <v>459</v>
      </c>
      <c r="AI99" s="42"/>
      <c r="AJ99" s="42"/>
      <c r="AK99" s="42"/>
      <c r="AL99" s="42"/>
      <c r="AM99" s="42"/>
      <c r="AN99" s="42" t="s">
        <v>459</v>
      </c>
      <c r="AO99" s="42" t="s">
        <v>459</v>
      </c>
      <c r="AP99" s="42" t="s">
        <v>459</v>
      </c>
      <c r="AQ99" s="42" t="s">
        <v>459</v>
      </c>
      <c r="AR99" s="42" t="s">
        <v>459</v>
      </c>
      <c r="AS99" s="42" t="s">
        <v>459</v>
      </c>
      <c r="AT99" s="42" t="s">
        <v>459</v>
      </c>
      <c r="AU99" s="42" t="s">
        <v>459</v>
      </c>
      <c r="AV99" s="42" t="s">
        <v>459</v>
      </c>
      <c r="AW99" s="42" t="s">
        <v>459</v>
      </c>
    </row>
    <row r="100" spans="1:49" s="34" customFormat="1" ht="63" customHeight="1" x14ac:dyDescent="0.3">
      <c r="A100" s="39" t="s">
        <v>713</v>
      </c>
      <c r="B100" s="36">
        <v>44693</v>
      </c>
      <c r="C100" s="37">
        <v>1416</v>
      </c>
      <c r="D100" s="39" t="s">
        <v>714</v>
      </c>
      <c r="E100" s="1" t="s">
        <v>715</v>
      </c>
      <c r="F100" s="36">
        <v>44718</v>
      </c>
      <c r="G100" s="39" t="s">
        <v>716</v>
      </c>
      <c r="H100" s="69" t="s">
        <v>571</v>
      </c>
      <c r="I100" s="40" t="s">
        <v>717</v>
      </c>
      <c r="J100" s="70">
        <v>32281704</v>
      </c>
      <c r="K100" s="41">
        <v>31628688</v>
      </c>
      <c r="L100" s="30">
        <f t="shared" ref="L100:M143" si="28">K100</f>
        <v>31628688</v>
      </c>
      <c r="M100" s="30">
        <f t="shared" si="28"/>
        <v>31628688</v>
      </c>
      <c r="N100" s="40" t="s">
        <v>718</v>
      </c>
      <c r="O100" s="40" t="s">
        <v>719</v>
      </c>
      <c r="P100" s="40" t="s">
        <v>47</v>
      </c>
      <c r="Q100" s="44">
        <v>100</v>
      </c>
      <c r="R100" s="37">
        <v>0</v>
      </c>
      <c r="S100" s="37" t="s">
        <v>200</v>
      </c>
      <c r="T100" s="48">
        <v>30</v>
      </c>
      <c r="U100" s="30">
        <f>M100/W100</f>
        <v>11.14</v>
      </c>
      <c r="V100" s="41">
        <f>U100*T100</f>
        <v>334.20000000000005</v>
      </c>
      <c r="W100" s="41">
        <f t="shared" ref="W100:W112" si="29">X100+AC100+AH100</f>
        <v>2839200</v>
      </c>
      <c r="X100" s="41">
        <v>2839200</v>
      </c>
      <c r="Y100" s="41">
        <v>45900</v>
      </c>
      <c r="Z100" s="41">
        <v>511326</v>
      </c>
      <c r="AA100" s="41">
        <v>2793300</v>
      </c>
      <c r="AB100" s="41">
        <v>31117362</v>
      </c>
      <c r="AC100" s="41"/>
      <c r="AD100" s="41"/>
      <c r="AE100" s="41">
        <v>0</v>
      </c>
      <c r="AF100" s="41"/>
      <c r="AG100" s="41">
        <v>0</v>
      </c>
      <c r="AH100" s="41"/>
      <c r="AI100" s="41"/>
      <c r="AJ100" s="41">
        <v>0</v>
      </c>
      <c r="AK100" s="41"/>
      <c r="AL100" s="41">
        <v>0</v>
      </c>
      <c r="AM100" s="41">
        <f t="shared" ref="AM100:AM107" si="30">Z100+AE100+AJ100</f>
        <v>511326</v>
      </c>
      <c r="AN100" s="41">
        <f>W100/T100</f>
        <v>94640</v>
      </c>
      <c r="AO100" s="41">
        <f t="shared" ref="AO100:AO124" si="31">_xlfn.CEILING.MATH(AN100)</f>
        <v>94640</v>
      </c>
      <c r="AP100" s="40"/>
      <c r="AQ100" s="36">
        <v>44958</v>
      </c>
      <c r="AR100" s="36"/>
      <c r="AS100" s="36"/>
      <c r="AT100" s="36">
        <v>44972</v>
      </c>
      <c r="AU100" s="36"/>
      <c r="AV100" s="38"/>
      <c r="AW100" s="40" t="s">
        <v>87</v>
      </c>
    </row>
    <row r="101" spans="1:49" s="34" customFormat="1" ht="31.5" customHeight="1" x14ac:dyDescent="0.3">
      <c r="A101" s="39" t="s">
        <v>720</v>
      </c>
      <c r="B101" s="36">
        <v>44693</v>
      </c>
      <c r="C101" s="37">
        <v>1416</v>
      </c>
      <c r="D101" s="39" t="s">
        <v>721</v>
      </c>
      <c r="E101" s="1" t="s">
        <v>722</v>
      </c>
      <c r="F101" s="36">
        <v>44718</v>
      </c>
      <c r="G101" s="39" t="s">
        <v>723</v>
      </c>
      <c r="H101" s="69" t="s">
        <v>571</v>
      </c>
      <c r="I101" s="40" t="s">
        <v>724</v>
      </c>
      <c r="J101" s="70">
        <v>9148533.9000000004</v>
      </c>
      <c r="K101" s="41">
        <v>9148533.9000000004</v>
      </c>
      <c r="L101" s="30">
        <f t="shared" si="28"/>
        <v>9148533.9000000004</v>
      </c>
      <c r="M101" s="30">
        <f t="shared" si="28"/>
        <v>9148533.9000000004</v>
      </c>
      <c r="N101" s="40" t="s">
        <v>709</v>
      </c>
      <c r="O101" s="40" t="s">
        <v>725</v>
      </c>
      <c r="P101" s="40" t="s">
        <v>47</v>
      </c>
      <c r="Q101" s="37">
        <v>100</v>
      </c>
      <c r="R101" s="37">
        <v>0</v>
      </c>
      <c r="S101" s="37" t="s">
        <v>200</v>
      </c>
      <c r="T101" s="48">
        <v>50</v>
      </c>
      <c r="U101" s="30">
        <f>M101/W101</f>
        <v>41.910000000000004</v>
      </c>
      <c r="V101" s="41">
        <f>U101*T101</f>
        <v>2095.5</v>
      </c>
      <c r="W101" s="41">
        <f t="shared" si="29"/>
        <v>218290</v>
      </c>
      <c r="X101" s="41">
        <v>218290</v>
      </c>
      <c r="Y101" s="41"/>
      <c r="Z101" s="41"/>
      <c r="AA101" s="41"/>
      <c r="AB101" s="41"/>
      <c r="AC101" s="41"/>
      <c r="AD101" s="41"/>
      <c r="AE101" s="41"/>
      <c r="AF101" s="41"/>
      <c r="AG101" s="41"/>
      <c r="AH101" s="41"/>
      <c r="AI101" s="41"/>
      <c r="AJ101" s="41"/>
      <c r="AK101" s="41"/>
      <c r="AL101" s="41"/>
      <c r="AM101" s="41">
        <f t="shared" si="30"/>
        <v>0</v>
      </c>
      <c r="AN101" s="41">
        <f>W101/T101</f>
        <v>4365.8</v>
      </c>
      <c r="AO101" s="41">
        <f t="shared" si="31"/>
        <v>4366</v>
      </c>
      <c r="AP101" s="40"/>
      <c r="AQ101" s="36">
        <v>44958</v>
      </c>
      <c r="AR101" s="36"/>
      <c r="AS101" s="36"/>
      <c r="AT101" s="36">
        <v>44972</v>
      </c>
      <c r="AU101" s="36"/>
      <c r="AV101" s="38"/>
      <c r="AW101" s="40" t="s">
        <v>87</v>
      </c>
    </row>
    <row r="102" spans="1:49" s="34" customFormat="1" ht="72" x14ac:dyDescent="0.3">
      <c r="A102" s="39" t="s">
        <v>726</v>
      </c>
      <c r="B102" s="36">
        <v>44693</v>
      </c>
      <c r="C102" s="37">
        <v>1416</v>
      </c>
      <c r="D102" s="39" t="s">
        <v>727</v>
      </c>
      <c r="E102" s="1" t="s">
        <v>728</v>
      </c>
      <c r="F102" s="36">
        <v>44728</v>
      </c>
      <c r="G102" s="39" t="s">
        <v>729</v>
      </c>
      <c r="H102" s="69" t="s">
        <v>224</v>
      </c>
      <c r="I102" s="40" t="s">
        <v>730</v>
      </c>
      <c r="J102" s="70">
        <v>1762304788.53</v>
      </c>
      <c r="K102" s="41">
        <v>1762304788.53</v>
      </c>
      <c r="L102" s="30">
        <f t="shared" si="28"/>
        <v>1762304788.53</v>
      </c>
      <c r="M102" s="30">
        <f t="shared" si="28"/>
        <v>1762304788.53</v>
      </c>
      <c r="N102" s="40" t="s">
        <v>731</v>
      </c>
      <c r="O102" s="40" t="s">
        <v>732</v>
      </c>
      <c r="P102" s="40" t="s">
        <v>733</v>
      </c>
      <c r="Q102" s="44">
        <v>0</v>
      </c>
      <c r="R102" s="37">
        <v>100</v>
      </c>
      <c r="S102" s="37" t="s">
        <v>219</v>
      </c>
      <c r="T102" s="48">
        <v>3</v>
      </c>
      <c r="U102" s="30">
        <f>M102/W102</f>
        <v>63582.09</v>
      </c>
      <c r="V102" s="41">
        <f>U102*T102</f>
        <v>190746.27</v>
      </c>
      <c r="W102" s="41">
        <f t="shared" si="29"/>
        <v>27717</v>
      </c>
      <c r="X102" s="41">
        <v>27717</v>
      </c>
      <c r="Y102" s="41">
        <v>20703</v>
      </c>
      <c r="Z102" s="41">
        <v>1316340009.27</v>
      </c>
      <c r="AA102" s="41">
        <v>7014</v>
      </c>
      <c r="AB102" s="41">
        <v>445964779.25999999</v>
      </c>
      <c r="AC102" s="41"/>
      <c r="AD102" s="41"/>
      <c r="AE102" s="41">
        <v>0</v>
      </c>
      <c r="AF102" s="41"/>
      <c r="AG102" s="41">
        <v>0</v>
      </c>
      <c r="AH102" s="41"/>
      <c r="AI102" s="41"/>
      <c r="AJ102" s="41">
        <v>0</v>
      </c>
      <c r="AK102" s="41"/>
      <c r="AL102" s="41">
        <v>0</v>
      </c>
      <c r="AM102" s="41">
        <f t="shared" si="30"/>
        <v>1316340009.27</v>
      </c>
      <c r="AN102" s="41">
        <f>W102/T102</f>
        <v>9239</v>
      </c>
      <c r="AO102" s="41">
        <f t="shared" si="31"/>
        <v>9239</v>
      </c>
      <c r="AP102" s="40"/>
      <c r="AQ102" s="36">
        <v>44986</v>
      </c>
      <c r="AR102" s="36"/>
      <c r="AS102" s="36"/>
      <c r="AT102" s="36">
        <v>45000</v>
      </c>
      <c r="AU102" s="36"/>
      <c r="AV102" s="38"/>
      <c r="AW102" s="40" t="s">
        <v>87</v>
      </c>
    </row>
    <row r="103" spans="1:49" s="34" customFormat="1" ht="139.19999999999999" customHeight="1" x14ac:dyDescent="0.3">
      <c r="A103" s="39" t="s">
        <v>734</v>
      </c>
      <c r="B103" s="36">
        <v>44693</v>
      </c>
      <c r="C103" s="37">
        <v>1416</v>
      </c>
      <c r="D103" s="39" t="s">
        <v>735</v>
      </c>
      <c r="E103" s="1" t="s">
        <v>736</v>
      </c>
      <c r="F103" s="36">
        <v>44718</v>
      </c>
      <c r="G103" s="39" t="s">
        <v>737</v>
      </c>
      <c r="H103" s="40" t="s">
        <v>571</v>
      </c>
      <c r="I103" s="40" t="s">
        <v>738</v>
      </c>
      <c r="J103" s="41">
        <v>15747334.199999999</v>
      </c>
      <c r="K103" s="41">
        <v>13696462.800000001</v>
      </c>
      <c r="L103" s="30">
        <f t="shared" si="28"/>
        <v>13696462.800000001</v>
      </c>
      <c r="M103" s="30">
        <f t="shared" si="28"/>
        <v>13696462.800000001</v>
      </c>
      <c r="N103" s="40" t="s">
        <v>739</v>
      </c>
      <c r="O103" s="40" t="s">
        <v>740</v>
      </c>
      <c r="P103" s="40" t="s">
        <v>47</v>
      </c>
      <c r="Q103" s="44">
        <v>100</v>
      </c>
      <c r="R103" s="37">
        <v>0</v>
      </c>
      <c r="S103" s="37" t="s">
        <v>200</v>
      </c>
      <c r="T103" s="54">
        <v>50</v>
      </c>
      <c r="U103" s="30">
        <f>M103/W103</f>
        <v>22.84</v>
      </c>
      <c r="V103" s="41">
        <f>U103*T103</f>
        <v>1142</v>
      </c>
      <c r="W103" s="41">
        <f t="shared" si="29"/>
        <v>599670</v>
      </c>
      <c r="X103" s="41">
        <v>599670</v>
      </c>
      <c r="Y103" s="41">
        <v>10850</v>
      </c>
      <c r="Z103" s="41">
        <v>247814</v>
      </c>
      <c r="AA103" s="41">
        <v>588820</v>
      </c>
      <c r="AB103" s="41">
        <v>13448648.800000001</v>
      </c>
      <c r="AC103" s="41"/>
      <c r="AD103" s="41"/>
      <c r="AE103" s="41">
        <v>0</v>
      </c>
      <c r="AF103" s="41"/>
      <c r="AG103" s="41">
        <v>0</v>
      </c>
      <c r="AH103" s="41"/>
      <c r="AI103" s="41"/>
      <c r="AJ103" s="41">
        <v>0</v>
      </c>
      <c r="AK103" s="41"/>
      <c r="AL103" s="41">
        <v>0</v>
      </c>
      <c r="AM103" s="41">
        <f t="shared" si="30"/>
        <v>247814</v>
      </c>
      <c r="AN103" s="41">
        <f>W103/T103</f>
        <v>11993.4</v>
      </c>
      <c r="AO103" s="41">
        <f t="shared" si="31"/>
        <v>11994</v>
      </c>
      <c r="AP103" s="40"/>
      <c r="AQ103" s="36">
        <v>44958</v>
      </c>
      <c r="AR103" s="36"/>
      <c r="AS103" s="36"/>
      <c r="AT103" s="36">
        <v>44972</v>
      </c>
      <c r="AU103" s="36"/>
      <c r="AV103" s="38"/>
      <c r="AW103" s="40" t="s">
        <v>87</v>
      </c>
    </row>
    <row r="104" spans="1:49" s="34" customFormat="1" ht="78.75" customHeight="1" x14ac:dyDescent="0.3">
      <c r="A104" s="39" t="s">
        <v>741</v>
      </c>
      <c r="B104" s="36">
        <v>44697</v>
      </c>
      <c r="C104" s="37">
        <v>1416</v>
      </c>
      <c r="D104" s="39" t="s">
        <v>742</v>
      </c>
      <c r="E104" s="1" t="s">
        <v>743</v>
      </c>
      <c r="F104" s="36">
        <v>44718</v>
      </c>
      <c r="G104" s="39" t="s">
        <v>744</v>
      </c>
      <c r="H104" s="40" t="s">
        <v>745</v>
      </c>
      <c r="I104" s="40" t="s">
        <v>746</v>
      </c>
      <c r="J104" s="41">
        <v>1790550.6</v>
      </c>
      <c r="K104" s="41">
        <v>1781435.6</v>
      </c>
      <c r="L104" s="30">
        <f t="shared" si="28"/>
        <v>1781435.6</v>
      </c>
      <c r="M104" s="30">
        <f t="shared" si="28"/>
        <v>1781435.6</v>
      </c>
      <c r="N104" s="40" t="s">
        <v>747</v>
      </c>
      <c r="O104" s="40" t="s">
        <v>748</v>
      </c>
      <c r="P104" s="40" t="s">
        <v>47</v>
      </c>
      <c r="Q104" s="37">
        <v>100</v>
      </c>
      <c r="R104" s="37">
        <v>0</v>
      </c>
      <c r="S104" s="37" t="s">
        <v>200</v>
      </c>
      <c r="T104" s="54" t="s">
        <v>749</v>
      </c>
      <c r="U104" s="30">
        <f>M104/W104</f>
        <v>97.72</v>
      </c>
      <c r="V104" s="57" t="s">
        <v>750</v>
      </c>
      <c r="W104" s="41">
        <f t="shared" si="29"/>
        <v>18230</v>
      </c>
      <c r="X104" s="41">
        <v>18230</v>
      </c>
      <c r="Y104" s="41">
        <v>1597</v>
      </c>
      <c r="Z104" s="41">
        <f>Y104*U104</f>
        <v>156058.84</v>
      </c>
      <c r="AA104" s="41">
        <v>16633</v>
      </c>
      <c r="AB104" s="41">
        <f>AA104*U104</f>
        <v>1625376.76</v>
      </c>
      <c r="AC104" s="41"/>
      <c r="AD104" s="41"/>
      <c r="AE104" s="41"/>
      <c r="AF104" s="41"/>
      <c r="AG104" s="41"/>
      <c r="AH104" s="41"/>
      <c r="AI104" s="41"/>
      <c r="AJ104" s="41"/>
      <c r="AK104" s="41"/>
      <c r="AL104" s="41"/>
      <c r="AM104" s="41">
        <f t="shared" si="30"/>
        <v>156058.84</v>
      </c>
      <c r="AN104" s="41">
        <v>454.6</v>
      </c>
      <c r="AO104" s="41">
        <f t="shared" si="31"/>
        <v>455</v>
      </c>
      <c r="AP104" s="40"/>
      <c r="AQ104" s="36">
        <v>44986</v>
      </c>
      <c r="AR104" s="36"/>
      <c r="AS104" s="36"/>
      <c r="AT104" s="36">
        <v>45000</v>
      </c>
      <c r="AU104" s="36"/>
      <c r="AV104" s="38"/>
      <c r="AW104" s="40" t="s">
        <v>87</v>
      </c>
    </row>
    <row r="105" spans="1:49" s="34" customFormat="1" ht="63" customHeight="1" x14ac:dyDescent="0.3">
      <c r="A105" s="39" t="s">
        <v>751</v>
      </c>
      <c r="B105" s="36">
        <v>44697</v>
      </c>
      <c r="C105" s="37">
        <v>1416</v>
      </c>
      <c r="D105" s="39" t="s">
        <v>752</v>
      </c>
      <c r="E105" s="1" t="s">
        <v>753</v>
      </c>
      <c r="F105" s="36">
        <v>44719</v>
      </c>
      <c r="G105" s="39" t="s">
        <v>754</v>
      </c>
      <c r="H105" s="40" t="s">
        <v>571</v>
      </c>
      <c r="I105" s="40" t="s">
        <v>755</v>
      </c>
      <c r="J105" s="72">
        <v>13968994.4</v>
      </c>
      <c r="K105" s="41">
        <v>13895140.199999999</v>
      </c>
      <c r="L105" s="30">
        <f t="shared" si="28"/>
        <v>13895140.199999999</v>
      </c>
      <c r="M105" s="30">
        <f t="shared" si="28"/>
        <v>13895140.199999999</v>
      </c>
      <c r="N105" s="40" t="s">
        <v>739</v>
      </c>
      <c r="O105" s="40" t="s">
        <v>756</v>
      </c>
      <c r="P105" s="40" t="s">
        <v>47</v>
      </c>
      <c r="Q105" s="44">
        <v>100</v>
      </c>
      <c r="R105" s="37">
        <v>0</v>
      </c>
      <c r="S105" s="37" t="s">
        <v>200</v>
      </c>
      <c r="T105" s="48">
        <v>100</v>
      </c>
      <c r="U105" s="30">
        <f>M105/W105</f>
        <v>13.17</v>
      </c>
      <c r="V105" s="41">
        <f>U105*T105</f>
        <v>1317</v>
      </c>
      <c r="W105" s="41">
        <f t="shared" si="29"/>
        <v>1055060</v>
      </c>
      <c r="X105" s="41">
        <v>1055060</v>
      </c>
      <c r="Y105" s="41">
        <v>58400</v>
      </c>
      <c r="Z105" s="41">
        <v>769128</v>
      </c>
      <c r="AA105" s="41">
        <v>996660</v>
      </c>
      <c r="AB105" s="41">
        <v>13126012.199999999</v>
      </c>
      <c r="AC105" s="41"/>
      <c r="AD105" s="41"/>
      <c r="AE105" s="41">
        <v>0</v>
      </c>
      <c r="AF105" s="41"/>
      <c r="AG105" s="41">
        <v>0</v>
      </c>
      <c r="AH105" s="41"/>
      <c r="AI105" s="41"/>
      <c r="AJ105" s="41">
        <v>0</v>
      </c>
      <c r="AK105" s="41"/>
      <c r="AL105" s="41">
        <v>0</v>
      </c>
      <c r="AM105" s="41">
        <f t="shared" si="30"/>
        <v>769128</v>
      </c>
      <c r="AN105" s="41">
        <f>W105/T105</f>
        <v>10550.6</v>
      </c>
      <c r="AO105" s="41">
        <f t="shared" si="31"/>
        <v>10551</v>
      </c>
      <c r="AP105" s="40"/>
      <c r="AQ105" s="36">
        <v>44958</v>
      </c>
      <c r="AR105" s="36"/>
      <c r="AS105" s="36"/>
      <c r="AT105" s="36">
        <v>44972</v>
      </c>
      <c r="AU105" s="36"/>
      <c r="AV105" s="38"/>
      <c r="AW105" s="40" t="s">
        <v>87</v>
      </c>
    </row>
    <row r="106" spans="1:49" s="34" customFormat="1" ht="129" customHeight="1" x14ac:dyDescent="0.3">
      <c r="A106" s="39" t="s">
        <v>757</v>
      </c>
      <c r="B106" s="36">
        <v>44699</v>
      </c>
      <c r="C106" s="37">
        <v>1416</v>
      </c>
      <c r="D106" s="39" t="s">
        <v>758</v>
      </c>
      <c r="E106" s="1" t="s">
        <v>759</v>
      </c>
      <c r="F106" s="36">
        <v>44722</v>
      </c>
      <c r="G106" s="39" t="s">
        <v>760</v>
      </c>
      <c r="H106" s="40" t="s">
        <v>685</v>
      </c>
      <c r="I106" s="40" t="s">
        <v>761</v>
      </c>
      <c r="J106" s="41">
        <v>35398163.700000003</v>
      </c>
      <c r="K106" s="41">
        <v>35208615.299999997</v>
      </c>
      <c r="L106" s="30">
        <f t="shared" si="28"/>
        <v>35208615.299999997</v>
      </c>
      <c r="M106" s="30">
        <f t="shared" si="28"/>
        <v>35208615.299999997</v>
      </c>
      <c r="N106" s="40" t="s">
        <v>762</v>
      </c>
      <c r="O106" s="40" t="s">
        <v>763</v>
      </c>
      <c r="P106" s="40" t="s">
        <v>47</v>
      </c>
      <c r="Q106" s="44">
        <v>100</v>
      </c>
      <c r="R106" s="37">
        <v>0</v>
      </c>
      <c r="S106" s="37" t="s">
        <v>200</v>
      </c>
      <c r="T106" s="54" t="s">
        <v>764</v>
      </c>
      <c r="U106" s="30">
        <f>M106/W106</f>
        <v>22.29</v>
      </c>
      <c r="V106" s="57" t="s">
        <v>765</v>
      </c>
      <c r="W106" s="41">
        <f>X106+AC106+AH106</f>
        <v>1579570</v>
      </c>
      <c r="X106" s="41">
        <v>1579570</v>
      </c>
      <c r="Y106" s="41">
        <v>192700</v>
      </c>
      <c r="Z106" s="41">
        <f>Y106*U106</f>
        <v>4295283</v>
      </c>
      <c r="AA106" s="41">
        <v>1386870</v>
      </c>
      <c r="AB106" s="41">
        <f>AA106*U106</f>
        <v>30913332.299999997</v>
      </c>
      <c r="AC106" s="41"/>
      <c r="AD106" s="41"/>
      <c r="AE106" s="41"/>
      <c r="AF106" s="41"/>
      <c r="AG106" s="41"/>
      <c r="AH106" s="41"/>
      <c r="AI106" s="41"/>
      <c r="AJ106" s="41"/>
      <c r="AK106" s="41"/>
      <c r="AL106" s="41"/>
      <c r="AM106" s="41">
        <f t="shared" si="30"/>
        <v>4295283</v>
      </c>
      <c r="AN106" s="41">
        <v>36859</v>
      </c>
      <c r="AO106" s="41">
        <f t="shared" si="31"/>
        <v>36859</v>
      </c>
      <c r="AP106" s="40"/>
      <c r="AQ106" s="36">
        <v>44986</v>
      </c>
      <c r="AR106" s="36"/>
      <c r="AS106" s="36"/>
      <c r="AT106" s="36">
        <v>45000</v>
      </c>
      <c r="AU106" s="36"/>
      <c r="AV106" s="38"/>
      <c r="AW106" s="40" t="s">
        <v>87</v>
      </c>
    </row>
    <row r="107" spans="1:49" s="34" customFormat="1" ht="134.25" customHeight="1" x14ac:dyDescent="0.3">
      <c r="A107" s="39" t="s">
        <v>766</v>
      </c>
      <c r="B107" s="36">
        <v>44699</v>
      </c>
      <c r="C107" s="37">
        <v>1416</v>
      </c>
      <c r="D107" s="39" t="s">
        <v>767</v>
      </c>
      <c r="E107" s="1" t="s">
        <v>768</v>
      </c>
      <c r="F107" s="36">
        <v>44722</v>
      </c>
      <c r="G107" s="39" t="s">
        <v>769</v>
      </c>
      <c r="H107" s="40" t="s">
        <v>555</v>
      </c>
      <c r="I107" s="40" t="s">
        <v>770</v>
      </c>
      <c r="J107" s="41">
        <v>197754738.75</v>
      </c>
      <c r="K107" s="41">
        <v>196752253.5</v>
      </c>
      <c r="L107" s="30">
        <f t="shared" si="28"/>
        <v>196752253.5</v>
      </c>
      <c r="M107" s="30">
        <f t="shared" si="28"/>
        <v>196752253.5</v>
      </c>
      <c r="N107" s="40" t="s">
        <v>771</v>
      </c>
      <c r="O107" s="40" t="s">
        <v>772</v>
      </c>
      <c r="P107" s="40" t="s">
        <v>47</v>
      </c>
      <c r="Q107" s="44">
        <v>100</v>
      </c>
      <c r="R107" s="37">
        <v>0</v>
      </c>
      <c r="S107" s="37" t="s">
        <v>200</v>
      </c>
      <c r="T107" s="48">
        <v>1</v>
      </c>
      <c r="U107" s="30">
        <f>M107/W107</f>
        <v>4105.42</v>
      </c>
      <c r="V107" s="41">
        <f>U107*T107</f>
        <v>4105.42</v>
      </c>
      <c r="W107" s="41">
        <f t="shared" si="29"/>
        <v>47925</v>
      </c>
      <c r="X107" s="41">
        <v>47925</v>
      </c>
      <c r="Y107" s="41">
        <v>26</v>
      </c>
      <c r="Z107" s="41">
        <f>Y107*U107</f>
        <v>106740.92</v>
      </c>
      <c r="AA107" s="41">
        <v>47899</v>
      </c>
      <c r="AB107" s="41">
        <f>AA107*U107</f>
        <v>196645512.58000001</v>
      </c>
      <c r="AC107" s="41"/>
      <c r="AD107" s="41"/>
      <c r="AE107" s="41"/>
      <c r="AF107" s="41"/>
      <c r="AG107" s="41"/>
      <c r="AH107" s="41"/>
      <c r="AI107" s="41"/>
      <c r="AJ107" s="41"/>
      <c r="AK107" s="41"/>
      <c r="AL107" s="41"/>
      <c r="AM107" s="41">
        <f t="shared" si="30"/>
        <v>106740.92</v>
      </c>
      <c r="AN107" s="41">
        <f>W107/T107</f>
        <v>47925</v>
      </c>
      <c r="AO107" s="41">
        <f t="shared" si="31"/>
        <v>47925</v>
      </c>
      <c r="AP107" s="40"/>
      <c r="AQ107" s="36">
        <v>44986</v>
      </c>
      <c r="AR107" s="36"/>
      <c r="AS107" s="36"/>
      <c r="AT107" s="36">
        <v>45000</v>
      </c>
      <c r="AU107" s="36"/>
      <c r="AV107" s="38"/>
      <c r="AW107" s="40" t="s">
        <v>87</v>
      </c>
    </row>
    <row r="108" spans="1:49" s="34" customFormat="1" ht="93.6" x14ac:dyDescent="0.3">
      <c r="A108" s="39" t="s">
        <v>773</v>
      </c>
      <c r="B108" s="36">
        <v>44699</v>
      </c>
      <c r="C108" s="37">
        <v>1416</v>
      </c>
      <c r="D108" s="39" t="s">
        <v>459</v>
      </c>
      <c r="E108" s="1" t="s">
        <v>459</v>
      </c>
      <c r="F108" s="36" t="s">
        <v>459</v>
      </c>
      <c r="G108" s="37" t="s">
        <v>459</v>
      </c>
      <c r="H108" s="40" t="s">
        <v>459</v>
      </c>
      <c r="I108" s="65" t="s">
        <v>774</v>
      </c>
      <c r="J108" s="57">
        <v>166227600</v>
      </c>
      <c r="K108" s="41">
        <v>0</v>
      </c>
      <c r="L108" s="30">
        <f t="shared" si="28"/>
        <v>0</v>
      </c>
      <c r="M108" s="30">
        <f t="shared" si="28"/>
        <v>0</v>
      </c>
      <c r="N108" s="40"/>
      <c r="O108" s="40"/>
      <c r="P108" s="40"/>
      <c r="Q108" s="44"/>
      <c r="R108" s="37"/>
      <c r="S108" s="37"/>
      <c r="T108" s="48"/>
      <c r="U108" s="30" t="e">
        <f>M108/W108</f>
        <v>#DIV/0!</v>
      </c>
      <c r="V108" s="41" t="e">
        <f>U108*T108</f>
        <v>#DIV/0!</v>
      </c>
      <c r="W108" s="41">
        <f t="shared" si="29"/>
        <v>0</v>
      </c>
      <c r="X108" s="41"/>
      <c r="Y108" s="41"/>
      <c r="Z108" s="41"/>
      <c r="AA108" s="41"/>
      <c r="AB108" s="41"/>
      <c r="AC108" s="41"/>
      <c r="AD108" s="41"/>
      <c r="AE108" s="41"/>
      <c r="AF108" s="41"/>
      <c r="AG108" s="41"/>
      <c r="AH108" s="41"/>
      <c r="AI108" s="41"/>
      <c r="AJ108" s="41"/>
      <c r="AK108" s="41"/>
      <c r="AL108" s="41"/>
      <c r="AM108" s="41"/>
      <c r="AN108" s="41" t="e">
        <f>W108/T108</f>
        <v>#DIV/0!</v>
      </c>
      <c r="AO108" s="41" t="e">
        <f t="shared" si="31"/>
        <v>#DIV/0!</v>
      </c>
      <c r="AP108" s="40"/>
      <c r="AQ108" s="36"/>
      <c r="AR108" s="36"/>
      <c r="AS108" s="36"/>
      <c r="AT108" s="36"/>
      <c r="AU108" s="36"/>
      <c r="AV108" s="38"/>
      <c r="AW108" s="40"/>
    </row>
    <row r="109" spans="1:49" s="34" customFormat="1" ht="150.6" customHeight="1" x14ac:dyDescent="0.3">
      <c r="A109" s="39" t="s">
        <v>775</v>
      </c>
      <c r="B109" s="36">
        <v>44704</v>
      </c>
      <c r="C109" s="37">
        <v>1416</v>
      </c>
      <c r="D109" s="39" t="s">
        <v>776</v>
      </c>
      <c r="E109" s="1" t="s">
        <v>777</v>
      </c>
      <c r="F109" s="36">
        <v>44729</v>
      </c>
      <c r="G109" s="39" t="s">
        <v>778</v>
      </c>
      <c r="H109" s="40" t="s">
        <v>224</v>
      </c>
      <c r="I109" s="40" t="s">
        <v>779</v>
      </c>
      <c r="J109" s="41">
        <v>44051310</v>
      </c>
      <c r="K109" s="41">
        <v>44051310</v>
      </c>
      <c r="L109" s="30">
        <f t="shared" si="28"/>
        <v>44051310</v>
      </c>
      <c r="M109" s="30">
        <f t="shared" si="28"/>
        <v>44051310</v>
      </c>
      <c r="N109" s="40" t="s">
        <v>780</v>
      </c>
      <c r="O109" s="40" t="s">
        <v>781</v>
      </c>
      <c r="P109" s="40" t="s">
        <v>218</v>
      </c>
      <c r="Q109" s="44">
        <v>0</v>
      </c>
      <c r="R109" s="37">
        <v>100</v>
      </c>
      <c r="S109" s="37" t="s">
        <v>229</v>
      </c>
      <c r="T109" s="48">
        <v>600</v>
      </c>
      <c r="U109" s="30">
        <f>M109/W109</f>
        <v>24.93</v>
      </c>
      <c r="V109" s="41">
        <f>U109*T109</f>
        <v>14958</v>
      </c>
      <c r="W109" s="41">
        <f t="shared" si="29"/>
        <v>1767000</v>
      </c>
      <c r="X109" s="41">
        <v>1767000</v>
      </c>
      <c r="Y109" s="41">
        <v>1657200</v>
      </c>
      <c r="Z109" s="41">
        <v>41313996</v>
      </c>
      <c r="AA109" s="41">
        <v>109800</v>
      </c>
      <c r="AB109" s="41">
        <v>2737314</v>
      </c>
      <c r="AC109" s="41"/>
      <c r="AD109" s="41"/>
      <c r="AE109" s="41">
        <v>0</v>
      </c>
      <c r="AF109" s="41"/>
      <c r="AG109" s="41">
        <v>0</v>
      </c>
      <c r="AH109" s="41"/>
      <c r="AI109" s="41"/>
      <c r="AJ109" s="41">
        <v>0</v>
      </c>
      <c r="AK109" s="41"/>
      <c r="AL109" s="41">
        <v>0</v>
      </c>
      <c r="AM109" s="41">
        <f t="shared" ref="AM109:AM114" si="32">Z109+AE109+AJ109</f>
        <v>41313996</v>
      </c>
      <c r="AN109" s="41">
        <f>W109/T109</f>
        <v>2945</v>
      </c>
      <c r="AO109" s="41">
        <f t="shared" si="31"/>
        <v>2945</v>
      </c>
      <c r="AP109" s="40"/>
      <c r="AQ109" s="36">
        <v>44986</v>
      </c>
      <c r="AR109" s="36"/>
      <c r="AS109" s="36"/>
      <c r="AT109" s="36">
        <v>45000</v>
      </c>
      <c r="AU109" s="36"/>
      <c r="AV109" s="38"/>
      <c r="AW109" s="40" t="s">
        <v>87</v>
      </c>
    </row>
    <row r="110" spans="1:49" s="34" customFormat="1" ht="160.19999999999999" customHeight="1" x14ac:dyDescent="0.3">
      <c r="A110" s="39" t="s">
        <v>782</v>
      </c>
      <c r="B110" s="36">
        <v>44704</v>
      </c>
      <c r="C110" s="37">
        <v>1416</v>
      </c>
      <c r="D110" s="39" t="s">
        <v>783</v>
      </c>
      <c r="E110" s="1" t="s">
        <v>784</v>
      </c>
      <c r="F110" s="36">
        <v>44729</v>
      </c>
      <c r="G110" s="39" t="s">
        <v>785</v>
      </c>
      <c r="H110" s="40" t="s">
        <v>685</v>
      </c>
      <c r="I110" s="65" t="s">
        <v>786</v>
      </c>
      <c r="J110" s="41">
        <v>33217626</v>
      </c>
      <c r="K110" s="41">
        <v>33043654.800000001</v>
      </c>
      <c r="L110" s="30">
        <f t="shared" si="28"/>
        <v>33043654.800000001</v>
      </c>
      <c r="M110" s="30">
        <f t="shared" si="28"/>
        <v>33043654.800000001</v>
      </c>
      <c r="N110" s="40" t="s">
        <v>787</v>
      </c>
      <c r="O110" s="40" t="s">
        <v>788</v>
      </c>
      <c r="P110" s="40" t="s">
        <v>47</v>
      </c>
      <c r="Q110" s="44">
        <v>100</v>
      </c>
      <c r="R110" s="37">
        <v>0</v>
      </c>
      <c r="S110" s="37" t="s">
        <v>200</v>
      </c>
      <c r="T110" s="54" t="s">
        <v>789</v>
      </c>
      <c r="U110" s="30">
        <f>M110/W110</f>
        <v>30.39</v>
      </c>
      <c r="V110" s="57" t="s">
        <v>790</v>
      </c>
      <c r="W110" s="41">
        <f t="shared" si="29"/>
        <v>1087320</v>
      </c>
      <c r="X110" s="41">
        <v>1087320</v>
      </c>
      <c r="Y110" s="41">
        <v>125400</v>
      </c>
      <c r="Z110" s="41">
        <v>3810906</v>
      </c>
      <c r="AA110" s="41">
        <v>961920</v>
      </c>
      <c r="AB110" s="41">
        <v>29232748.800000001</v>
      </c>
      <c r="AC110" s="41"/>
      <c r="AD110" s="41"/>
      <c r="AE110" s="41">
        <v>0</v>
      </c>
      <c r="AF110" s="41"/>
      <c r="AG110" s="41">
        <v>0</v>
      </c>
      <c r="AH110" s="41"/>
      <c r="AI110" s="41"/>
      <c r="AJ110" s="41">
        <v>0</v>
      </c>
      <c r="AK110" s="41"/>
      <c r="AL110" s="41">
        <v>0</v>
      </c>
      <c r="AM110" s="41">
        <f t="shared" si="32"/>
        <v>3810906</v>
      </c>
      <c r="AN110" s="41">
        <v>10269</v>
      </c>
      <c r="AO110" s="41">
        <f t="shared" si="31"/>
        <v>10269</v>
      </c>
      <c r="AP110" s="40"/>
      <c r="AQ110" s="36">
        <v>44986</v>
      </c>
      <c r="AR110" s="36"/>
      <c r="AS110" s="36"/>
      <c r="AT110" s="36">
        <v>45000</v>
      </c>
      <c r="AU110" s="36"/>
      <c r="AV110" s="38"/>
      <c r="AW110" s="40" t="s">
        <v>87</v>
      </c>
    </row>
    <row r="111" spans="1:49" s="34" customFormat="1" ht="72" x14ac:dyDescent="0.3">
      <c r="A111" s="39" t="s">
        <v>791</v>
      </c>
      <c r="B111" s="36">
        <v>44704</v>
      </c>
      <c r="C111" s="37">
        <v>1416</v>
      </c>
      <c r="D111" s="39" t="s">
        <v>792</v>
      </c>
      <c r="E111" s="1" t="s">
        <v>793</v>
      </c>
      <c r="F111" s="36">
        <v>44734</v>
      </c>
      <c r="G111" s="39" t="s">
        <v>794</v>
      </c>
      <c r="H111" s="40" t="s">
        <v>186</v>
      </c>
      <c r="I111" s="40" t="s">
        <v>795</v>
      </c>
      <c r="J111" s="41">
        <v>764891376</v>
      </c>
      <c r="K111" s="41">
        <v>764891376</v>
      </c>
      <c r="L111" s="30">
        <f t="shared" si="28"/>
        <v>764891376</v>
      </c>
      <c r="M111" s="30">
        <f t="shared" si="28"/>
        <v>764891376</v>
      </c>
      <c r="N111" s="40" t="s">
        <v>796</v>
      </c>
      <c r="O111" s="40" t="s">
        <v>797</v>
      </c>
      <c r="P111" s="40" t="s">
        <v>47</v>
      </c>
      <c r="Q111" s="44">
        <v>100</v>
      </c>
      <c r="R111" s="37">
        <v>0</v>
      </c>
      <c r="S111" s="37" t="s">
        <v>219</v>
      </c>
      <c r="T111" s="48">
        <v>15</v>
      </c>
      <c r="U111" s="30">
        <f>M111/W111</f>
        <v>401.6</v>
      </c>
      <c r="V111" s="41">
        <f t="shared" ref="V111:V124" si="33">U111*T111</f>
        <v>6024</v>
      </c>
      <c r="W111" s="41">
        <f t="shared" si="29"/>
        <v>1904610</v>
      </c>
      <c r="X111" s="41">
        <v>975000</v>
      </c>
      <c r="Y111" s="41">
        <v>724320</v>
      </c>
      <c r="Z111" s="41">
        <v>290886912</v>
      </c>
      <c r="AA111" s="41">
        <v>250680</v>
      </c>
      <c r="AB111" s="41">
        <v>100673088</v>
      </c>
      <c r="AC111" s="41">
        <v>929610</v>
      </c>
      <c r="AD111" s="41">
        <v>238995</v>
      </c>
      <c r="AE111" s="41">
        <v>95980392</v>
      </c>
      <c r="AF111" s="41">
        <v>690615</v>
      </c>
      <c r="AG111" s="41">
        <v>277350984</v>
      </c>
      <c r="AH111" s="41"/>
      <c r="AI111" s="41"/>
      <c r="AJ111" s="41">
        <v>0</v>
      </c>
      <c r="AK111" s="41"/>
      <c r="AL111" s="41">
        <v>0</v>
      </c>
      <c r="AM111" s="41">
        <f t="shared" si="32"/>
        <v>386867304</v>
      </c>
      <c r="AN111" s="41">
        <f t="shared" ref="AN111:AN124" si="34">W111/T111</f>
        <v>126974</v>
      </c>
      <c r="AO111" s="41">
        <f t="shared" si="31"/>
        <v>126974</v>
      </c>
      <c r="AP111" s="40"/>
      <c r="AQ111" s="36">
        <v>44986</v>
      </c>
      <c r="AR111" s="36"/>
      <c r="AS111" s="36"/>
      <c r="AT111" s="36">
        <v>45000</v>
      </c>
      <c r="AU111" s="36"/>
      <c r="AV111" s="38"/>
      <c r="AW111" s="40" t="s">
        <v>87</v>
      </c>
    </row>
    <row r="112" spans="1:49" s="34" customFormat="1" ht="72" x14ac:dyDescent="0.3">
      <c r="A112" s="39" t="s">
        <v>798</v>
      </c>
      <c r="B112" s="36">
        <v>44704</v>
      </c>
      <c r="C112" s="37">
        <v>1416</v>
      </c>
      <c r="D112" s="39" t="s">
        <v>799</v>
      </c>
      <c r="E112" s="1" t="s">
        <v>800</v>
      </c>
      <c r="F112" s="36">
        <v>44733</v>
      </c>
      <c r="G112" s="39" t="s">
        <v>801</v>
      </c>
      <c r="H112" s="40" t="s">
        <v>802</v>
      </c>
      <c r="I112" s="40" t="s">
        <v>803</v>
      </c>
      <c r="J112" s="41">
        <v>346948473.60000002</v>
      </c>
      <c r="K112" s="41">
        <v>346948473.60000002</v>
      </c>
      <c r="L112" s="30">
        <f t="shared" si="28"/>
        <v>346948473.60000002</v>
      </c>
      <c r="M112" s="30">
        <f t="shared" si="28"/>
        <v>346948473.60000002</v>
      </c>
      <c r="N112" s="40" t="s">
        <v>804</v>
      </c>
      <c r="O112" s="40" t="s">
        <v>805</v>
      </c>
      <c r="P112" s="40" t="s">
        <v>218</v>
      </c>
      <c r="Q112" s="44">
        <v>0</v>
      </c>
      <c r="R112" s="37">
        <v>100</v>
      </c>
      <c r="S112" s="37" t="s">
        <v>219</v>
      </c>
      <c r="T112" s="48">
        <v>5</v>
      </c>
      <c r="U112" s="30">
        <f>M112/W112</f>
        <v>7950.2400000000007</v>
      </c>
      <c r="V112" s="41">
        <f t="shared" si="33"/>
        <v>39751.200000000004</v>
      </c>
      <c r="W112" s="41">
        <f t="shared" si="29"/>
        <v>43640</v>
      </c>
      <c r="X112" s="41">
        <v>43640</v>
      </c>
      <c r="Y112" s="41">
        <v>24300</v>
      </c>
      <c r="Z112" s="41">
        <v>193190832.00000003</v>
      </c>
      <c r="AA112" s="41">
        <v>19340</v>
      </c>
      <c r="AB112" s="41">
        <v>153757641.60000002</v>
      </c>
      <c r="AC112" s="41"/>
      <c r="AD112" s="41"/>
      <c r="AE112" s="41">
        <v>0</v>
      </c>
      <c r="AF112" s="41"/>
      <c r="AG112" s="41">
        <v>0</v>
      </c>
      <c r="AH112" s="41"/>
      <c r="AI112" s="41"/>
      <c r="AJ112" s="41">
        <v>0</v>
      </c>
      <c r="AK112" s="41"/>
      <c r="AL112" s="41">
        <v>0</v>
      </c>
      <c r="AM112" s="41">
        <f t="shared" si="32"/>
        <v>193190832.00000003</v>
      </c>
      <c r="AN112" s="41">
        <f t="shared" si="34"/>
        <v>8728</v>
      </c>
      <c r="AO112" s="41">
        <f t="shared" si="31"/>
        <v>8728</v>
      </c>
      <c r="AP112" s="40"/>
      <c r="AQ112" s="36">
        <v>44986</v>
      </c>
      <c r="AR112" s="36"/>
      <c r="AS112" s="36"/>
      <c r="AT112" s="36"/>
      <c r="AU112" s="36"/>
      <c r="AV112" s="38"/>
      <c r="AW112" s="40" t="s">
        <v>87</v>
      </c>
    </row>
    <row r="113" spans="1:49" ht="72" x14ac:dyDescent="0.3">
      <c r="A113" s="39" t="s">
        <v>806</v>
      </c>
      <c r="B113" s="36">
        <v>44704</v>
      </c>
      <c r="C113" s="37">
        <v>1416</v>
      </c>
      <c r="D113" s="39" t="s">
        <v>807</v>
      </c>
      <c r="E113" s="1" t="s">
        <v>808</v>
      </c>
      <c r="F113" s="36">
        <v>44739</v>
      </c>
      <c r="G113" s="39" t="s">
        <v>809</v>
      </c>
      <c r="H113" s="40" t="s">
        <v>810</v>
      </c>
      <c r="I113" s="40" t="s">
        <v>811</v>
      </c>
      <c r="J113" s="62">
        <v>2853730935</v>
      </c>
      <c r="K113" s="41">
        <v>2853730935</v>
      </c>
      <c r="L113" s="30">
        <f t="shared" si="28"/>
        <v>2853730935</v>
      </c>
      <c r="M113" s="30">
        <f t="shared" si="28"/>
        <v>2853730935</v>
      </c>
      <c r="N113" s="40" t="s">
        <v>812</v>
      </c>
      <c r="O113" s="40" t="s">
        <v>813</v>
      </c>
      <c r="P113" s="40" t="s">
        <v>47</v>
      </c>
      <c r="Q113" s="44">
        <v>100</v>
      </c>
      <c r="R113" s="37">
        <v>0</v>
      </c>
      <c r="S113" s="37" t="s">
        <v>219</v>
      </c>
      <c r="T113" s="48">
        <v>30</v>
      </c>
      <c r="U113" s="30">
        <f>M113/W113</f>
        <v>9102.81</v>
      </c>
      <c r="V113" s="41">
        <f t="shared" si="33"/>
        <v>273084.3</v>
      </c>
      <c r="W113" s="41">
        <v>313500</v>
      </c>
      <c r="X113" s="41">
        <v>313500</v>
      </c>
      <c r="Y113" s="41">
        <v>125490</v>
      </c>
      <c r="Z113" s="41">
        <f>Y113*U113</f>
        <v>1142311626.8999999</v>
      </c>
      <c r="AA113" s="41">
        <v>188010</v>
      </c>
      <c r="AB113" s="41">
        <f>AA113*U113</f>
        <v>1711419308.0999999</v>
      </c>
      <c r="AC113" s="41"/>
      <c r="AD113" s="41"/>
      <c r="AE113" s="41"/>
      <c r="AF113" s="41"/>
      <c r="AG113" s="41"/>
      <c r="AH113" s="41"/>
      <c r="AI113" s="41"/>
      <c r="AJ113" s="41"/>
      <c r="AK113" s="41"/>
      <c r="AL113" s="41"/>
      <c r="AM113" s="41">
        <f t="shared" si="32"/>
        <v>1142311626.8999999</v>
      </c>
      <c r="AN113" s="41">
        <f t="shared" si="34"/>
        <v>10450</v>
      </c>
      <c r="AO113" s="41">
        <f t="shared" si="31"/>
        <v>10450</v>
      </c>
      <c r="AP113" s="40"/>
      <c r="AQ113" s="36">
        <v>44986</v>
      </c>
      <c r="AR113" s="36"/>
      <c r="AS113" s="36"/>
      <c r="AT113" s="36">
        <v>45000</v>
      </c>
      <c r="AU113" s="36"/>
      <c r="AV113" s="38"/>
      <c r="AW113" s="40" t="s">
        <v>87</v>
      </c>
    </row>
    <row r="114" spans="1:49" ht="93.6" x14ac:dyDescent="0.3">
      <c r="A114" s="39" t="s">
        <v>814</v>
      </c>
      <c r="B114" s="36">
        <v>44704</v>
      </c>
      <c r="C114" s="37">
        <v>1416</v>
      </c>
      <c r="D114" s="39" t="s">
        <v>815</v>
      </c>
      <c r="E114" s="1" t="s">
        <v>816</v>
      </c>
      <c r="F114" s="36">
        <v>44729</v>
      </c>
      <c r="G114" s="37" t="s">
        <v>817</v>
      </c>
      <c r="H114" s="40" t="s">
        <v>186</v>
      </c>
      <c r="I114" s="40" t="s">
        <v>818</v>
      </c>
      <c r="J114" s="41">
        <v>94399395</v>
      </c>
      <c r="K114" s="41">
        <v>94399395</v>
      </c>
      <c r="L114" s="30">
        <f t="shared" si="28"/>
        <v>94399395</v>
      </c>
      <c r="M114" s="30">
        <f t="shared" si="28"/>
        <v>94399395</v>
      </c>
      <c r="N114" s="40" t="s">
        <v>819</v>
      </c>
      <c r="O114" s="40" t="s">
        <v>820</v>
      </c>
      <c r="P114" s="40" t="s">
        <v>47</v>
      </c>
      <c r="Q114" s="44">
        <v>100</v>
      </c>
      <c r="R114" s="37">
        <v>0</v>
      </c>
      <c r="S114" s="37" t="s">
        <v>584</v>
      </c>
      <c r="T114" s="48">
        <v>15</v>
      </c>
      <c r="U114" s="30">
        <f>M114/W114</f>
        <v>136.9</v>
      </c>
      <c r="V114" s="41">
        <f t="shared" si="33"/>
        <v>2053.5</v>
      </c>
      <c r="W114" s="41">
        <f t="shared" ref="W114:W177" si="35">X114+AC114+AH114</f>
        <v>689550</v>
      </c>
      <c r="X114" s="41">
        <v>689550</v>
      </c>
      <c r="Y114" s="41">
        <v>673448</v>
      </c>
      <c r="Z114" s="41">
        <f>Y114*U114</f>
        <v>92195031.200000003</v>
      </c>
      <c r="AA114" s="41">
        <v>16102</v>
      </c>
      <c r="AB114" s="41">
        <f>AA114*U114</f>
        <v>2204363.8000000003</v>
      </c>
      <c r="AC114" s="41"/>
      <c r="AD114" s="41"/>
      <c r="AE114" s="41"/>
      <c r="AF114" s="41"/>
      <c r="AG114" s="41"/>
      <c r="AH114" s="41"/>
      <c r="AI114" s="41"/>
      <c r="AJ114" s="41"/>
      <c r="AK114" s="41"/>
      <c r="AL114" s="41"/>
      <c r="AM114" s="41">
        <f t="shared" si="32"/>
        <v>92195031.200000003</v>
      </c>
      <c r="AN114" s="41">
        <f t="shared" si="34"/>
        <v>45970</v>
      </c>
      <c r="AO114" s="41">
        <f t="shared" si="31"/>
        <v>45970</v>
      </c>
      <c r="AP114" s="40"/>
      <c r="AQ114" s="36">
        <v>44986</v>
      </c>
      <c r="AR114" s="36"/>
      <c r="AS114" s="36"/>
      <c r="AT114" s="36">
        <v>45000</v>
      </c>
      <c r="AU114" s="36"/>
      <c r="AV114" s="38"/>
      <c r="AW114" s="40" t="s">
        <v>87</v>
      </c>
    </row>
    <row r="115" spans="1:49" ht="134.25" customHeight="1" x14ac:dyDescent="0.3">
      <c r="A115" s="39" t="s">
        <v>821</v>
      </c>
      <c r="B115" s="36">
        <v>44705</v>
      </c>
      <c r="C115" s="37">
        <v>1416</v>
      </c>
      <c r="D115" s="39" t="s">
        <v>822</v>
      </c>
      <c r="E115" s="1" t="s">
        <v>728</v>
      </c>
      <c r="F115" s="36">
        <v>44727</v>
      </c>
      <c r="G115" s="39" t="s">
        <v>823</v>
      </c>
      <c r="H115" s="40" t="s">
        <v>186</v>
      </c>
      <c r="I115" s="40" t="s">
        <v>824</v>
      </c>
      <c r="J115" s="41">
        <v>11908450</v>
      </c>
      <c r="K115" s="41">
        <v>11908450</v>
      </c>
      <c r="L115" s="30">
        <f t="shared" si="28"/>
        <v>11908450</v>
      </c>
      <c r="M115" s="30">
        <f t="shared" si="28"/>
        <v>11908450</v>
      </c>
      <c r="N115" s="40" t="s">
        <v>671</v>
      </c>
      <c r="O115" s="40" t="s">
        <v>825</v>
      </c>
      <c r="P115" s="40" t="s">
        <v>47</v>
      </c>
      <c r="Q115" s="44">
        <v>100</v>
      </c>
      <c r="R115" s="37">
        <v>0</v>
      </c>
      <c r="S115" s="37" t="s">
        <v>229</v>
      </c>
      <c r="T115" s="48">
        <v>500</v>
      </c>
      <c r="U115" s="30">
        <f>M115/W115</f>
        <v>7.85</v>
      </c>
      <c r="V115" s="41">
        <f t="shared" si="33"/>
        <v>3925</v>
      </c>
      <c r="W115" s="41">
        <f t="shared" si="35"/>
        <v>1517000</v>
      </c>
      <c r="X115" s="41">
        <v>1517000</v>
      </c>
      <c r="Y115" s="41">
        <v>165000</v>
      </c>
      <c r="Z115" s="41">
        <v>1295250</v>
      </c>
      <c r="AA115" s="41">
        <v>1352000</v>
      </c>
      <c r="AB115" s="41">
        <v>10613200</v>
      </c>
      <c r="AC115" s="41">
        <v>0</v>
      </c>
      <c r="AD115" s="41">
        <v>0</v>
      </c>
      <c r="AE115" s="41">
        <v>0</v>
      </c>
      <c r="AF115" s="41">
        <v>0</v>
      </c>
      <c r="AG115" s="41">
        <v>0</v>
      </c>
      <c r="AH115" s="41">
        <v>0</v>
      </c>
      <c r="AI115" s="41">
        <v>0</v>
      </c>
      <c r="AJ115" s="41">
        <v>0</v>
      </c>
      <c r="AK115" s="41">
        <v>0</v>
      </c>
      <c r="AL115" s="41">
        <v>0</v>
      </c>
      <c r="AM115" s="41">
        <f>Z115+AE115+AJ115</f>
        <v>1295250</v>
      </c>
      <c r="AN115" s="41">
        <f t="shared" si="34"/>
        <v>3034</v>
      </c>
      <c r="AO115" s="41">
        <f t="shared" si="31"/>
        <v>3034</v>
      </c>
      <c r="AP115" s="40"/>
      <c r="AQ115" s="36">
        <v>44986</v>
      </c>
      <c r="AR115" s="36"/>
      <c r="AS115" s="36"/>
      <c r="AT115" s="36">
        <v>45000</v>
      </c>
      <c r="AU115" s="36"/>
      <c r="AV115" s="38"/>
      <c r="AW115" s="40" t="s">
        <v>87</v>
      </c>
    </row>
    <row r="116" spans="1:49" ht="150" customHeight="1" x14ac:dyDescent="0.3">
      <c r="A116" s="39" t="s">
        <v>826</v>
      </c>
      <c r="B116" s="36">
        <v>44705</v>
      </c>
      <c r="C116" s="37">
        <v>1416</v>
      </c>
      <c r="D116" s="39" t="s">
        <v>827</v>
      </c>
      <c r="E116" s="1" t="s">
        <v>828</v>
      </c>
      <c r="F116" s="36">
        <v>44726</v>
      </c>
      <c r="G116" s="39" t="s">
        <v>829</v>
      </c>
      <c r="H116" s="40" t="s">
        <v>224</v>
      </c>
      <c r="I116" s="40" t="s">
        <v>830</v>
      </c>
      <c r="J116" s="41">
        <v>130502064</v>
      </c>
      <c r="K116" s="41">
        <v>130502064</v>
      </c>
      <c r="L116" s="30">
        <f t="shared" si="28"/>
        <v>130502064</v>
      </c>
      <c r="M116" s="30">
        <f t="shared" si="28"/>
        <v>130502064</v>
      </c>
      <c r="N116" s="40" t="s">
        <v>831</v>
      </c>
      <c r="O116" s="40" t="s">
        <v>832</v>
      </c>
      <c r="P116" s="40" t="s">
        <v>263</v>
      </c>
      <c r="Q116" s="44">
        <v>0</v>
      </c>
      <c r="R116" s="37">
        <v>100</v>
      </c>
      <c r="S116" s="37" t="s">
        <v>229</v>
      </c>
      <c r="T116" s="48">
        <v>400</v>
      </c>
      <c r="U116" s="30">
        <f>M116/W116</f>
        <v>29.48</v>
      </c>
      <c r="V116" s="41">
        <f t="shared" si="33"/>
        <v>11792</v>
      </c>
      <c r="W116" s="41">
        <f t="shared" si="35"/>
        <v>4426800</v>
      </c>
      <c r="X116" s="41">
        <v>4426800</v>
      </c>
      <c r="Y116" s="41"/>
      <c r="Z116" s="41"/>
      <c r="AA116" s="41"/>
      <c r="AB116" s="41"/>
      <c r="AC116" s="41"/>
      <c r="AD116" s="41"/>
      <c r="AE116" s="41"/>
      <c r="AF116" s="41"/>
      <c r="AG116" s="41"/>
      <c r="AH116" s="41"/>
      <c r="AI116" s="41"/>
      <c r="AJ116" s="41"/>
      <c r="AK116" s="41"/>
      <c r="AL116" s="41"/>
      <c r="AM116" s="41">
        <f>Z116+AE116+AJ116</f>
        <v>0</v>
      </c>
      <c r="AN116" s="41">
        <f t="shared" si="34"/>
        <v>11067</v>
      </c>
      <c r="AO116" s="41">
        <f t="shared" si="31"/>
        <v>11067</v>
      </c>
      <c r="AP116" s="40"/>
      <c r="AQ116" s="36">
        <v>44986</v>
      </c>
      <c r="AR116" s="36"/>
      <c r="AS116" s="36"/>
      <c r="AT116" s="36">
        <v>45000</v>
      </c>
      <c r="AU116" s="36"/>
      <c r="AV116" s="38"/>
      <c r="AW116" s="40" t="s">
        <v>87</v>
      </c>
    </row>
    <row r="117" spans="1:49" ht="125.25" customHeight="1" x14ac:dyDescent="0.3">
      <c r="A117" s="39" t="s">
        <v>833</v>
      </c>
      <c r="B117" s="36">
        <v>44705</v>
      </c>
      <c r="C117" s="37">
        <v>1416</v>
      </c>
      <c r="D117" s="39" t="s">
        <v>834</v>
      </c>
      <c r="E117" s="1" t="s">
        <v>835</v>
      </c>
      <c r="F117" s="36">
        <v>44727</v>
      </c>
      <c r="G117" s="39" t="s">
        <v>836</v>
      </c>
      <c r="H117" s="40" t="s">
        <v>224</v>
      </c>
      <c r="I117" s="40" t="s">
        <v>837</v>
      </c>
      <c r="J117" s="57">
        <v>266280000</v>
      </c>
      <c r="K117" s="41">
        <v>266280000</v>
      </c>
      <c r="L117" s="30">
        <f t="shared" si="28"/>
        <v>266280000</v>
      </c>
      <c r="M117" s="30">
        <f t="shared" si="28"/>
        <v>266280000</v>
      </c>
      <c r="N117" s="40" t="s">
        <v>780</v>
      </c>
      <c r="O117" s="40" t="s">
        <v>838</v>
      </c>
      <c r="P117" s="40" t="s">
        <v>218</v>
      </c>
      <c r="Q117" s="44">
        <v>0</v>
      </c>
      <c r="R117" s="37">
        <v>100</v>
      </c>
      <c r="S117" s="37" t="s">
        <v>229</v>
      </c>
      <c r="T117" s="48">
        <v>1200</v>
      </c>
      <c r="U117" s="30">
        <f>M117/W117</f>
        <v>12.68</v>
      </c>
      <c r="V117" s="41">
        <f t="shared" si="33"/>
        <v>15216</v>
      </c>
      <c r="W117" s="41">
        <f t="shared" si="35"/>
        <v>21000000</v>
      </c>
      <c r="X117" s="41">
        <v>21000000</v>
      </c>
      <c r="Y117" s="41">
        <v>7490400</v>
      </c>
      <c r="Z117" s="41">
        <f>Y117*U117</f>
        <v>94978272</v>
      </c>
      <c r="AA117" s="41">
        <v>13509600</v>
      </c>
      <c r="AB117" s="41">
        <f>AA117*U117</f>
        <v>171301728</v>
      </c>
      <c r="AC117" s="41"/>
      <c r="AD117" s="41"/>
      <c r="AE117" s="41"/>
      <c r="AF117" s="41"/>
      <c r="AG117" s="41"/>
      <c r="AH117" s="41"/>
      <c r="AI117" s="41"/>
      <c r="AJ117" s="41"/>
      <c r="AK117" s="41"/>
      <c r="AL117" s="41"/>
      <c r="AM117" s="41">
        <f>Z117+AE117+AJ117</f>
        <v>94978272</v>
      </c>
      <c r="AN117" s="41">
        <f t="shared" si="34"/>
        <v>17500</v>
      </c>
      <c r="AO117" s="41">
        <f t="shared" si="31"/>
        <v>17500</v>
      </c>
      <c r="AP117" s="40"/>
      <c r="AQ117" s="36">
        <v>44986</v>
      </c>
      <c r="AR117" s="36"/>
      <c r="AS117" s="36"/>
      <c r="AT117" s="36">
        <v>44986</v>
      </c>
      <c r="AU117" s="36"/>
      <c r="AV117" s="38"/>
      <c r="AW117" s="40" t="s">
        <v>87</v>
      </c>
    </row>
    <row r="118" spans="1:49" ht="197.25" customHeight="1" x14ac:dyDescent="0.3">
      <c r="A118" s="39" t="s">
        <v>839</v>
      </c>
      <c r="B118" s="36">
        <v>44705</v>
      </c>
      <c r="C118" s="37">
        <v>1416</v>
      </c>
      <c r="D118" s="39" t="s">
        <v>840</v>
      </c>
      <c r="E118" s="1" t="s">
        <v>841</v>
      </c>
      <c r="F118" s="36">
        <v>44733</v>
      </c>
      <c r="G118" s="39" t="s">
        <v>842</v>
      </c>
      <c r="H118" s="40" t="s">
        <v>224</v>
      </c>
      <c r="I118" s="40" t="s">
        <v>843</v>
      </c>
      <c r="J118" s="41">
        <v>514563752</v>
      </c>
      <c r="K118" s="41">
        <v>514563752</v>
      </c>
      <c r="L118" s="30">
        <f t="shared" si="28"/>
        <v>514563752</v>
      </c>
      <c r="M118" s="30">
        <f t="shared" si="28"/>
        <v>514563752</v>
      </c>
      <c r="N118" s="40" t="s">
        <v>831</v>
      </c>
      <c r="O118" s="40" t="s">
        <v>844</v>
      </c>
      <c r="P118" s="40" t="s">
        <v>263</v>
      </c>
      <c r="Q118" s="44">
        <v>0</v>
      </c>
      <c r="R118" s="37">
        <v>100</v>
      </c>
      <c r="S118" s="37" t="s">
        <v>229</v>
      </c>
      <c r="T118" s="48">
        <v>800</v>
      </c>
      <c r="U118" s="30">
        <f>M118/W118</f>
        <v>25.33</v>
      </c>
      <c r="V118" s="41">
        <f t="shared" si="33"/>
        <v>20264</v>
      </c>
      <c r="W118" s="41">
        <f t="shared" si="35"/>
        <v>20314400</v>
      </c>
      <c r="X118" s="41">
        <v>20314400</v>
      </c>
      <c r="Y118" s="41">
        <v>8611200</v>
      </c>
      <c r="Z118" s="41">
        <f>Y118*U118</f>
        <v>218121696</v>
      </c>
      <c r="AA118" s="41">
        <v>11703200</v>
      </c>
      <c r="AB118" s="41">
        <f>AA118*U118</f>
        <v>296442056</v>
      </c>
      <c r="AC118" s="41"/>
      <c r="AD118" s="41"/>
      <c r="AE118" s="41"/>
      <c r="AF118" s="41"/>
      <c r="AG118" s="41"/>
      <c r="AH118" s="41"/>
      <c r="AI118" s="41"/>
      <c r="AJ118" s="41"/>
      <c r="AK118" s="41"/>
      <c r="AL118" s="41"/>
      <c r="AM118" s="41">
        <f>Z118+AE118+AJ118</f>
        <v>218121696</v>
      </c>
      <c r="AN118" s="41">
        <f t="shared" si="34"/>
        <v>25393</v>
      </c>
      <c r="AO118" s="41">
        <f t="shared" si="31"/>
        <v>25393</v>
      </c>
      <c r="AP118" s="40"/>
      <c r="AQ118" s="36">
        <v>44986</v>
      </c>
      <c r="AR118" s="36"/>
      <c r="AS118" s="36"/>
      <c r="AT118" s="36">
        <v>45000</v>
      </c>
      <c r="AU118" s="36"/>
      <c r="AV118" s="38"/>
      <c r="AW118" s="40" t="s">
        <v>87</v>
      </c>
    </row>
    <row r="119" spans="1:49" ht="78" x14ac:dyDescent="0.3">
      <c r="A119" s="39" t="s">
        <v>845</v>
      </c>
      <c r="B119" s="36">
        <v>44705</v>
      </c>
      <c r="C119" s="37">
        <v>1416</v>
      </c>
      <c r="D119" s="39" t="s">
        <v>459</v>
      </c>
      <c r="E119" s="1" t="s">
        <v>459</v>
      </c>
      <c r="F119" s="36" t="s">
        <v>459</v>
      </c>
      <c r="G119" s="37" t="s">
        <v>459</v>
      </c>
      <c r="H119" s="40" t="s">
        <v>459</v>
      </c>
      <c r="I119" s="40" t="s">
        <v>846</v>
      </c>
      <c r="J119" s="41">
        <v>123166056</v>
      </c>
      <c r="K119" s="41">
        <v>0</v>
      </c>
      <c r="L119" s="30">
        <f t="shared" si="28"/>
        <v>0</v>
      </c>
      <c r="M119" s="30">
        <f t="shared" si="28"/>
        <v>0</v>
      </c>
      <c r="N119" s="40"/>
      <c r="O119" s="40"/>
      <c r="P119" s="40"/>
      <c r="Q119" s="44"/>
      <c r="R119" s="37"/>
      <c r="S119" s="37"/>
      <c r="T119" s="48"/>
      <c r="U119" s="30" t="e">
        <f>M119/W119</f>
        <v>#DIV/0!</v>
      </c>
      <c r="V119" s="41" t="e">
        <f t="shared" si="33"/>
        <v>#DIV/0!</v>
      </c>
      <c r="W119" s="41">
        <f t="shared" si="35"/>
        <v>0</v>
      </c>
      <c r="X119" s="41"/>
      <c r="Y119" s="41"/>
      <c r="Z119" s="41"/>
      <c r="AA119" s="41"/>
      <c r="AB119" s="41"/>
      <c r="AC119" s="41"/>
      <c r="AD119" s="41"/>
      <c r="AE119" s="41"/>
      <c r="AF119" s="41"/>
      <c r="AG119" s="41"/>
      <c r="AH119" s="41"/>
      <c r="AI119" s="41"/>
      <c r="AJ119" s="41"/>
      <c r="AK119" s="41"/>
      <c r="AL119" s="41"/>
      <c r="AM119" s="41"/>
      <c r="AN119" s="41" t="e">
        <f t="shared" si="34"/>
        <v>#DIV/0!</v>
      </c>
      <c r="AO119" s="41" t="e">
        <f t="shared" si="31"/>
        <v>#DIV/0!</v>
      </c>
      <c r="AP119" s="40"/>
      <c r="AQ119" s="36"/>
      <c r="AR119" s="36"/>
      <c r="AS119" s="36"/>
      <c r="AT119" s="36"/>
      <c r="AU119" s="36"/>
      <c r="AV119" s="38"/>
      <c r="AW119" s="40"/>
    </row>
    <row r="120" spans="1:49" ht="179.25" customHeight="1" x14ac:dyDescent="0.3">
      <c r="A120" s="73" t="s">
        <v>847</v>
      </c>
      <c r="B120" s="74">
        <v>44708</v>
      </c>
      <c r="C120" s="75">
        <v>1416</v>
      </c>
      <c r="D120" s="73" t="s">
        <v>848</v>
      </c>
      <c r="E120" s="1" t="s">
        <v>849</v>
      </c>
      <c r="F120" s="74">
        <v>44729</v>
      </c>
      <c r="G120" s="73" t="s">
        <v>850</v>
      </c>
      <c r="H120" s="33" t="s">
        <v>571</v>
      </c>
      <c r="I120" s="33" t="s">
        <v>851</v>
      </c>
      <c r="J120" s="76">
        <v>35425048</v>
      </c>
      <c r="K120" s="41">
        <v>35425048</v>
      </c>
      <c r="L120" s="30">
        <f t="shared" si="28"/>
        <v>35425048</v>
      </c>
      <c r="M120" s="30">
        <f t="shared" si="28"/>
        <v>35425048</v>
      </c>
      <c r="N120" s="33" t="s">
        <v>852</v>
      </c>
      <c r="O120" s="33" t="s">
        <v>853</v>
      </c>
      <c r="P120" s="33" t="s">
        <v>47</v>
      </c>
      <c r="Q120" s="77">
        <v>100</v>
      </c>
      <c r="R120" s="75">
        <v>0</v>
      </c>
      <c r="S120" s="75" t="s">
        <v>200</v>
      </c>
      <c r="T120" s="78">
        <v>20</v>
      </c>
      <c r="U120" s="30">
        <f>M120/W120</f>
        <v>594.38</v>
      </c>
      <c r="V120" s="41">
        <f t="shared" si="33"/>
        <v>11887.6</v>
      </c>
      <c r="W120" s="41">
        <f t="shared" si="35"/>
        <v>59600</v>
      </c>
      <c r="X120" s="76">
        <v>59600</v>
      </c>
      <c r="Y120" s="76"/>
      <c r="Z120" s="76"/>
      <c r="AA120" s="76"/>
      <c r="AB120" s="76"/>
      <c r="AC120" s="76"/>
      <c r="AD120" s="76"/>
      <c r="AE120" s="76"/>
      <c r="AF120" s="76"/>
      <c r="AG120" s="76"/>
      <c r="AH120" s="76"/>
      <c r="AI120" s="76"/>
      <c r="AJ120" s="76"/>
      <c r="AK120" s="76"/>
      <c r="AL120" s="76"/>
      <c r="AM120" s="41">
        <f t="shared" ref="AM120:AM130" si="36">Z120+AE120+AJ120</f>
        <v>0</v>
      </c>
      <c r="AN120" s="41">
        <f t="shared" si="34"/>
        <v>2980</v>
      </c>
      <c r="AO120" s="41">
        <f t="shared" si="31"/>
        <v>2980</v>
      </c>
      <c r="AP120" s="33"/>
      <c r="AQ120" s="74">
        <v>44986</v>
      </c>
      <c r="AR120" s="74"/>
      <c r="AS120" s="74"/>
      <c r="AT120" s="74">
        <v>45000</v>
      </c>
      <c r="AU120" s="74"/>
      <c r="AV120" s="32"/>
      <c r="AW120" s="40" t="s">
        <v>87</v>
      </c>
    </row>
    <row r="121" spans="1:49" ht="141.75" customHeight="1" x14ac:dyDescent="0.3">
      <c r="A121" s="39" t="s">
        <v>854</v>
      </c>
      <c r="B121" s="36">
        <v>44708</v>
      </c>
      <c r="C121" s="37">
        <v>1416</v>
      </c>
      <c r="D121" s="39" t="s">
        <v>855</v>
      </c>
      <c r="E121" s="1" t="s">
        <v>856</v>
      </c>
      <c r="F121" s="36">
        <v>44739</v>
      </c>
      <c r="G121" s="37" t="s">
        <v>857</v>
      </c>
      <c r="H121" s="40" t="s">
        <v>858</v>
      </c>
      <c r="I121" s="40" t="s">
        <v>460</v>
      </c>
      <c r="J121" s="41">
        <v>761721856</v>
      </c>
      <c r="K121" s="41">
        <v>380860928</v>
      </c>
      <c r="L121" s="30">
        <f t="shared" si="28"/>
        <v>380860928</v>
      </c>
      <c r="M121" s="30">
        <v>761721856</v>
      </c>
      <c r="N121" s="40" t="s">
        <v>389</v>
      </c>
      <c r="O121" s="40" t="s">
        <v>859</v>
      </c>
      <c r="P121" s="40" t="s">
        <v>47</v>
      </c>
      <c r="Q121" s="37">
        <v>100</v>
      </c>
      <c r="R121" s="37">
        <v>0</v>
      </c>
      <c r="S121" s="37" t="s">
        <v>219</v>
      </c>
      <c r="T121" s="48">
        <v>28</v>
      </c>
      <c r="U121" s="30">
        <f>M121/W121</f>
        <v>258.39999999999998</v>
      </c>
      <c r="V121" s="41">
        <f t="shared" si="33"/>
        <v>7235.1999999999989</v>
      </c>
      <c r="W121" s="41">
        <f t="shared" si="35"/>
        <v>2947840</v>
      </c>
      <c r="X121" s="41">
        <v>1473920</v>
      </c>
      <c r="Y121" s="41">
        <v>1232</v>
      </c>
      <c r="Z121" s="41">
        <f>Y121*U121</f>
        <v>318348.79999999999</v>
      </c>
      <c r="AA121" s="41">
        <v>1472688</v>
      </c>
      <c r="AB121" s="41">
        <f>AA121*U121</f>
        <v>380542579.19999999</v>
      </c>
      <c r="AC121" s="41">
        <v>1473920</v>
      </c>
      <c r="AD121" s="41"/>
      <c r="AE121" s="41"/>
      <c r="AF121" s="41"/>
      <c r="AG121" s="41"/>
      <c r="AH121" s="41"/>
      <c r="AI121" s="41"/>
      <c r="AJ121" s="41"/>
      <c r="AK121" s="41"/>
      <c r="AL121" s="41"/>
      <c r="AM121" s="41">
        <f t="shared" si="36"/>
        <v>318348.79999999999</v>
      </c>
      <c r="AN121" s="41">
        <f t="shared" si="34"/>
        <v>105280</v>
      </c>
      <c r="AO121" s="41">
        <f t="shared" si="31"/>
        <v>105280</v>
      </c>
      <c r="AP121" s="40"/>
      <c r="AQ121" s="36">
        <v>44958</v>
      </c>
      <c r="AR121" s="36">
        <v>45323</v>
      </c>
      <c r="AS121" s="36"/>
      <c r="AT121" s="36">
        <v>44972</v>
      </c>
      <c r="AU121" s="36">
        <v>45337</v>
      </c>
      <c r="AV121" s="38"/>
      <c r="AW121" s="40" t="s">
        <v>302</v>
      </c>
    </row>
    <row r="122" spans="1:49" ht="72" x14ac:dyDescent="0.3">
      <c r="A122" s="39" t="s">
        <v>860</v>
      </c>
      <c r="B122" s="36">
        <v>44706</v>
      </c>
      <c r="C122" s="37">
        <v>1416</v>
      </c>
      <c r="D122" s="39" t="s">
        <v>861</v>
      </c>
      <c r="E122" s="1" t="s">
        <v>862</v>
      </c>
      <c r="F122" s="36">
        <v>44729</v>
      </c>
      <c r="G122" s="37" t="s">
        <v>863</v>
      </c>
      <c r="H122" s="40" t="s">
        <v>186</v>
      </c>
      <c r="I122" s="40" t="s">
        <v>864</v>
      </c>
      <c r="J122" s="41">
        <v>274032460.80000001</v>
      </c>
      <c r="K122" s="41">
        <v>137016230.40000001</v>
      </c>
      <c r="L122" s="30">
        <f t="shared" si="28"/>
        <v>137016230.40000001</v>
      </c>
      <c r="M122" s="30">
        <v>274032460.80000001</v>
      </c>
      <c r="N122" s="40" t="s">
        <v>865</v>
      </c>
      <c r="O122" s="40" t="s">
        <v>866</v>
      </c>
      <c r="P122" s="40" t="s">
        <v>357</v>
      </c>
      <c r="Q122" s="44">
        <v>0</v>
      </c>
      <c r="R122" s="37">
        <v>100</v>
      </c>
      <c r="S122" s="37" t="s">
        <v>219</v>
      </c>
      <c r="T122" s="48">
        <v>10</v>
      </c>
      <c r="U122" s="30">
        <f>M122/W122</f>
        <v>2013.76</v>
      </c>
      <c r="V122" s="41">
        <f t="shared" si="33"/>
        <v>20137.599999999999</v>
      </c>
      <c r="W122" s="41">
        <f t="shared" si="35"/>
        <v>136080</v>
      </c>
      <c r="X122" s="41">
        <v>68040</v>
      </c>
      <c r="Y122" s="41">
        <v>47280</v>
      </c>
      <c r="Z122" s="41">
        <v>95210572.799999997</v>
      </c>
      <c r="AA122" s="41">
        <v>20760</v>
      </c>
      <c r="AB122" s="41">
        <v>41805657.600000001</v>
      </c>
      <c r="AC122" s="41">
        <v>68040</v>
      </c>
      <c r="AD122" s="41"/>
      <c r="AE122" s="41">
        <v>0</v>
      </c>
      <c r="AF122" s="41"/>
      <c r="AG122" s="41">
        <v>0</v>
      </c>
      <c r="AH122" s="41"/>
      <c r="AI122" s="41"/>
      <c r="AJ122" s="41">
        <v>0</v>
      </c>
      <c r="AK122" s="41"/>
      <c r="AL122" s="41">
        <v>0</v>
      </c>
      <c r="AM122" s="41">
        <f t="shared" si="36"/>
        <v>95210572.799999997</v>
      </c>
      <c r="AN122" s="41">
        <f t="shared" si="34"/>
        <v>13608</v>
      </c>
      <c r="AO122" s="41">
        <f t="shared" si="31"/>
        <v>13608</v>
      </c>
      <c r="AP122" s="40"/>
      <c r="AQ122" s="36">
        <v>45031</v>
      </c>
      <c r="AR122" s="36">
        <v>45397</v>
      </c>
      <c r="AS122" s="36"/>
      <c r="AT122" s="36">
        <v>44681</v>
      </c>
      <c r="AU122" s="36">
        <v>45412</v>
      </c>
      <c r="AV122" s="38"/>
      <c r="AW122" s="40" t="s">
        <v>302</v>
      </c>
    </row>
    <row r="123" spans="1:49" ht="116.4" customHeight="1" x14ac:dyDescent="0.3">
      <c r="A123" s="39" t="s">
        <v>867</v>
      </c>
      <c r="B123" s="36">
        <v>44708</v>
      </c>
      <c r="C123" s="37">
        <v>1416</v>
      </c>
      <c r="D123" s="39" t="s">
        <v>868</v>
      </c>
      <c r="E123" s="1" t="s">
        <v>869</v>
      </c>
      <c r="F123" s="36">
        <v>44732</v>
      </c>
      <c r="G123" s="39" t="s">
        <v>870</v>
      </c>
      <c r="H123" s="40" t="s">
        <v>685</v>
      </c>
      <c r="I123" s="40" t="s">
        <v>871</v>
      </c>
      <c r="J123" s="41">
        <v>207458329</v>
      </c>
      <c r="K123" s="41">
        <v>207458313.91999999</v>
      </c>
      <c r="L123" s="30">
        <f t="shared" si="28"/>
        <v>207458313.91999999</v>
      </c>
      <c r="M123" s="30">
        <f>L123</f>
        <v>207458313.91999999</v>
      </c>
      <c r="N123" s="40" t="s">
        <v>872</v>
      </c>
      <c r="O123" s="40" t="s">
        <v>873</v>
      </c>
      <c r="P123" s="40" t="s">
        <v>47</v>
      </c>
      <c r="Q123" s="44">
        <v>100</v>
      </c>
      <c r="R123" s="37">
        <v>0</v>
      </c>
      <c r="S123" s="37" t="s">
        <v>200</v>
      </c>
      <c r="T123" s="48">
        <v>120</v>
      </c>
      <c r="U123" s="30">
        <f>M123/W123</f>
        <v>31.459999999999997</v>
      </c>
      <c r="V123" s="41">
        <f t="shared" si="33"/>
        <v>3775.2</v>
      </c>
      <c r="W123" s="41">
        <f t="shared" si="35"/>
        <v>6594352</v>
      </c>
      <c r="X123" s="41">
        <v>6594352</v>
      </c>
      <c r="Y123" s="41">
        <v>136080</v>
      </c>
      <c r="Z123" s="41">
        <v>4281076.8</v>
      </c>
      <c r="AA123" s="41">
        <v>6458272</v>
      </c>
      <c r="AB123" s="41">
        <v>203177237.11999997</v>
      </c>
      <c r="AC123" s="41"/>
      <c r="AD123" s="41"/>
      <c r="AE123" s="41">
        <v>0</v>
      </c>
      <c r="AF123" s="41"/>
      <c r="AG123" s="41">
        <v>0</v>
      </c>
      <c r="AH123" s="41"/>
      <c r="AI123" s="41"/>
      <c r="AJ123" s="41">
        <v>0</v>
      </c>
      <c r="AK123" s="41"/>
      <c r="AL123" s="41">
        <v>0</v>
      </c>
      <c r="AM123" s="41">
        <f t="shared" si="36"/>
        <v>4281076.8</v>
      </c>
      <c r="AN123" s="41">
        <f t="shared" si="34"/>
        <v>54952.933333333334</v>
      </c>
      <c r="AO123" s="41">
        <f t="shared" si="31"/>
        <v>54953</v>
      </c>
      <c r="AP123" s="40"/>
      <c r="AQ123" s="36">
        <v>44986</v>
      </c>
      <c r="AR123" s="36"/>
      <c r="AS123" s="36"/>
      <c r="AT123" s="36">
        <v>44635</v>
      </c>
      <c r="AU123" s="36"/>
      <c r="AV123" s="38"/>
      <c r="AW123" s="40" t="s">
        <v>87</v>
      </c>
    </row>
    <row r="124" spans="1:49" ht="142.19999999999999" customHeight="1" x14ac:dyDescent="0.3">
      <c r="A124" s="39" t="s">
        <v>874</v>
      </c>
      <c r="B124" s="36">
        <v>44715</v>
      </c>
      <c r="C124" s="37">
        <v>1416</v>
      </c>
      <c r="D124" s="39" t="s">
        <v>875</v>
      </c>
      <c r="E124" s="1" t="s">
        <v>876</v>
      </c>
      <c r="F124" s="36">
        <v>44746</v>
      </c>
      <c r="G124" s="37" t="s">
        <v>877</v>
      </c>
      <c r="H124" s="40" t="s">
        <v>878</v>
      </c>
      <c r="I124" s="40" t="s">
        <v>879</v>
      </c>
      <c r="J124" s="41">
        <v>1240064812.8</v>
      </c>
      <c r="K124" s="41">
        <v>620032406.39999998</v>
      </c>
      <c r="L124" s="30">
        <f t="shared" si="28"/>
        <v>620032406.39999998</v>
      </c>
      <c r="M124" s="30">
        <v>1240064812.8</v>
      </c>
      <c r="N124" s="40" t="s">
        <v>880</v>
      </c>
      <c r="O124" s="40" t="s">
        <v>881</v>
      </c>
      <c r="P124" s="40" t="s">
        <v>583</v>
      </c>
      <c r="Q124" s="44">
        <v>0</v>
      </c>
      <c r="R124" s="37">
        <v>100</v>
      </c>
      <c r="S124" s="37" t="s">
        <v>882</v>
      </c>
      <c r="T124" s="48">
        <v>120</v>
      </c>
      <c r="U124" s="30">
        <f>M124/W124</f>
        <v>142.66999999999999</v>
      </c>
      <c r="V124" s="41">
        <f t="shared" si="33"/>
        <v>17120.399999999998</v>
      </c>
      <c r="W124" s="41">
        <f t="shared" si="35"/>
        <v>8691840</v>
      </c>
      <c r="X124" s="41">
        <v>4345920</v>
      </c>
      <c r="Y124" s="41">
        <v>26760</v>
      </c>
      <c r="Z124" s="41">
        <f>Y124*U124</f>
        <v>3817849.1999999997</v>
      </c>
      <c r="AA124" s="41">
        <v>4319160</v>
      </c>
      <c r="AB124" s="41">
        <f>AA124*U124</f>
        <v>616214557.19999993</v>
      </c>
      <c r="AC124" s="41">
        <v>4345920</v>
      </c>
      <c r="AD124" s="41"/>
      <c r="AE124" s="41"/>
      <c r="AF124" s="41"/>
      <c r="AG124" s="41"/>
      <c r="AH124" s="41"/>
      <c r="AI124" s="41"/>
      <c r="AJ124" s="41"/>
      <c r="AK124" s="41"/>
      <c r="AL124" s="41"/>
      <c r="AM124" s="41">
        <f t="shared" si="36"/>
        <v>3817849.1999999997</v>
      </c>
      <c r="AN124" s="41">
        <f t="shared" si="34"/>
        <v>72432</v>
      </c>
      <c r="AO124" s="41">
        <f t="shared" si="31"/>
        <v>72432</v>
      </c>
      <c r="AP124" s="40"/>
      <c r="AQ124" s="36">
        <v>44986</v>
      </c>
      <c r="AR124" s="36">
        <v>45352</v>
      </c>
      <c r="AS124" s="36"/>
      <c r="AT124" s="36">
        <v>45000</v>
      </c>
      <c r="AU124" s="36">
        <v>45366</v>
      </c>
      <c r="AV124" s="38"/>
      <c r="AW124" s="40" t="s">
        <v>302</v>
      </c>
    </row>
    <row r="125" spans="1:49" ht="141.6" customHeight="1" x14ac:dyDescent="0.3">
      <c r="A125" s="39" t="s">
        <v>883</v>
      </c>
      <c r="B125" s="36">
        <v>44715</v>
      </c>
      <c r="C125" s="37">
        <v>1416</v>
      </c>
      <c r="D125" s="39" t="s">
        <v>884</v>
      </c>
      <c r="E125" s="1" t="s">
        <v>885</v>
      </c>
      <c r="F125" s="36">
        <v>44750</v>
      </c>
      <c r="G125" s="39" t="s">
        <v>886</v>
      </c>
      <c r="H125" s="40" t="s">
        <v>887</v>
      </c>
      <c r="I125" s="40" t="s">
        <v>888</v>
      </c>
      <c r="J125" s="41">
        <v>1340305164.6600001</v>
      </c>
      <c r="K125" s="41">
        <v>1340305164.6600001</v>
      </c>
      <c r="L125" s="30">
        <f t="shared" si="28"/>
        <v>1340305164.6600001</v>
      </c>
      <c r="M125" s="30">
        <f>L125</f>
        <v>1340305164.6600001</v>
      </c>
      <c r="N125" s="40" t="s">
        <v>889</v>
      </c>
      <c r="O125" s="40" t="s">
        <v>890</v>
      </c>
      <c r="P125" s="40" t="s">
        <v>891</v>
      </c>
      <c r="Q125" s="44">
        <v>100</v>
      </c>
      <c r="R125" s="37">
        <v>0</v>
      </c>
      <c r="S125" s="48" t="s">
        <v>200</v>
      </c>
      <c r="T125" s="54" t="s">
        <v>892</v>
      </c>
      <c r="U125" s="30">
        <f>M125/W125</f>
        <v>1212.97</v>
      </c>
      <c r="V125" s="57" t="s">
        <v>893</v>
      </c>
      <c r="W125" s="41">
        <f t="shared" si="35"/>
        <v>1104978</v>
      </c>
      <c r="X125" s="41">
        <v>717981</v>
      </c>
      <c r="Y125" s="41">
        <v>0</v>
      </c>
      <c r="Z125" s="41">
        <v>0</v>
      </c>
      <c r="AA125" s="41">
        <v>0</v>
      </c>
      <c r="AB125" s="41">
        <v>0</v>
      </c>
      <c r="AC125" s="41">
        <v>386997</v>
      </c>
      <c r="AD125" s="41">
        <v>1770</v>
      </c>
      <c r="AE125" s="41">
        <v>2146956.9</v>
      </c>
      <c r="AF125" s="41">
        <v>385227</v>
      </c>
      <c r="AG125" s="41">
        <v>1338158207.76</v>
      </c>
      <c r="AH125" s="41">
        <v>0</v>
      </c>
      <c r="AI125" s="41">
        <v>0</v>
      </c>
      <c r="AJ125" s="41">
        <v>0</v>
      </c>
      <c r="AK125" s="41">
        <v>0</v>
      </c>
      <c r="AL125" s="41">
        <v>0</v>
      </c>
      <c r="AM125" s="41">
        <f t="shared" si="36"/>
        <v>2146956.9</v>
      </c>
      <c r="AN125" s="57" t="s">
        <v>894</v>
      </c>
      <c r="AO125" s="57" t="s">
        <v>895</v>
      </c>
      <c r="AP125" s="40"/>
      <c r="AQ125" s="36">
        <v>44958</v>
      </c>
      <c r="AR125" s="36">
        <v>45047</v>
      </c>
      <c r="AS125" s="36"/>
      <c r="AT125" s="36">
        <v>44972</v>
      </c>
      <c r="AU125" s="36">
        <v>45061</v>
      </c>
      <c r="AV125" s="38"/>
      <c r="AW125" s="40" t="s">
        <v>87</v>
      </c>
    </row>
    <row r="126" spans="1:49" ht="93.6" x14ac:dyDescent="0.3">
      <c r="A126" s="39" t="s">
        <v>896</v>
      </c>
      <c r="B126" s="36">
        <v>44715</v>
      </c>
      <c r="C126" s="37">
        <v>1416</v>
      </c>
      <c r="D126" s="39" t="s">
        <v>897</v>
      </c>
      <c r="E126" s="1" t="s">
        <v>898</v>
      </c>
      <c r="F126" s="36">
        <v>44746</v>
      </c>
      <c r="G126" s="37" t="s">
        <v>899</v>
      </c>
      <c r="H126" s="40" t="s">
        <v>186</v>
      </c>
      <c r="I126" s="40" t="s">
        <v>900</v>
      </c>
      <c r="J126" s="41">
        <v>1028244621.25</v>
      </c>
      <c r="K126" s="41">
        <v>1028244621.25</v>
      </c>
      <c r="L126" s="30">
        <f t="shared" si="28"/>
        <v>1028244621.25</v>
      </c>
      <c r="M126" s="30">
        <f>L126</f>
        <v>1028244621.25</v>
      </c>
      <c r="N126" s="40" t="s">
        <v>901</v>
      </c>
      <c r="O126" s="40" t="s">
        <v>902</v>
      </c>
      <c r="P126" s="40" t="s">
        <v>218</v>
      </c>
      <c r="Q126" s="37">
        <v>0</v>
      </c>
      <c r="R126" s="37">
        <v>100</v>
      </c>
      <c r="S126" s="37" t="s">
        <v>219</v>
      </c>
      <c r="T126" s="48">
        <v>1</v>
      </c>
      <c r="U126" s="30">
        <f>M126/W126</f>
        <v>23003.75</v>
      </c>
      <c r="V126" s="41">
        <f>U126*T126</f>
        <v>23003.75</v>
      </c>
      <c r="W126" s="41">
        <f t="shared" si="35"/>
        <v>44699</v>
      </c>
      <c r="X126" s="41">
        <v>33532</v>
      </c>
      <c r="Y126" s="41">
        <v>168</v>
      </c>
      <c r="Z126" s="41">
        <f>Y126*U126</f>
        <v>3864630</v>
      </c>
      <c r="AA126" s="41">
        <v>33364</v>
      </c>
      <c r="AB126" s="41">
        <f>AA126*U126</f>
        <v>767497115</v>
      </c>
      <c r="AC126" s="41">
        <v>11167</v>
      </c>
      <c r="AD126" s="41">
        <v>0</v>
      </c>
      <c r="AE126" s="41">
        <v>0</v>
      </c>
      <c r="AF126" s="41">
        <v>11167</v>
      </c>
      <c r="AG126" s="41">
        <f>AF126*U126</f>
        <v>256882876.25</v>
      </c>
      <c r="AH126" s="41"/>
      <c r="AI126" s="41"/>
      <c r="AJ126" s="41"/>
      <c r="AK126" s="41"/>
      <c r="AL126" s="41"/>
      <c r="AM126" s="41">
        <f t="shared" si="36"/>
        <v>3864630</v>
      </c>
      <c r="AN126" s="41">
        <f t="shared" ref="AN126:AN152" si="37">W126/T126</f>
        <v>44699</v>
      </c>
      <c r="AO126" s="41">
        <f t="shared" ref="AO126:AO189" si="38">_xlfn.CEILING.MATH(AN126)</f>
        <v>44699</v>
      </c>
      <c r="AP126" s="40"/>
      <c r="AQ126" s="36">
        <v>45031</v>
      </c>
      <c r="AR126" s="36">
        <v>45108</v>
      </c>
      <c r="AS126" s="36"/>
      <c r="AT126" s="36">
        <v>45047</v>
      </c>
      <c r="AU126" s="36">
        <v>45122</v>
      </c>
      <c r="AV126" s="38"/>
      <c r="AW126" s="40" t="s">
        <v>49</v>
      </c>
    </row>
    <row r="127" spans="1:49" ht="72" x14ac:dyDescent="0.3">
      <c r="A127" s="39" t="s">
        <v>903</v>
      </c>
      <c r="B127" s="36">
        <v>44719</v>
      </c>
      <c r="C127" s="37" t="s">
        <v>162</v>
      </c>
      <c r="D127" s="39" t="s">
        <v>904</v>
      </c>
      <c r="E127" s="1" t="s">
        <v>905</v>
      </c>
      <c r="F127" s="36">
        <v>44746</v>
      </c>
      <c r="G127" s="37" t="s">
        <v>906</v>
      </c>
      <c r="H127" s="40" t="s">
        <v>907</v>
      </c>
      <c r="I127" s="40" t="s">
        <v>908</v>
      </c>
      <c r="J127" s="41">
        <v>255175.8</v>
      </c>
      <c r="K127" s="41">
        <v>255175.8</v>
      </c>
      <c r="L127" s="30">
        <f t="shared" si="28"/>
        <v>255175.8</v>
      </c>
      <c r="M127" s="30">
        <f>L127</f>
        <v>255175.8</v>
      </c>
      <c r="N127" s="36" t="s">
        <v>909</v>
      </c>
      <c r="O127" s="40" t="s">
        <v>910</v>
      </c>
      <c r="P127" s="40" t="s">
        <v>218</v>
      </c>
      <c r="Q127" s="44">
        <v>0</v>
      </c>
      <c r="R127" s="37">
        <v>100</v>
      </c>
      <c r="S127" s="48" t="s">
        <v>200</v>
      </c>
      <c r="T127" s="37">
        <v>60</v>
      </c>
      <c r="U127" s="30">
        <f>K127/W127</f>
        <v>184.91</v>
      </c>
      <c r="V127" s="41">
        <f>U127*T127</f>
        <v>11094.6</v>
      </c>
      <c r="W127" s="41">
        <f t="shared" si="35"/>
        <v>1380</v>
      </c>
      <c r="X127" s="41">
        <v>1380</v>
      </c>
      <c r="Y127" s="41"/>
      <c r="Z127" s="41"/>
      <c r="AA127" s="41"/>
      <c r="AB127" s="41"/>
      <c r="AC127" s="41"/>
      <c r="AD127" s="41"/>
      <c r="AE127" s="41"/>
      <c r="AF127" s="41"/>
      <c r="AG127" s="41"/>
      <c r="AH127" s="41"/>
      <c r="AI127" s="41"/>
      <c r="AJ127" s="41"/>
      <c r="AK127" s="41"/>
      <c r="AL127" s="41"/>
      <c r="AM127" s="41">
        <f t="shared" si="36"/>
        <v>0</v>
      </c>
      <c r="AN127" s="41">
        <f t="shared" si="37"/>
        <v>23</v>
      </c>
      <c r="AO127" s="41">
        <f t="shared" si="38"/>
        <v>23</v>
      </c>
      <c r="AP127" s="40"/>
      <c r="AQ127" s="36">
        <v>44986</v>
      </c>
      <c r="AR127" s="36"/>
      <c r="AS127" s="36"/>
      <c r="AT127" s="36">
        <v>45000</v>
      </c>
      <c r="AU127" s="36"/>
      <c r="AV127" s="38"/>
      <c r="AW127" s="40" t="s">
        <v>87</v>
      </c>
    </row>
    <row r="128" spans="1:49" ht="117.75" customHeight="1" x14ac:dyDescent="0.3">
      <c r="A128" s="39" t="s">
        <v>911</v>
      </c>
      <c r="B128" s="36">
        <v>44719</v>
      </c>
      <c r="C128" s="37" t="s">
        <v>162</v>
      </c>
      <c r="D128" s="39" t="s">
        <v>912</v>
      </c>
      <c r="E128" s="1" t="s">
        <v>913</v>
      </c>
      <c r="F128" s="36">
        <v>44746</v>
      </c>
      <c r="G128" s="39" t="s">
        <v>914</v>
      </c>
      <c r="H128" s="40" t="s">
        <v>571</v>
      </c>
      <c r="I128" s="40" t="s">
        <v>915</v>
      </c>
      <c r="J128" s="41">
        <v>16246512</v>
      </c>
      <c r="K128" s="41">
        <v>16246512</v>
      </c>
      <c r="L128" s="30">
        <f t="shared" si="28"/>
        <v>16246512</v>
      </c>
      <c r="M128" s="30">
        <f>L128</f>
        <v>16246512</v>
      </c>
      <c r="N128" s="40" t="s">
        <v>916</v>
      </c>
      <c r="O128" s="40" t="s">
        <v>917</v>
      </c>
      <c r="P128" s="40" t="s">
        <v>47</v>
      </c>
      <c r="Q128" s="44">
        <v>100</v>
      </c>
      <c r="R128" s="37">
        <v>0</v>
      </c>
      <c r="S128" s="48" t="s">
        <v>200</v>
      </c>
      <c r="T128" s="48">
        <v>120</v>
      </c>
      <c r="U128" s="30">
        <f>M128/W128</f>
        <v>65.849999999999994</v>
      </c>
      <c r="V128" s="41">
        <f>U128*T128</f>
        <v>7901.9999999999991</v>
      </c>
      <c r="W128" s="41">
        <f t="shared" si="35"/>
        <v>246720</v>
      </c>
      <c r="X128" s="41">
        <v>246720</v>
      </c>
      <c r="Y128" s="41"/>
      <c r="Z128" s="41"/>
      <c r="AA128" s="41"/>
      <c r="AB128" s="41"/>
      <c r="AC128" s="41"/>
      <c r="AD128" s="41"/>
      <c r="AE128" s="41"/>
      <c r="AF128" s="41"/>
      <c r="AG128" s="41"/>
      <c r="AH128" s="41"/>
      <c r="AI128" s="41"/>
      <c r="AJ128" s="41"/>
      <c r="AK128" s="41"/>
      <c r="AL128" s="41"/>
      <c r="AM128" s="41">
        <f t="shared" si="36"/>
        <v>0</v>
      </c>
      <c r="AN128" s="41">
        <f t="shared" si="37"/>
        <v>2056</v>
      </c>
      <c r="AO128" s="41">
        <f t="shared" si="38"/>
        <v>2056</v>
      </c>
      <c r="AP128" s="40"/>
      <c r="AQ128" s="36">
        <v>44986</v>
      </c>
      <c r="AR128" s="36"/>
      <c r="AS128" s="36"/>
      <c r="AT128" s="36">
        <v>45000</v>
      </c>
      <c r="AU128" s="36"/>
      <c r="AV128" s="38"/>
      <c r="AW128" s="40" t="s">
        <v>87</v>
      </c>
    </row>
    <row r="129" spans="1:50" ht="109.2" x14ac:dyDescent="0.3">
      <c r="A129" s="39" t="s">
        <v>918</v>
      </c>
      <c r="B129" s="36">
        <v>44719</v>
      </c>
      <c r="C129" s="37" t="s">
        <v>162</v>
      </c>
      <c r="D129" s="39" t="s">
        <v>919</v>
      </c>
      <c r="E129" s="1" t="s">
        <v>920</v>
      </c>
      <c r="F129" s="36">
        <v>44746</v>
      </c>
      <c r="G129" s="37" t="s">
        <v>921</v>
      </c>
      <c r="H129" s="40" t="s">
        <v>571</v>
      </c>
      <c r="I129" s="40" t="s">
        <v>922</v>
      </c>
      <c r="J129" s="41">
        <v>9815754</v>
      </c>
      <c r="K129" s="41">
        <v>9815754</v>
      </c>
      <c r="L129" s="30">
        <f t="shared" si="28"/>
        <v>9815754</v>
      </c>
      <c r="M129" s="30">
        <f>L129</f>
        <v>9815754</v>
      </c>
      <c r="N129" s="40" t="s">
        <v>923</v>
      </c>
      <c r="O129" s="40" t="s">
        <v>924</v>
      </c>
      <c r="P129" s="40" t="s">
        <v>47</v>
      </c>
      <c r="Q129" s="44">
        <v>100</v>
      </c>
      <c r="R129" s="37">
        <v>0</v>
      </c>
      <c r="S129" s="37" t="s">
        <v>200</v>
      </c>
      <c r="T129" s="48">
        <v>60</v>
      </c>
      <c r="U129" s="30">
        <f>M129/W129</f>
        <v>1.83</v>
      </c>
      <c r="V129" s="41">
        <f>U129*T129</f>
        <v>109.80000000000001</v>
      </c>
      <c r="W129" s="41">
        <f t="shared" si="35"/>
        <v>5363800</v>
      </c>
      <c r="X129" s="41">
        <v>5363800</v>
      </c>
      <c r="Y129" s="41"/>
      <c r="Z129" s="41"/>
      <c r="AA129" s="41"/>
      <c r="AB129" s="41"/>
      <c r="AC129" s="41"/>
      <c r="AD129" s="41"/>
      <c r="AE129" s="41"/>
      <c r="AF129" s="41"/>
      <c r="AG129" s="41"/>
      <c r="AH129" s="41"/>
      <c r="AI129" s="41"/>
      <c r="AJ129" s="41"/>
      <c r="AK129" s="41"/>
      <c r="AL129" s="41"/>
      <c r="AM129" s="41">
        <f t="shared" si="36"/>
        <v>0</v>
      </c>
      <c r="AN129" s="41">
        <f t="shared" si="37"/>
        <v>89396.666666666672</v>
      </c>
      <c r="AO129" s="41">
        <f t="shared" si="38"/>
        <v>89397</v>
      </c>
      <c r="AP129" s="40"/>
      <c r="AQ129" s="36">
        <v>44986</v>
      </c>
      <c r="AR129" s="36"/>
      <c r="AS129" s="36"/>
      <c r="AT129" s="36">
        <v>45000</v>
      </c>
      <c r="AU129" s="36"/>
      <c r="AV129" s="38"/>
      <c r="AW129" s="40" t="s">
        <v>87</v>
      </c>
    </row>
    <row r="130" spans="1:50" ht="160.19999999999999" customHeight="1" x14ac:dyDescent="0.3">
      <c r="A130" s="39" t="s">
        <v>925</v>
      </c>
      <c r="B130" s="36">
        <v>44719</v>
      </c>
      <c r="C130" s="37">
        <v>1416</v>
      </c>
      <c r="D130" s="39" t="s">
        <v>926</v>
      </c>
      <c r="E130" s="1" t="s">
        <v>927</v>
      </c>
      <c r="F130" s="36">
        <v>44746</v>
      </c>
      <c r="G130" s="39" t="s">
        <v>928</v>
      </c>
      <c r="H130" s="40" t="s">
        <v>224</v>
      </c>
      <c r="I130" s="40" t="s">
        <v>929</v>
      </c>
      <c r="J130" s="41">
        <v>117119160</v>
      </c>
      <c r="K130" s="41">
        <v>58559580</v>
      </c>
      <c r="L130" s="30">
        <f t="shared" si="28"/>
        <v>58559580</v>
      </c>
      <c r="M130" s="30">
        <v>117119160</v>
      </c>
      <c r="N130" s="40" t="s">
        <v>369</v>
      </c>
      <c r="O130" s="40" t="s">
        <v>930</v>
      </c>
      <c r="P130" s="40" t="s">
        <v>218</v>
      </c>
      <c r="Q130" s="44">
        <v>0</v>
      </c>
      <c r="R130" s="37">
        <v>100</v>
      </c>
      <c r="S130" s="37" t="s">
        <v>229</v>
      </c>
      <c r="T130" s="48">
        <v>3000</v>
      </c>
      <c r="U130" s="30">
        <f>M130/W130</f>
        <v>12.37</v>
      </c>
      <c r="V130" s="41">
        <f>U130*T130</f>
        <v>37110</v>
      </c>
      <c r="W130" s="41">
        <f t="shared" si="35"/>
        <v>9468000</v>
      </c>
      <c r="X130" s="41">
        <v>4734000</v>
      </c>
      <c r="Y130" s="41"/>
      <c r="Z130" s="41"/>
      <c r="AA130" s="41"/>
      <c r="AB130" s="41"/>
      <c r="AC130" s="41">
        <v>4734000</v>
      </c>
      <c r="AD130" s="41"/>
      <c r="AE130" s="41"/>
      <c r="AF130" s="41"/>
      <c r="AG130" s="41"/>
      <c r="AH130" s="41"/>
      <c r="AI130" s="41"/>
      <c r="AJ130" s="41"/>
      <c r="AK130" s="41"/>
      <c r="AL130" s="41"/>
      <c r="AM130" s="41">
        <f t="shared" si="36"/>
        <v>0</v>
      </c>
      <c r="AN130" s="41">
        <f t="shared" si="37"/>
        <v>3156</v>
      </c>
      <c r="AO130" s="41">
        <f t="shared" si="38"/>
        <v>3156</v>
      </c>
      <c r="AP130" s="40"/>
      <c r="AQ130" s="36">
        <v>44986</v>
      </c>
      <c r="AR130" s="36">
        <v>45352</v>
      </c>
      <c r="AS130" s="36"/>
      <c r="AT130" s="36">
        <v>45000</v>
      </c>
      <c r="AU130" s="36">
        <v>45366</v>
      </c>
      <c r="AV130" s="38"/>
      <c r="AW130" s="40" t="s">
        <v>302</v>
      </c>
    </row>
    <row r="131" spans="1:50" ht="78" x14ac:dyDescent="0.3">
      <c r="A131" s="39" t="s">
        <v>931</v>
      </c>
      <c r="B131" s="36">
        <v>44719</v>
      </c>
      <c r="C131" s="37">
        <v>1416</v>
      </c>
      <c r="D131" s="39" t="s">
        <v>932</v>
      </c>
      <c r="E131" s="1" t="s">
        <v>933</v>
      </c>
      <c r="F131" s="36">
        <v>44750</v>
      </c>
      <c r="G131" s="39" t="s">
        <v>934</v>
      </c>
      <c r="H131" s="40" t="s">
        <v>224</v>
      </c>
      <c r="I131" s="40" t="s">
        <v>935</v>
      </c>
      <c r="J131" s="41">
        <v>1322673000</v>
      </c>
      <c r="K131" s="41">
        <v>661336500</v>
      </c>
      <c r="L131" s="30">
        <f t="shared" si="28"/>
        <v>661336500</v>
      </c>
      <c r="M131" s="41">
        <v>1322673000</v>
      </c>
      <c r="N131" s="40" t="s">
        <v>936</v>
      </c>
      <c r="O131" s="40" t="s">
        <v>937</v>
      </c>
      <c r="P131" s="40" t="s">
        <v>348</v>
      </c>
      <c r="Q131" s="44">
        <v>0</v>
      </c>
      <c r="R131" s="37">
        <v>100</v>
      </c>
      <c r="S131" s="40" t="s">
        <v>938</v>
      </c>
      <c r="T131" s="48">
        <v>1</v>
      </c>
      <c r="U131" s="30" t="s">
        <v>939</v>
      </c>
      <c r="V131" s="30" t="s">
        <v>939</v>
      </c>
      <c r="W131" s="41">
        <f t="shared" si="35"/>
        <v>357600</v>
      </c>
      <c r="X131" s="41">
        <v>178800</v>
      </c>
      <c r="Y131" s="41">
        <v>131400</v>
      </c>
      <c r="Z131" s="41">
        <v>486015750</v>
      </c>
      <c r="AA131" s="41">
        <v>47400</v>
      </c>
      <c r="AB131" s="41">
        <v>175320750</v>
      </c>
      <c r="AC131" s="41">
        <v>178800</v>
      </c>
      <c r="AD131" s="41"/>
      <c r="AE131" s="41">
        <v>0</v>
      </c>
      <c r="AF131" s="41"/>
      <c r="AG131" s="41">
        <v>0</v>
      </c>
      <c r="AH131" s="41"/>
      <c r="AI131" s="41"/>
      <c r="AJ131" s="41">
        <v>0</v>
      </c>
      <c r="AK131" s="41"/>
      <c r="AL131" s="41">
        <v>0</v>
      </c>
      <c r="AM131" s="41">
        <f>Z131+AE131+AJ131</f>
        <v>486015750</v>
      </c>
      <c r="AN131" s="41">
        <f t="shared" si="37"/>
        <v>357600</v>
      </c>
      <c r="AO131" s="41">
        <f t="shared" si="38"/>
        <v>357600</v>
      </c>
      <c r="AP131" s="40"/>
      <c r="AQ131" s="36">
        <v>44986</v>
      </c>
      <c r="AR131" s="36">
        <v>45352</v>
      </c>
      <c r="AS131" s="36"/>
      <c r="AT131" s="36">
        <v>45000</v>
      </c>
      <c r="AU131" s="36">
        <v>45366</v>
      </c>
      <c r="AV131" s="38"/>
      <c r="AW131" s="40" t="s">
        <v>302</v>
      </c>
      <c r="AX131" s="40"/>
    </row>
    <row r="132" spans="1:50" ht="109.2" x14ac:dyDescent="0.3">
      <c r="A132" s="39" t="s">
        <v>940</v>
      </c>
      <c r="B132" s="36">
        <v>44719</v>
      </c>
      <c r="C132" s="37">
        <v>1416</v>
      </c>
      <c r="D132" s="39" t="s">
        <v>941</v>
      </c>
      <c r="E132" s="1" t="s">
        <v>942</v>
      </c>
      <c r="F132" s="36">
        <v>44746</v>
      </c>
      <c r="G132" s="37" t="s">
        <v>943</v>
      </c>
      <c r="H132" s="40" t="s">
        <v>944</v>
      </c>
      <c r="I132" s="40" t="s">
        <v>945</v>
      </c>
      <c r="J132" s="41">
        <v>223738702.88</v>
      </c>
      <c r="K132" s="41">
        <v>223738702.88</v>
      </c>
      <c r="L132" s="30">
        <f t="shared" si="28"/>
        <v>223738702.88</v>
      </c>
      <c r="M132" s="30">
        <f t="shared" si="28"/>
        <v>223738702.88</v>
      </c>
      <c r="N132" s="40" t="s">
        <v>355</v>
      </c>
      <c r="O132" s="40" t="s">
        <v>946</v>
      </c>
      <c r="P132" s="40" t="s">
        <v>357</v>
      </c>
      <c r="Q132" s="44">
        <v>0</v>
      </c>
      <c r="R132" s="37">
        <v>100</v>
      </c>
      <c r="S132" s="37" t="s">
        <v>219</v>
      </c>
      <c r="T132" s="48">
        <v>1</v>
      </c>
      <c r="U132" s="30">
        <f>M132/W132</f>
        <v>263842.81</v>
      </c>
      <c r="V132" s="41">
        <f t="shared" ref="V132:V152" si="39">U132*T132</f>
        <v>263842.81</v>
      </c>
      <c r="W132" s="41">
        <f t="shared" si="35"/>
        <v>848</v>
      </c>
      <c r="X132" s="41">
        <v>848</v>
      </c>
      <c r="Y132" s="41">
        <v>198</v>
      </c>
      <c r="Z132" s="41">
        <f>Y132*U132</f>
        <v>52240876.380000003</v>
      </c>
      <c r="AA132" s="41">
        <v>650</v>
      </c>
      <c r="AB132" s="41">
        <f>AA132*U132</f>
        <v>171497826.5</v>
      </c>
      <c r="AC132" s="41"/>
      <c r="AD132" s="41"/>
      <c r="AE132" s="41"/>
      <c r="AF132" s="41"/>
      <c r="AG132" s="41"/>
      <c r="AH132" s="41"/>
      <c r="AI132" s="41"/>
      <c r="AJ132" s="41"/>
      <c r="AK132" s="41"/>
      <c r="AL132" s="41"/>
      <c r="AM132" s="41">
        <f>Z132+AE132+AJ132</f>
        <v>52240876.380000003</v>
      </c>
      <c r="AN132" s="41">
        <f t="shared" si="37"/>
        <v>848</v>
      </c>
      <c r="AO132" s="41">
        <f t="shared" si="38"/>
        <v>848</v>
      </c>
      <c r="AP132" s="40"/>
      <c r="AQ132" s="36">
        <v>44986</v>
      </c>
      <c r="AR132" s="36"/>
      <c r="AS132" s="36"/>
      <c r="AT132" s="36">
        <v>45000</v>
      </c>
      <c r="AU132" s="36"/>
      <c r="AV132" s="38"/>
      <c r="AW132" s="40" t="s">
        <v>87</v>
      </c>
      <c r="AX132" s="40"/>
    </row>
    <row r="133" spans="1:50" ht="72" x14ac:dyDescent="0.3">
      <c r="A133" s="39" t="s">
        <v>947</v>
      </c>
      <c r="B133" s="36">
        <v>44719</v>
      </c>
      <c r="C133" s="37">
        <v>1416</v>
      </c>
      <c r="D133" s="39" t="s">
        <v>948</v>
      </c>
      <c r="E133" s="1" t="s">
        <v>949</v>
      </c>
      <c r="F133" s="36">
        <v>44746</v>
      </c>
      <c r="G133" s="37" t="s">
        <v>950</v>
      </c>
      <c r="H133" s="40" t="s">
        <v>944</v>
      </c>
      <c r="I133" s="40" t="s">
        <v>951</v>
      </c>
      <c r="J133" s="41">
        <v>282522763.16000003</v>
      </c>
      <c r="K133" s="41">
        <v>282522763.16000003</v>
      </c>
      <c r="L133" s="30">
        <f t="shared" si="28"/>
        <v>282522763.16000003</v>
      </c>
      <c r="M133" s="30">
        <f t="shared" si="28"/>
        <v>282522763.16000003</v>
      </c>
      <c r="N133" s="40" t="s">
        <v>355</v>
      </c>
      <c r="O133" s="40" t="s">
        <v>952</v>
      </c>
      <c r="P133" s="40" t="s">
        <v>357</v>
      </c>
      <c r="Q133" s="44">
        <v>0</v>
      </c>
      <c r="R133" s="37">
        <v>100</v>
      </c>
      <c r="S133" s="37" t="s">
        <v>219</v>
      </c>
      <c r="T133" s="48">
        <v>1</v>
      </c>
      <c r="U133" s="30">
        <f>M133/W133</f>
        <v>52768.540000000008</v>
      </c>
      <c r="V133" s="41">
        <f t="shared" si="39"/>
        <v>52768.540000000008</v>
      </c>
      <c r="W133" s="41">
        <f t="shared" si="35"/>
        <v>5354</v>
      </c>
      <c r="X133" s="41">
        <v>5354</v>
      </c>
      <c r="Y133" s="41">
        <v>5076</v>
      </c>
      <c r="Z133" s="41">
        <f>Y133*U133</f>
        <v>267853109.04000005</v>
      </c>
      <c r="AA133" s="41">
        <v>278</v>
      </c>
      <c r="AB133" s="41">
        <f>AA133*U133</f>
        <v>14669654.120000003</v>
      </c>
      <c r="AC133" s="41"/>
      <c r="AD133" s="41"/>
      <c r="AE133" s="41"/>
      <c r="AF133" s="41"/>
      <c r="AG133" s="41"/>
      <c r="AH133" s="41"/>
      <c r="AI133" s="41"/>
      <c r="AJ133" s="41"/>
      <c r="AK133" s="41"/>
      <c r="AL133" s="41"/>
      <c r="AM133" s="41">
        <f>Z133+AE133+AJ133</f>
        <v>267853109.04000005</v>
      </c>
      <c r="AN133" s="41">
        <f t="shared" si="37"/>
        <v>5354</v>
      </c>
      <c r="AO133" s="41">
        <f t="shared" si="38"/>
        <v>5354</v>
      </c>
      <c r="AP133" s="40"/>
      <c r="AQ133" s="36">
        <v>44986</v>
      </c>
      <c r="AR133" s="36"/>
      <c r="AS133" s="36"/>
      <c r="AT133" s="36">
        <v>45000</v>
      </c>
      <c r="AU133" s="36"/>
      <c r="AV133" s="38"/>
      <c r="AW133" s="40" t="s">
        <v>87</v>
      </c>
    </row>
    <row r="134" spans="1:50" ht="72" x14ac:dyDescent="0.3">
      <c r="A134" s="39" t="s">
        <v>953</v>
      </c>
      <c r="B134" s="36">
        <v>44721</v>
      </c>
      <c r="C134" s="37" t="s">
        <v>162</v>
      </c>
      <c r="D134" s="39" t="s">
        <v>954</v>
      </c>
      <c r="E134" s="1" t="s">
        <v>955</v>
      </c>
      <c r="F134" s="36">
        <v>44746</v>
      </c>
      <c r="G134" s="39" t="s">
        <v>956</v>
      </c>
      <c r="H134" s="40" t="s">
        <v>177</v>
      </c>
      <c r="I134" s="40" t="s">
        <v>957</v>
      </c>
      <c r="J134" s="41">
        <v>113573134.2</v>
      </c>
      <c r="K134" s="41">
        <v>97072971</v>
      </c>
      <c r="L134" s="30">
        <f t="shared" si="28"/>
        <v>97072971</v>
      </c>
      <c r="M134" s="30">
        <f t="shared" si="28"/>
        <v>97072971</v>
      </c>
      <c r="N134" s="40" t="s">
        <v>958</v>
      </c>
      <c r="O134" s="40" t="s">
        <v>959</v>
      </c>
      <c r="P134" s="40" t="s">
        <v>47</v>
      </c>
      <c r="Q134" s="44">
        <v>100</v>
      </c>
      <c r="R134" s="37">
        <v>0</v>
      </c>
      <c r="S134" s="48" t="s">
        <v>200</v>
      </c>
      <c r="T134" s="48">
        <v>30</v>
      </c>
      <c r="U134" s="30">
        <f>M134/W134</f>
        <v>21.65</v>
      </c>
      <c r="V134" s="41">
        <f t="shared" si="39"/>
        <v>649.5</v>
      </c>
      <c r="W134" s="41">
        <f t="shared" si="35"/>
        <v>4483740</v>
      </c>
      <c r="X134" s="41">
        <v>4483740</v>
      </c>
      <c r="Y134" s="41"/>
      <c r="Z134" s="41"/>
      <c r="AA134" s="41"/>
      <c r="AB134" s="41"/>
      <c r="AC134" s="41"/>
      <c r="AD134" s="41"/>
      <c r="AE134" s="41"/>
      <c r="AF134" s="41"/>
      <c r="AG134" s="41"/>
      <c r="AH134" s="41"/>
      <c r="AI134" s="41"/>
      <c r="AJ134" s="41"/>
      <c r="AK134" s="41"/>
      <c r="AL134" s="41"/>
      <c r="AM134" s="41">
        <f t="shared" ref="AM134:AM140" si="40">Z134+AE134+AJ134</f>
        <v>0</v>
      </c>
      <c r="AN134" s="41">
        <f t="shared" si="37"/>
        <v>149458</v>
      </c>
      <c r="AO134" s="41">
        <f t="shared" si="38"/>
        <v>149458</v>
      </c>
      <c r="AP134" s="40"/>
      <c r="AQ134" s="36">
        <v>44986</v>
      </c>
      <c r="AR134" s="36"/>
      <c r="AS134" s="36"/>
      <c r="AT134" s="36">
        <v>45000</v>
      </c>
      <c r="AU134" s="36"/>
      <c r="AV134" s="38"/>
      <c r="AW134" s="40" t="s">
        <v>87</v>
      </c>
    </row>
    <row r="135" spans="1:50" ht="156" x14ac:dyDescent="0.3">
      <c r="A135" s="39" t="s">
        <v>960</v>
      </c>
      <c r="B135" s="36">
        <v>44721</v>
      </c>
      <c r="C135" s="37">
        <v>1416</v>
      </c>
      <c r="D135" s="39" t="s">
        <v>961</v>
      </c>
      <c r="E135" s="1" t="s">
        <v>962</v>
      </c>
      <c r="F135" s="36">
        <v>44747</v>
      </c>
      <c r="G135" s="37" t="s">
        <v>963</v>
      </c>
      <c r="H135" s="40" t="s">
        <v>186</v>
      </c>
      <c r="I135" s="40" t="s">
        <v>964</v>
      </c>
      <c r="J135" s="41">
        <v>10545799</v>
      </c>
      <c r="K135" s="41">
        <v>10545799</v>
      </c>
      <c r="L135" s="30">
        <f t="shared" si="28"/>
        <v>10545799</v>
      </c>
      <c r="M135" s="30">
        <f t="shared" si="28"/>
        <v>10545799</v>
      </c>
      <c r="N135" s="40" t="s">
        <v>965</v>
      </c>
      <c r="O135" s="40" t="s">
        <v>966</v>
      </c>
      <c r="P135" s="40" t="s">
        <v>218</v>
      </c>
      <c r="Q135" s="44">
        <v>0</v>
      </c>
      <c r="R135" s="37">
        <v>100</v>
      </c>
      <c r="S135" s="48" t="s">
        <v>200</v>
      </c>
      <c r="T135" s="54">
        <v>1</v>
      </c>
      <c r="U135" s="30">
        <f>M135/W135</f>
        <v>14446.3</v>
      </c>
      <c r="V135" s="41">
        <f t="shared" si="39"/>
        <v>14446.3</v>
      </c>
      <c r="W135" s="41">
        <f t="shared" si="35"/>
        <v>730</v>
      </c>
      <c r="X135" s="41">
        <v>555</v>
      </c>
      <c r="Y135" s="41">
        <v>1</v>
      </c>
      <c r="Z135" s="41">
        <f>Y135*U135</f>
        <v>14446.3</v>
      </c>
      <c r="AA135" s="41">
        <v>554</v>
      </c>
      <c r="AB135" s="41">
        <f>AA135*U135</f>
        <v>8003250.1999999993</v>
      </c>
      <c r="AC135" s="41">
        <v>175</v>
      </c>
      <c r="AD135" s="41">
        <v>0</v>
      </c>
      <c r="AE135" s="41">
        <v>0</v>
      </c>
      <c r="AF135" s="41">
        <v>175</v>
      </c>
      <c r="AG135" s="41">
        <f>AF135*U135</f>
        <v>2528102.5</v>
      </c>
      <c r="AH135" s="41"/>
      <c r="AI135" s="41"/>
      <c r="AJ135" s="41"/>
      <c r="AK135" s="41"/>
      <c r="AL135" s="41"/>
      <c r="AM135" s="41">
        <f t="shared" si="40"/>
        <v>14446.3</v>
      </c>
      <c r="AN135" s="41">
        <f t="shared" si="37"/>
        <v>730</v>
      </c>
      <c r="AO135" s="41">
        <f t="shared" si="38"/>
        <v>730</v>
      </c>
      <c r="AP135" s="40"/>
      <c r="AQ135" s="36">
        <v>45031</v>
      </c>
      <c r="AR135" s="36">
        <v>45108</v>
      </c>
      <c r="AS135" s="36"/>
      <c r="AT135" s="36">
        <v>45047</v>
      </c>
      <c r="AU135" s="36">
        <v>45122</v>
      </c>
      <c r="AV135" s="38"/>
      <c r="AW135" s="40" t="s">
        <v>87</v>
      </c>
    </row>
    <row r="136" spans="1:50" ht="63" customHeight="1" x14ac:dyDescent="0.3">
      <c r="A136" s="39" t="s">
        <v>967</v>
      </c>
      <c r="B136" s="36">
        <v>44721</v>
      </c>
      <c r="C136" s="37" t="s">
        <v>162</v>
      </c>
      <c r="D136" s="39" t="s">
        <v>968</v>
      </c>
      <c r="E136" s="1" t="s">
        <v>969</v>
      </c>
      <c r="F136" s="36">
        <v>44746</v>
      </c>
      <c r="G136" s="37" t="s">
        <v>970</v>
      </c>
      <c r="H136" s="40" t="s">
        <v>971</v>
      </c>
      <c r="I136" s="40" t="s">
        <v>972</v>
      </c>
      <c r="J136" s="41">
        <v>22402406.399999999</v>
      </c>
      <c r="K136" s="41">
        <v>22402406.399999999</v>
      </c>
      <c r="L136" s="30">
        <f t="shared" si="28"/>
        <v>22402406.399999999</v>
      </c>
      <c r="M136" s="30">
        <f t="shared" si="28"/>
        <v>22402406.399999999</v>
      </c>
      <c r="N136" s="36" t="s">
        <v>973</v>
      </c>
      <c r="O136" s="40" t="s">
        <v>974</v>
      </c>
      <c r="P136" s="40" t="s">
        <v>47</v>
      </c>
      <c r="Q136" s="44">
        <v>100</v>
      </c>
      <c r="R136" s="37">
        <v>0</v>
      </c>
      <c r="S136" s="48" t="s">
        <v>200</v>
      </c>
      <c r="T136" s="37">
        <v>60</v>
      </c>
      <c r="U136" s="30">
        <f>K136/W136</f>
        <v>28.159999999999997</v>
      </c>
      <c r="V136" s="41">
        <f t="shared" si="39"/>
        <v>1689.6</v>
      </c>
      <c r="W136" s="41">
        <f t="shared" si="35"/>
        <v>795540</v>
      </c>
      <c r="X136" s="41">
        <v>795540</v>
      </c>
      <c r="Y136" s="41"/>
      <c r="Z136" s="41"/>
      <c r="AA136" s="41"/>
      <c r="AB136" s="41"/>
      <c r="AC136" s="41"/>
      <c r="AD136" s="41"/>
      <c r="AE136" s="41"/>
      <c r="AF136" s="41"/>
      <c r="AG136" s="41"/>
      <c r="AH136" s="41"/>
      <c r="AI136" s="41"/>
      <c r="AJ136" s="41"/>
      <c r="AK136" s="41"/>
      <c r="AL136" s="41"/>
      <c r="AM136" s="41">
        <f t="shared" si="40"/>
        <v>0</v>
      </c>
      <c r="AN136" s="41">
        <f t="shared" si="37"/>
        <v>13259</v>
      </c>
      <c r="AO136" s="41">
        <f t="shared" si="38"/>
        <v>13259</v>
      </c>
      <c r="AP136" s="40"/>
      <c r="AQ136" s="36">
        <v>44986</v>
      </c>
      <c r="AR136" s="36"/>
      <c r="AS136" s="36"/>
      <c r="AT136" s="36">
        <v>45000</v>
      </c>
      <c r="AU136" s="36"/>
      <c r="AV136" s="38"/>
      <c r="AW136" s="40" t="s">
        <v>87</v>
      </c>
    </row>
    <row r="137" spans="1:50" ht="72" x14ac:dyDescent="0.3">
      <c r="A137" s="39" t="s">
        <v>975</v>
      </c>
      <c r="B137" s="36">
        <v>44721</v>
      </c>
      <c r="C137" s="37" t="s">
        <v>162</v>
      </c>
      <c r="D137" s="39" t="s">
        <v>976</v>
      </c>
      <c r="E137" s="1" t="s">
        <v>977</v>
      </c>
      <c r="F137" s="36">
        <v>44746</v>
      </c>
      <c r="G137" s="39" t="s">
        <v>978</v>
      </c>
      <c r="H137" s="40" t="s">
        <v>177</v>
      </c>
      <c r="I137" s="40" t="s">
        <v>979</v>
      </c>
      <c r="J137" s="41">
        <v>35863167.600000001</v>
      </c>
      <c r="K137" s="41">
        <v>35863167.600000001</v>
      </c>
      <c r="L137" s="30">
        <f t="shared" si="28"/>
        <v>35863167.600000001</v>
      </c>
      <c r="M137" s="30">
        <f t="shared" si="28"/>
        <v>35863167.600000001</v>
      </c>
      <c r="N137" s="40" t="s">
        <v>980</v>
      </c>
      <c r="O137" s="40" t="s">
        <v>981</v>
      </c>
      <c r="P137" s="40" t="s">
        <v>199</v>
      </c>
      <c r="Q137" s="44">
        <v>0</v>
      </c>
      <c r="R137" s="37">
        <v>100</v>
      </c>
      <c r="S137" s="48" t="s">
        <v>200</v>
      </c>
      <c r="T137" s="48">
        <v>30</v>
      </c>
      <c r="U137" s="30">
        <f>M137/W137</f>
        <v>414.22</v>
      </c>
      <c r="V137" s="41">
        <f t="shared" si="39"/>
        <v>12426.6</v>
      </c>
      <c r="W137" s="41">
        <f t="shared" si="35"/>
        <v>86580</v>
      </c>
      <c r="X137" s="41">
        <v>86580</v>
      </c>
      <c r="Y137" s="41"/>
      <c r="Z137" s="41"/>
      <c r="AA137" s="41"/>
      <c r="AB137" s="41"/>
      <c r="AC137" s="41"/>
      <c r="AD137" s="41"/>
      <c r="AE137" s="41"/>
      <c r="AF137" s="41"/>
      <c r="AG137" s="41"/>
      <c r="AH137" s="41"/>
      <c r="AI137" s="41"/>
      <c r="AJ137" s="41"/>
      <c r="AK137" s="41"/>
      <c r="AL137" s="41"/>
      <c r="AM137" s="41">
        <f t="shared" si="40"/>
        <v>0</v>
      </c>
      <c r="AN137" s="41">
        <f t="shared" si="37"/>
        <v>2886</v>
      </c>
      <c r="AO137" s="41">
        <f t="shared" si="38"/>
        <v>2886</v>
      </c>
      <c r="AP137" s="40"/>
      <c r="AQ137" s="36">
        <v>44986</v>
      </c>
      <c r="AR137" s="36"/>
      <c r="AS137" s="36"/>
      <c r="AT137" s="36">
        <v>45000</v>
      </c>
      <c r="AU137" s="36"/>
      <c r="AV137" s="38"/>
      <c r="AW137" s="40" t="s">
        <v>87</v>
      </c>
    </row>
    <row r="138" spans="1:50" ht="91.2" customHeight="1" x14ac:dyDescent="0.3">
      <c r="A138" s="39" t="s">
        <v>982</v>
      </c>
      <c r="B138" s="36">
        <v>44721</v>
      </c>
      <c r="C138" s="37" t="s">
        <v>162</v>
      </c>
      <c r="D138" s="39" t="s">
        <v>983</v>
      </c>
      <c r="E138" s="1" t="s">
        <v>984</v>
      </c>
      <c r="F138" s="36">
        <v>44746</v>
      </c>
      <c r="G138" s="37" t="s">
        <v>985</v>
      </c>
      <c r="H138" s="40" t="s">
        <v>971</v>
      </c>
      <c r="I138" s="40" t="s">
        <v>986</v>
      </c>
      <c r="J138" s="41">
        <v>2508579</v>
      </c>
      <c r="K138" s="41">
        <v>2508579</v>
      </c>
      <c r="L138" s="30">
        <f t="shared" si="28"/>
        <v>2508579</v>
      </c>
      <c r="M138" s="30">
        <f t="shared" si="28"/>
        <v>2508579</v>
      </c>
      <c r="N138" s="40" t="s">
        <v>973</v>
      </c>
      <c r="O138" s="40" t="s">
        <v>987</v>
      </c>
      <c r="P138" s="40" t="s">
        <v>47</v>
      </c>
      <c r="Q138" s="44">
        <v>100</v>
      </c>
      <c r="R138" s="37">
        <v>0</v>
      </c>
      <c r="S138" s="48" t="s">
        <v>200</v>
      </c>
      <c r="T138" s="48">
        <v>20</v>
      </c>
      <c r="U138" s="30">
        <f>M138/W138</f>
        <v>31.65</v>
      </c>
      <c r="V138" s="41">
        <f t="shared" si="39"/>
        <v>633</v>
      </c>
      <c r="W138" s="41">
        <f t="shared" si="35"/>
        <v>79260</v>
      </c>
      <c r="X138" s="41">
        <v>79260</v>
      </c>
      <c r="Y138" s="41"/>
      <c r="Z138" s="41"/>
      <c r="AA138" s="41"/>
      <c r="AB138" s="41"/>
      <c r="AC138" s="41"/>
      <c r="AD138" s="41"/>
      <c r="AE138" s="41"/>
      <c r="AF138" s="41"/>
      <c r="AG138" s="41"/>
      <c r="AH138" s="41"/>
      <c r="AI138" s="41"/>
      <c r="AJ138" s="41"/>
      <c r="AK138" s="41"/>
      <c r="AL138" s="41"/>
      <c r="AM138" s="41">
        <f t="shared" si="40"/>
        <v>0</v>
      </c>
      <c r="AN138" s="41">
        <f t="shared" si="37"/>
        <v>3963</v>
      </c>
      <c r="AO138" s="41">
        <f t="shared" si="38"/>
        <v>3963</v>
      </c>
      <c r="AP138" s="40"/>
      <c r="AQ138" s="36">
        <v>44986</v>
      </c>
      <c r="AR138" s="36"/>
      <c r="AS138" s="36"/>
      <c r="AT138" s="36">
        <v>45000</v>
      </c>
      <c r="AU138" s="36"/>
      <c r="AV138" s="38"/>
      <c r="AW138" s="40" t="s">
        <v>87</v>
      </c>
    </row>
    <row r="139" spans="1:50" ht="144.75" customHeight="1" x14ac:dyDescent="0.3">
      <c r="A139" s="39" t="s">
        <v>988</v>
      </c>
      <c r="B139" s="36">
        <v>44721</v>
      </c>
      <c r="C139" s="37" t="s">
        <v>162</v>
      </c>
      <c r="D139" s="39" t="s">
        <v>989</v>
      </c>
      <c r="E139" s="1" t="s">
        <v>990</v>
      </c>
      <c r="F139" s="36">
        <v>44746</v>
      </c>
      <c r="G139" s="39" t="s">
        <v>991</v>
      </c>
      <c r="H139" s="40" t="s">
        <v>907</v>
      </c>
      <c r="I139" s="40" t="s">
        <v>992</v>
      </c>
      <c r="J139" s="41">
        <v>1169454</v>
      </c>
      <c r="K139" s="41">
        <v>1169454</v>
      </c>
      <c r="L139" s="30">
        <f t="shared" si="28"/>
        <v>1169454</v>
      </c>
      <c r="M139" s="30">
        <f t="shared" si="28"/>
        <v>1169454</v>
      </c>
      <c r="N139" s="40" t="s">
        <v>909</v>
      </c>
      <c r="O139" s="40" t="s">
        <v>993</v>
      </c>
      <c r="P139" s="40" t="s">
        <v>218</v>
      </c>
      <c r="Q139" s="44">
        <v>0</v>
      </c>
      <c r="R139" s="37">
        <v>100</v>
      </c>
      <c r="S139" s="48" t="s">
        <v>200</v>
      </c>
      <c r="T139" s="48">
        <v>60</v>
      </c>
      <c r="U139" s="30">
        <f>M139/W139</f>
        <v>336.05</v>
      </c>
      <c r="V139" s="41">
        <f t="shared" si="39"/>
        <v>20163</v>
      </c>
      <c r="W139" s="41">
        <f t="shared" si="35"/>
        <v>3480</v>
      </c>
      <c r="X139" s="41">
        <v>3480</v>
      </c>
      <c r="Y139" s="41"/>
      <c r="Z139" s="41"/>
      <c r="AA139" s="41"/>
      <c r="AB139" s="41"/>
      <c r="AC139" s="41"/>
      <c r="AD139" s="41"/>
      <c r="AE139" s="41"/>
      <c r="AF139" s="41"/>
      <c r="AG139" s="41"/>
      <c r="AH139" s="41"/>
      <c r="AI139" s="41"/>
      <c r="AJ139" s="41"/>
      <c r="AK139" s="41"/>
      <c r="AL139" s="41"/>
      <c r="AM139" s="41">
        <f t="shared" si="40"/>
        <v>0</v>
      </c>
      <c r="AN139" s="41">
        <f t="shared" si="37"/>
        <v>58</v>
      </c>
      <c r="AO139" s="41">
        <f t="shared" si="38"/>
        <v>58</v>
      </c>
      <c r="AP139" s="40"/>
      <c r="AQ139" s="36">
        <v>44986</v>
      </c>
      <c r="AR139" s="36"/>
      <c r="AS139" s="36"/>
      <c r="AT139" s="36">
        <v>45000</v>
      </c>
      <c r="AU139" s="36"/>
      <c r="AV139" s="38"/>
      <c r="AW139" s="40" t="s">
        <v>87</v>
      </c>
    </row>
    <row r="140" spans="1:50" ht="72" x14ac:dyDescent="0.3">
      <c r="A140" s="39" t="s">
        <v>994</v>
      </c>
      <c r="B140" s="36">
        <v>44721</v>
      </c>
      <c r="C140" s="37" t="s">
        <v>162</v>
      </c>
      <c r="D140" s="39" t="s">
        <v>995</v>
      </c>
      <c r="E140" s="1" t="s">
        <v>996</v>
      </c>
      <c r="F140" s="36">
        <v>44746</v>
      </c>
      <c r="G140" s="39" t="s">
        <v>997</v>
      </c>
      <c r="H140" s="40" t="s">
        <v>177</v>
      </c>
      <c r="I140" s="40" t="s">
        <v>998</v>
      </c>
      <c r="J140" s="41">
        <v>766871</v>
      </c>
      <c r="K140" s="41">
        <v>766871</v>
      </c>
      <c r="L140" s="30">
        <f t="shared" si="28"/>
        <v>766871</v>
      </c>
      <c r="M140" s="30">
        <f t="shared" si="28"/>
        <v>766871</v>
      </c>
      <c r="N140" s="40" t="s">
        <v>958</v>
      </c>
      <c r="O140" s="40" t="s">
        <v>999</v>
      </c>
      <c r="P140" s="40" t="s">
        <v>47</v>
      </c>
      <c r="Q140" s="44">
        <v>100</v>
      </c>
      <c r="R140" s="37">
        <v>0</v>
      </c>
      <c r="S140" s="48" t="s">
        <v>200</v>
      </c>
      <c r="T140" s="48">
        <v>60</v>
      </c>
      <c r="U140" s="30">
        <f>M140/W140</f>
        <v>4.97</v>
      </c>
      <c r="V140" s="41">
        <f t="shared" si="39"/>
        <v>298.2</v>
      </c>
      <c r="W140" s="41">
        <f t="shared" si="35"/>
        <v>154300</v>
      </c>
      <c r="X140" s="41">
        <v>154300</v>
      </c>
      <c r="Y140" s="41"/>
      <c r="Z140" s="41"/>
      <c r="AA140" s="41"/>
      <c r="AB140" s="41"/>
      <c r="AC140" s="41"/>
      <c r="AD140" s="41"/>
      <c r="AE140" s="41"/>
      <c r="AF140" s="41"/>
      <c r="AG140" s="41"/>
      <c r="AH140" s="41"/>
      <c r="AI140" s="41"/>
      <c r="AJ140" s="41"/>
      <c r="AK140" s="41"/>
      <c r="AL140" s="41"/>
      <c r="AM140" s="41">
        <f t="shared" si="40"/>
        <v>0</v>
      </c>
      <c r="AN140" s="41">
        <f t="shared" si="37"/>
        <v>2571.6666666666665</v>
      </c>
      <c r="AO140" s="41">
        <f t="shared" si="38"/>
        <v>2572</v>
      </c>
      <c r="AP140" s="40"/>
      <c r="AQ140" s="36">
        <v>44986</v>
      </c>
      <c r="AR140" s="36"/>
      <c r="AS140" s="36"/>
      <c r="AT140" s="36">
        <v>45000</v>
      </c>
      <c r="AU140" s="36"/>
      <c r="AV140" s="38"/>
      <c r="AW140" s="40" t="s">
        <v>87</v>
      </c>
    </row>
    <row r="141" spans="1:50" ht="72" x14ac:dyDescent="0.3">
      <c r="A141" s="39" t="s">
        <v>1000</v>
      </c>
      <c r="B141" s="36">
        <v>44721</v>
      </c>
      <c r="C141" s="37">
        <v>1416</v>
      </c>
      <c r="D141" s="39" t="s">
        <v>1001</v>
      </c>
      <c r="E141" s="1" t="s">
        <v>1002</v>
      </c>
      <c r="F141" s="36">
        <v>44750</v>
      </c>
      <c r="G141" s="39" t="s">
        <v>1003</v>
      </c>
      <c r="H141" s="40" t="s">
        <v>944</v>
      </c>
      <c r="I141" s="40" t="s">
        <v>1004</v>
      </c>
      <c r="J141" s="41">
        <v>1349397104.8800001</v>
      </c>
      <c r="K141" s="41">
        <v>1349397104.8800001</v>
      </c>
      <c r="L141" s="30">
        <f t="shared" si="28"/>
        <v>1349397104.8800001</v>
      </c>
      <c r="M141" s="30">
        <f t="shared" si="28"/>
        <v>1349397104.8800001</v>
      </c>
      <c r="N141" s="40" t="s">
        <v>355</v>
      </c>
      <c r="O141" s="40" t="s">
        <v>1005</v>
      </c>
      <c r="P141" s="40" t="s">
        <v>357</v>
      </c>
      <c r="Q141" s="44">
        <v>0</v>
      </c>
      <c r="R141" s="37">
        <v>100</v>
      </c>
      <c r="S141" s="37" t="s">
        <v>219</v>
      </c>
      <c r="T141" s="67">
        <v>0.4</v>
      </c>
      <c r="U141" s="30">
        <f>M141/W141</f>
        <v>263842.70000000007</v>
      </c>
      <c r="V141" s="41">
        <f t="shared" si="39"/>
        <v>105537.08000000003</v>
      </c>
      <c r="W141" s="41">
        <f t="shared" si="35"/>
        <v>5114.3999999999996</v>
      </c>
      <c r="X141" s="41">
        <v>5114.3999999999996</v>
      </c>
      <c r="Y141" s="41">
        <v>2525.1999999999998</v>
      </c>
      <c r="Z141" s="41">
        <f>Y141*U141</f>
        <v>666255586.04000008</v>
      </c>
      <c r="AA141" s="41">
        <v>2589.1999999999998</v>
      </c>
      <c r="AB141" s="41">
        <f>AA141*U141</f>
        <v>683141518.84000015</v>
      </c>
      <c r="AC141" s="41"/>
      <c r="AD141" s="41"/>
      <c r="AE141" s="41"/>
      <c r="AF141" s="41"/>
      <c r="AG141" s="41"/>
      <c r="AH141" s="41"/>
      <c r="AI141" s="41"/>
      <c r="AJ141" s="41"/>
      <c r="AK141" s="41"/>
      <c r="AL141" s="41"/>
      <c r="AM141" s="41">
        <f>Z141+AE141+AJ141</f>
        <v>666255586.04000008</v>
      </c>
      <c r="AN141" s="41">
        <f t="shared" si="37"/>
        <v>12785.999999999998</v>
      </c>
      <c r="AO141" s="41">
        <f t="shared" si="38"/>
        <v>12786</v>
      </c>
      <c r="AP141" s="40"/>
      <c r="AQ141" s="36">
        <v>44958</v>
      </c>
      <c r="AR141" s="36"/>
      <c r="AS141" s="36"/>
      <c r="AT141" s="36">
        <v>45061</v>
      </c>
      <c r="AU141" s="36"/>
      <c r="AV141" s="38"/>
      <c r="AW141" s="40" t="s">
        <v>87</v>
      </c>
    </row>
    <row r="142" spans="1:50" ht="116.4" customHeight="1" x14ac:dyDescent="0.3">
      <c r="A142" s="39" t="s">
        <v>1006</v>
      </c>
      <c r="B142" s="36">
        <v>44721</v>
      </c>
      <c r="C142" s="37">
        <v>1416</v>
      </c>
      <c r="D142" s="39" t="s">
        <v>1007</v>
      </c>
      <c r="E142" s="1" t="s">
        <v>1008</v>
      </c>
      <c r="F142" s="36">
        <v>44746</v>
      </c>
      <c r="G142" s="37" t="s">
        <v>1009</v>
      </c>
      <c r="H142" s="40" t="s">
        <v>186</v>
      </c>
      <c r="I142" s="40" t="s">
        <v>1010</v>
      </c>
      <c r="J142" s="41">
        <v>132241909.8</v>
      </c>
      <c r="K142" s="41">
        <v>83393186.799999997</v>
      </c>
      <c r="L142" s="30">
        <f t="shared" si="28"/>
        <v>83393186.799999997</v>
      </c>
      <c r="M142" s="30">
        <v>132241909.8</v>
      </c>
      <c r="N142" s="40" t="s">
        <v>865</v>
      </c>
      <c r="O142" s="40" t="s">
        <v>1011</v>
      </c>
      <c r="P142" s="40" t="s">
        <v>357</v>
      </c>
      <c r="Q142" s="44">
        <v>0</v>
      </c>
      <c r="R142" s="37">
        <v>100</v>
      </c>
      <c r="S142" s="37" t="s">
        <v>219</v>
      </c>
      <c r="T142" s="48">
        <v>4</v>
      </c>
      <c r="U142" s="30">
        <f>M142/W142</f>
        <v>2013.55</v>
      </c>
      <c r="V142" s="41">
        <f t="shared" si="39"/>
        <v>8054.2</v>
      </c>
      <c r="W142" s="41">
        <f t="shared" si="35"/>
        <v>65676</v>
      </c>
      <c r="X142" s="41">
        <v>41416</v>
      </c>
      <c r="Y142" s="41">
        <v>18880</v>
      </c>
      <c r="Z142" s="41">
        <f>Y142*U142</f>
        <v>38015824</v>
      </c>
      <c r="AA142" s="41">
        <v>22536</v>
      </c>
      <c r="AB142" s="41">
        <f>AA142*U142</f>
        <v>45377362.799999997</v>
      </c>
      <c r="AC142" s="41">
        <v>24260</v>
      </c>
      <c r="AD142" s="41"/>
      <c r="AE142" s="41">
        <v>0</v>
      </c>
      <c r="AF142" s="41"/>
      <c r="AG142" s="41">
        <v>0</v>
      </c>
      <c r="AH142" s="41"/>
      <c r="AI142" s="41"/>
      <c r="AJ142" s="41">
        <v>0</v>
      </c>
      <c r="AK142" s="41"/>
      <c r="AL142" s="41">
        <v>0</v>
      </c>
      <c r="AM142" s="41">
        <f>Z142+AE142+AJ142</f>
        <v>38015824</v>
      </c>
      <c r="AN142" s="41">
        <f t="shared" si="37"/>
        <v>16419</v>
      </c>
      <c r="AO142" s="41">
        <f t="shared" si="38"/>
        <v>16419</v>
      </c>
      <c r="AP142" s="40"/>
      <c r="AQ142" s="36">
        <v>44986</v>
      </c>
      <c r="AR142" s="36">
        <v>45352</v>
      </c>
      <c r="AS142" s="36"/>
      <c r="AT142" s="36">
        <v>45000</v>
      </c>
      <c r="AU142" s="36">
        <v>45366</v>
      </c>
      <c r="AV142" s="38"/>
      <c r="AW142" s="40" t="s">
        <v>302</v>
      </c>
    </row>
    <row r="143" spans="1:50" ht="195" customHeight="1" x14ac:dyDescent="0.3">
      <c r="A143" s="39" t="s">
        <v>1012</v>
      </c>
      <c r="B143" s="36">
        <v>44721</v>
      </c>
      <c r="C143" s="37" t="s">
        <v>162</v>
      </c>
      <c r="D143" s="39" t="s">
        <v>1013</v>
      </c>
      <c r="E143" s="1" t="s">
        <v>1014</v>
      </c>
      <c r="F143" s="36">
        <v>44746</v>
      </c>
      <c r="G143" s="37" t="s">
        <v>1015</v>
      </c>
      <c r="H143" s="40" t="s">
        <v>177</v>
      </c>
      <c r="I143" s="40" t="s">
        <v>1016</v>
      </c>
      <c r="J143" s="57">
        <v>16789680.809999999</v>
      </c>
      <c r="K143" s="41">
        <v>16365009.57</v>
      </c>
      <c r="L143" s="30">
        <f t="shared" si="28"/>
        <v>16365009.57</v>
      </c>
      <c r="M143" s="30">
        <f t="shared" si="28"/>
        <v>16365009.57</v>
      </c>
      <c r="N143" s="40" t="s">
        <v>958</v>
      </c>
      <c r="O143" s="40" t="s">
        <v>1017</v>
      </c>
      <c r="P143" s="40" t="s">
        <v>47</v>
      </c>
      <c r="Q143" s="44">
        <v>100</v>
      </c>
      <c r="R143" s="37">
        <v>0</v>
      </c>
      <c r="S143" s="48" t="s">
        <v>200</v>
      </c>
      <c r="T143" s="48">
        <v>60</v>
      </c>
      <c r="U143" s="30">
        <f>M143/W143</f>
        <v>10.790000000000001</v>
      </c>
      <c r="V143" s="41">
        <f t="shared" si="39"/>
        <v>647.40000000000009</v>
      </c>
      <c r="W143" s="41">
        <f t="shared" si="35"/>
        <v>1516683</v>
      </c>
      <c r="X143" s="41">
        <v>1516683</v>
      </c>
      <c r="Y143" s="41"/>
      <c r="Z143" s="41"/>
      <c r="AA143" s="41"/>
      <c r="AB143" s="41"/>
      <c r="AC143" s="41"/>
      <c r="AD143" s="41"/>
      <c r="AE143" s="41"/>
      <c r="AF143" s="41"/>
      <c r="AG143" s="41"/>
      <c r="AH143" s="41"/>
      <c r="AI143" s="41"/>
      <c r="AJ143" s="41"/>
      <c r="AK143" s="41"/>
      <c r="AL143" s="41"/>
      <c r="AM143" s="41"/>
      <c r="AN143" s="41">
        <f t="shared" si="37"/>
        <v>25278.05</v>
      </c>
      <c r="AO143" s="41">
        <f t="shared" si="38"/>
        <v>25279</v>
      </c>
      <c r="AP143" s="40"/>
      <c r="AQ143" s="36">
        <v>44986</v>
      </c>
      <c r="AR143" s="36"/>
      <c r="AS143" s="36"/>
      <c r="AT143" s="36">
        <v>45000</v>
      </c>
      <c r="AU143" s="36"/>
      <c r="AV143" s="38"/>
      <c r="AW143" s="40" t="s">
        <v>87</v>
      </c>
    </row>
    <row r="144" spans="1:50" ht="156.6" customHeight="1" x14ac:dyDescent="0.3">
      <c r="A144" s="39" t="s">
        <v>1018</v>
      </c>
      <c r="B144" s="36">
        <v>44722</v>
      </c>
      <c r="C144" s="37" t="s">
        <v>162</v>
      </c>
      <c r="D144" s="39" t="s">
        <v>1019</v>
      </c>
      <c r="E144" s="1" t="s">
        <v>1020</v>
      </c>
      <c r="F144" s="36">
        <v>44750</v>
      </c>
      <c r="G144" s="39" t="s">
        <v>1021</v>
      </c>
      <c r="H144" s="40" t="s">
        <v>186</v>
      </c>
      <c r="I144" s="40" t="s">
        <v>1022</v>
      </c>
      <c r="J144" s="41">
        <v>790105012.04999995</v>
      </c>
      <c r="K144" s="41">
        <v>790105012.04999995</v>
      </c>
      <c r="L144" s="30">
        <v>1027123145.25</v>
      </c>
      <c r="M144" s="30">
        <f t="shared" ref="M144:M178" si="41">L144</f>
        <v>1027123145.25</v>
      </c>
      <c r="N144" s="40" t="s">
        <v>1023</v>
      </c>
      <c r="O144" s="40" t="s">
        <v>1024</v>
      </c>
      <c r="P144" s="40" t="s">
        <v>1025</v>
      </c>
      <c r="Q144" s="44">
        <v>0</v>
      </c>
      <c r="R144" s="37">
        <v>100</v>
      </c>
      <c r="S144" s="48" t="s">
        <v>200</v>
      </c>
      <c r="T144" s="48">
        <v>30</v>
      </c>
      <c r="U144" s="30">
        <f>M144/W144</f>
        <v>524.33000000000004</v>
      </c>
      <c r="V144" s="41">
        <f t="shared" si="39"/>
        <v>15729.900000000001</v>
      </c>
      <c r="W144" s="41">
        <f t="shared" si="35"/>
        <v>1958925</v>
      </c>
      <c r="X144" s="41">
        <v>1958925</v>
      </c>
      <c r="Y144" s="41"/>
      <c r="Z144" s="41"/>
      <c r="AA144" s="41"/>
      <c r="AB144" s="41"/>
      <c r="AC144" s="41"/>
      <c r="AD144" s="41"/>
      <c r="AE144" s="41"/>
      <c r="AF144" s="41"/>
      <c r="AG144" s="41"/>
      <c r="AH144" s="41"/>
      <c r="AI144" s="41"/>
      <c r="AJ144" s="41"/>
      <c r="AK144" s="41"/>
      <c r="AL144" s="41"/>
      <c r="AM144" s="41"/>
      <c r="AN144" s="41">
        <f t="shared" si="37"/>
        <v>65297.5</v>
      </c>
      <c r="AO144" s="41">
        <f t="shared" si="38"/>
        <v>65298</v>
      </c>
      <c r="AP144" s="40"/>
      <c r="AQ144" s="36">
        <v>44986</v>
      </c>
      <c r="AR144" s="36"/>
      <c r="AS144" s="36"/>
      <c r="AT144" s="36">
        <v>45000</v>
      </c>
      <c r="AU144" s="36"/>
      <c r="AV144" s="38"/>
      <c r="AW144" s="40" t="s">
        <v>87</v>
      </c>
    </row>
    <row r="145" spans="1:49" s="34" customFormat="1" ht="72" x14ac:dyDescent="0.3">
      <c r="A145" s="39" t="s">
        <v>1026</v>
      </c>
      <c r="B145" s="36">
        <v>44722</v>
      </c>
      <c r="C145" s="37" t="s">
        <v>162</v>
      </c>
      <c r="D145" s="39" t="s">
        <v>1027</v>
      </c>
      <c r="E145" s="1" t="s">
        <v>1028</v>
      </c>
      <c r="F145" s="36">
        <v>44746</v>
      </c>
      <c r="G145" s="37" t="s">
        <v>1029</v>
      </c>
      <c r="H145" s="40" t="s">
        <v>177</v>
      </c>
      <c r="I145" s="40" t="s">
        <v>1030</v>
      </c>
      <c r="J145" s="41">
        <v>883797.6</v>
      </c>
      <c r="K145" s="41">
        <v>883797.6</v>
      </c>
      <c r="L145" s="30">
        <f t="shared" ref="L145:L178" si="42">K145</f>
        <v>883797.6</v>
      </c>
      <c r="M145" s="30">
        <f t="shared" si="41"/>
        <v>883797.6</v>
      </c>
      <c r="N145" s="40" t="s">
        <v>179</v>
      </c>
      <c r="O145" s="40" t="s">
        <v>1031</v>
      </c>
      <c r="P145" s="40" t="s">
        <v>1032</v>
      </c>
      <c r="Q145" s="44">
        <v>0</v>
      </c>
      <c r="R145" s="37">
        <v>100</v>
      </c>
      <c r="S145" s="37" t="s">
        <v>200</v>
      </c>
      <c r="T145" s="48">
        <v>60</v>
      </c>
      <c r="U145" s="30">
        <f>M145/W145</f>
        <v>33.94</v>
      </c>
      <c r="V145" s="41">
        <f t="shared" si="39"/>
        <v>2036.3999999999999</v>
      </c>
      <c r="W145" s="41">
        <f t="shared" si="35"/>
        <v>26040</v>
      </c>
      <c r="X145" s="41">
        <v>26040</v>
      </c>
      <c r="Y145" s="41"/>
      <c r="Z145" s="41"/>
      <c r="AA145" s="41"/>
      <c r="AB145" s="41"/>
      <c r="AC145" s="41"/>
      <c r="AD145" s="41"/>
      <c r="AE145" s="41"/>
      <c r="AF145" s="41"/>
      <c r="AG145" s="41"/>
      <c r="AH145" s="41"/>
      <c r="AI145" s="41"/>
      <c r="AJ145" s="41"/>
      <c r="AK145" s="41"/>
      <c r="AL145" s="41"/>
      <c r="AM145" s="41"/>
      <c r="AN145" s="41">
        <f t="shared" si="37"/>
        <v>434</v>
      </c>
      <c r="AO145" s="41">
        <f t="shared" si="38"/>
        <v>434</v>
      </c>
      <c r="AP145" s="40"/>
      <c r="AQ145" s="36">
        <v>44958</v>
      </c>
      <c r="AR145" s="36"/>
      <c r="AS145" s="36"/>
      <c r="AT145" s="36">
        <v>44972</v>
      </c>
      <c r="AU145" s="36"/>
      <c r="AV145" s="38"/>
      <c r="AW145" s="40" t="s">
        <v>87</v>
      </c>
    </row>
    <row r="146" spans="1:49" s="34" customFormat="1" ht="156.6" customHeight="1" x14ac:dyDescent="0.3">
      <c r="A146" s="39" t="s">
        <v>1033</v>
      </c>
      <c r="B146" s="36">
        <v>44722</v>
      </c>
      <c r="C146" s="37" t="s">
        <v>162</v>
      </c>
      <c r="D146" s="39" t="s">
        <v>1034</v>
      </c>
      <c r="E146" s="1" t="s">
        <v>1035</v>
      </c>
      <c r="F146" s="36">
        <v>44746</v>
      </c>
      <c r="G146" s="39" t="s">
        <v>1036</v>
      </c>
      <c r="H146" s="40" t="s">
        <v>571</v>
      </c>
      <c r="I146" s="40" t="s">
        <v>1037</v>
      </c>
      <c r="J146" s="41">
        <v>107997369.48</v>
      </c>
      <c r="K146" s="41">
        <v>106367039.56</v>
      </c>
      <c r="L146" s="30">
        <f t="shared" si="42"/>
        <v>106367039.56</v>
      </c>
      <c r="M146" s="30">
        <f t="shared" si="41"/>
        <v>106367039.56</v>
      </c>
      <c r="N146" s="40" t="s">
        <v>1038</v>
      </c>
      <c r="O146" s="40" t="s">
        <v>1039</v>
      </c>
      <c r="P146" s="40" t="s">
        <v>47</v>
      </c>
      <c r="Q146" s="44">
        <v>100</v>
      </c>
      <c r="R146" s="37">
        <v>0</v>
      </c>
      <c r="S146" s="48" t="s">
        <v>200</v>
      </c>
      <c r="T146" s="48">
        <v>60</v>
      </c>
      <c r="U146" s="30">
        <f>M146/W146</f>
        <v>88.73</v>
      </c>
      <c r="V146" s="41">
        <f t="shared" si="39"/>
        <v>5323.8</v>
      </c>
      <c r="W146" s="41">
        <f t="shared" si="35"/>
        <v>1198772</v>
      </c>
      <c r="X146" s="41">
        <v>1198772</v>
      </c>
      <c r="Y146" s="41"/>
      <c r="Z146" s="41"/>
      <c r="AA146" s="41"/>
      <c r="AB146" s="41"/>
      <c r="AC146" s="41"/>
      <c r="AD146" s="41"/>
      <c r="AE146" s="41"/>
      <c r="AF146" s="41"/>
      <c r="AG146" s="41"/>
      <c r="AH146" s="41"/>
      <c r="AI146" s="41"/>
      <c r="AJ146" s="41"/>
      <c r="AK146" s="41"/>
      <c r="AL146" s="41"/>
      <c r="AM146" s="41"/>
      <c r="AN146" s="41">
        <f t="shared" si="37"/>
        <v>19979.533333333333</v>
      </c>
      <c r="AO146" s="41">
        <f t="shared" si="38"/>
        <v>19980</v>
      </c>
      <c r="AP146" s="40"/>
      <c r="AQ146" s="36">
        <v>44986</v>
      </c>
      <c r="AR146" s="36"/>
      <c r="AS146" s="36"/>
      <c r="AT146" s="36">
        <v>45000</v>
      </c>
      <c r="AU146" s="36"/>
      <c r="AV146" s="38"/>
      <c r="AW146" s="40" t="s">
        <v>87</v>
      </c>
    </row>
    <row r="147" spans="1:49" s="34" customFormat="1" ht="46.8" x14ac:dyDescent="0.3">
      <c r="A147" s="39" t="s">
        <v>1040</v>
      </c>
      <c r="B147" s="36">
        <v>44722</v>
      </c>
      <c r="C147" s="37">
        <v>1416</v>
      </c>
      <c r="D147" s="39" t="s">
        <v>459</v>
      </c>
      <c r="E147" s="40" t="s">
        <v>459</v>
      </c>
      <c r="F147" s="36" t="s">
        <v>459</v>
      </c>
      <c r="G147" s="37" t="s">
        <v>459</v>
      </c>
      <c r="H147" s="40" t="s">
        <v>459</v>
      </c>
      <c r="I147" s="40" t="s">
        <v>1041</v>
      </c>
      <c r="J147" s="41">
        <v>34790520</v>
      </c>
      <c r="K147" s="41">
        <v>0</v>
      </c>
      <c r="L147" s="30">
        <f t="shared" si="42"/>
        <v>0</v>
      </c>
      <c r="M147" s="30">
        <f t="shared" si="41"/>
        <v>0</v>
      </c>
      <c r="N147" s="40"/>
      <c r="O147" s="40"/>
      <c r="P147" s="40"/>
      <c r="Q147" s="44"/>
      <c r="R147" s="37"/>
      <c r="S147" s="37"/>
      <c r="T147" s="48"/>
      <c r="U147" s="30" t="e">
        <f>M147/W147</f>
        <v>#DIV/0!</v>
      </c>
      <c r="V147" s="41" t="e">
        <f t="shared" si="39"/>
        <v>#DIV/0!</v>
      </c>
      <c r="W147" s="41">
        <f t="shared" si="35"/>
        <v>0</v>
      </c>
      <c r="X147" s="41"/>
      <c r="Y147" s="41"/>
      <c r="Z147" s="41"/>
      <c r="AA147" s="41"/>
      <c r="AB147" s="41"/>
      <c r="AC147" s="41"/>
      <c r="AD147" s="41"/>
      <c r="AE147" s="41"/>
      <c r="AF147" s="41"/>
      <c r="AG147" s="41"/>
      <c r="AH147" s="41"/>
      <c r="AI147" s="41"/>
      <c r="AJ147" s="41"/>
      <c r="AK147" s="41"/>
      <c r="AL147" s="41"/>
      <c r="AM147" s="41"/>
      <c r="AN147" s="41" t="e">
        <f t="shared" si="37"/>
        <v>#DIV/0!</v>
      </c>
      <c r="AO147" s="41" t="e">
        <f t="shared" si="38"/>
        <v>#DIV/0!</v>
      </c>
      <c r="AP147" s="40"/>
      <c r="AQ147" s="36"/>
      <c r="AR147" s="36"/>
      <c r="AS147" s="36"/>
      <c r="AT147" s="36"/>
      <c r="AU147" s="36"/>
      <c r="AV147" s="38"/>
      <c r="AW147" s="40"/>
    </row>
    <row r="148" spans="1:49" s="34" customFormat="1" ht="139.5" customHeight="1" x14ac:dyDescent="0.3">
      <c r="A148" s="39" t="s">
        <v>1042</v>
      </c>
      <c r="B148" s="36">
        <v>44728</v>
      </c>
      <c r="C148" s="37" t="s">
        <v>162</v>
      </c>
      <c r="D148" s="39" t="s">
        <v>1043</v>
      </c>
      <c r="E148" s="1" t="s">
        <v>1044</v>
      </c>
      <c r="F148" s="36">
        <v>44763</v>
      </c>
      <c r="G148" s="39" t="s">
        <v>1045</v>
      </c>
      <c r="H148" s="40" t="s">
        <v>555</v>
      </c>
      <c r="I148" s="40" t="s">
        <v>1046</v>
      </c>
      <c r="J148" s="41">
        <v>7912595.0199999996</v>
      </c>
      <c r="K148" s="41">
        <v>1219198</v>
      </c>
      <c r="L148" s="30">
        <f t="shared" si="42"/>
        <v>1219198</v>
      </c>
      <c r="M148" s="30">
        <f t="shared" si="41"/>
        <v>1219198</v>
      </c>
      <c r="N148" s="40" t="s">
        <v>1047</v>
      </c>
      <c r="O148" s="40" t="s">
        <v>1048</v>
      </c>
      <c r="P148" s="40" t="s">
        <v>47</v>
      </c>
      <c r="Q148" s="44">
        <v>100</v>
      </c>
      <c r="R148" s="37">
        <v>0</v>
      </c>
      <c r="S148" s="37" t="s">
        <v>219</v>
      </c>
      <c r="T148" s="48">
        <v>240</v>
      </c>
      <c r="U148" s="30">
        <f>M148/W148</f>
        <v>1</v>
      </c>
      <c r="V148" s="41">
        <f t="shared" si="39"/>
        <v>240</v>
      </c>
      <c r="W148" s="41">
        <f t="shared" si="35"/>
        <v>1219198</v>
      </c>
      <c r="X148" s="41">
        <v>1219198</v>
      </c>
      <c r="Y148" s="41"/>
      <c r="Z148" s="41"/>
      <c r="AA148" s="41"/>
      <c r="AB148" s="41"/>
      <c r="AC148" s="41"/>
      <c r="AD148" s="41"/>
      <c r="AE148" s="41"/>
      <c r="AF148" s="41"/>
      <c r="AG148" s="41"/>
      <c r="AH148" s="41"/>
      <c r="AI148" s="41"/>
      <c r="AJ148" s="41"/>
      <c r="AK148" s="41"/>
      <c r="AL148" s="41"/>
      <c r="AM148" s="41"/>
      <c r="AN148" s="41">
        <f t="shared" si="37"/>
        <v>5079.9916666666668</v>
      </c>
      <c r="AO148" s="41">
        <f t="shared" si="38"/>
        <v>5080</v>
      </c>
      <c r="AP148" s="40"/>
      <c r="AQ148" s="36">
        <v>44986</v>
      </c>
      <c r="AR148" s="36"/>
      <c r="AS148" s="36"/>
      <c r="AT148" s="36">
        <v>45000</v>
      </c>
      <c r="AU148" s="36"/>
      <c r="AV148" s="38"/>
      <c r="AW148" s="40" t="s">
        <v>87</v>
      </c>
    </row>
    <row r="149" spans="1:49" s="34" customFormat="1" ht="72" x14ac:dyDescent="0.3">
      <c r="A149" s="39" t="s">
        <v>1049</v>
      </c>
      <c r="B149" s="36">
        <v>44728</v>
      </c>
      <c r="C149" s="37" t="s">
        <v>162</v>
      </c>
      <c r="D149" s="39" t="s">
        <v>1050</v>
      </c>
      <c r="E149" s="1" t="s">
        <v>1051</v>
      </c>
      <c r="F149" s="36">
        <v>44754</v>
      </c>
      <c r="G149" s="37" t="s">
        <v>1052</v>
      </c>
      <c r="H149" s="40" t="s">
        <v>177</v>
      </c>
      <c r="I149" s="40" t="s">
        <v>1053</v>
      </c>
      <c r="J149" s="41">
        <v>57518090.880000003</v>
      </c>
      <c r="K149" s="41">
        <v>56931969.030000001</v>
      </c>
      <c r="L149" s="30">
        <f t="shared" si="42"/>
        <v>56931969.030000001</v>
      </c>
      <c r="M149" s="30">
        <f t="shared" si="41"/>
        <v>56931969.030000001</v>
      </c>
      <c r="N149" s="40" t="s">
        <v>1054</v>
      </c>
      <c r="O149" s="40" t="s">
        <v>1055</v>
      </c>
      <c r="P149" s="40" t="s">
        <v>47</v>
      </c>
      <c r="Q149" s="44">
        <v>100</v>
      </c>
      <c r="R149" s="37">
        <v>0</v>
      </c>
      <c r="S149" s="37" t="s">
        <v>200</v>
      </c>
      <c r="T149" s="48">
        <v>30</v>
      </c>
      <c r="U149" s="30">
        <f>M149/W149</f>
        <v>43.71</v>
      </c>
      <c r="V149" s="41">
        <f t="shared" si="39"/>
        <v>1311.3</v>
      </c>
      <c r="W149" s="41">
        <f t="shared" si="35"/>
        <v>1302493</v>
      </c>
      <c r="X149" s="41">
        <v>1302493</v>
      </c>
      <c r="Y149" s="41"/>
      <c r="Z149" s="41"/>
      <c r="AA149" s="41"/>
      <c r="AB149" s="41"/>
      <c r="AC149" s="41"/>
      <c r="AD149" s="41"/>
      <c r="AE149" s="41"/>
      <c r="AF149" s="41"/>
      <c r="AG149" s="41"/>
      <c r="AH149" s="41"/>
      <c r="AI149" s="41"/>
      <c r="AJ149" s="41"/>
      <c r="AK149" s="41"/>
      <c r="AL149" s="41"/>
      <c r="AM149" s="41"/>
      <c r="AN149" s="41">
        <f t="shared" si="37"/>
        <v>43416.433333333334</v>
      </c>
      <c r="AO149" s="41">
        <f t="shared" si="38"/>
        <v>43417</v>
      </c>
      <c r="AP149" s="40"/>
      <c r="AQ149" s="36">
        <v>44986</v>
      </c>
      <c r="AR149" s="36"/>
      <c r="AS149" s="36"/>
      <c r="AT149" s="36">
        <v>45000</v>
      </c>
      <c r="AU149" s="36"/>
      <c r="AV149" s="38"/>
      <c r="AW149" s="40" t="s">
        <v>87</v>
      </c>
    </row>
    <row r="150" spans="1:49" s="34" customFormat="1" x14ac:dyDescent="0.3">
      <c r="A150" s="39" t="s">
        <v>1056</v>
      </c>
      <c r="B150" s="36">
        <v>44728</v>
      </c>
      <c r="C150" s="37" t="s">
        <v>162</v>
      </c>
      <c r="D150" s="39" t="s">
        <v>459</v>
      </c>
      <c r="E150" s="1" t="s">
        <v>459</v>
      </c>
      <c r="F150" s="36" t="s">
        <v>459</v>
      </c>
      <c r="G150" s="39" t="s">
        <v>459</v>
      </c>
      <c r="H150" s="40" t="s">
        <v>459</v>
      </c>
      <c r="I150" s="40" t="s">
        <v>1057</v>
      </c>
      <c r="J150" s="41">
        <v>9348992.4000000004</v>
      </c>
      <c r="K150" s="41">
        <v>0</v>
      </c>
      <c r="L150" s="30">
        <f t="shared" si="42"/>
        <v>0</v>
      </c>
      <c r="M150" s="30">
        <f t="shared" si="41"/>
        <v>0</v>
      </c>
      <c r="N150" s="40"/>
      <c r="O150" s="40"/>
      <c r="P150" s="40"/>
      <c r="Q150" s="44"/>
      <c r="R150" s="37"/>
      <c r="S150" s="37"/>
      <c r="T150" s="48"/>
      <c r="U150" s="30" t="e">
        <f>M150/W150</f>
        <v>#DIV/0!</v>
      </c>
      <c r="V150" s="41" t="e">
        <f t="shared" si="39"/>
        <v>#DIV/0!</v>
      </c>
      <c r="W150" s="41">
        <f t="shared" si="35"/>
        <v>0</v>
      </c>
      <c r="X150" s="41"/>
      <c r="Y150" s="41"/>
      <c r="Z150" s="41"/>
      <c r="AA150" s="41"/>
      <c r="AB150" s="41"/>
      <c r="AC150" s="41"/>
      <c r="AD150" s="41"/>
      <c r="AE150" s="41"/>
      <c r="AF150" s="41"/>
      <c r="AG150" s="41"/>
      <c r="AH150" s="41"/>
      <c r="AI150" s="41"/>
      <c r="AJ150" s="41"/>
      <c r="AK150" s="41"/>
      <c r="AL150" s="41"/>
      <c r="AM150" s="41"/>
      <c r="AN150" s="41" t="e">
        <f t="shared" si="37"/>
        <v>#DIV/0!</v>
      </c>
      <c r="AO150" s="41" t="e">
        <f t="shared" si="38"/>
        <v>#DIV/0!</v>
      </c>
      <c r="AP150" s="40"/>
      <c r="AQ150" s="36"/>
      <c r="AR150" s="36"/>
      <c r="AS150" s="36"/>
      <c r="AT150" s="36"/>
      <c r="AU150" s="36"/>
      <c r="AV150" s="38"/>
      <c r="AW150" s="40"/>
    </row>
    <row r="151" spans="1:49" s="34" customFormat="1" ht="109.5" customHeight="1" x14ac:dyDescent="0.3">
      <c r="A151" s="39" t="s">
        <v>1058</v>
      </c>
      <c r="B151" s="36">
        <v>44728</v>
      </c>
      <c r="C151" s="37" t="s">
        <v>162</v>
      </c>
      <c r="D151" s="39" t="s">
        <v>1059</v>
      </c>
      <c r="E151" s="1" t="s">
        <v>1060</v>
      </c>
      <c r="F151" s="36">
        <v>44764</v>
      </c>
      <c r="G151" s="37" t="s">
        <v>1061</v>
      </c>
      <c r="H151" s="40" t="s">
        <v>571</v>
      </c>
      <c r="I151" s="40" t="s">
        <v>1062</v>
      </c>
      <c r="J151" s="41">
        <v>165475598.19999999</v>
      </c>
      <c r="K151" s="41">
        <v>164631709.34</v>
      </c>
      <c r="L151" s="30">
        <f t="shared" si="42"/>
        <v>164631709.34</v>
      </c>
      <c r="M151" s="30">
        <f t="shared" si="41"/>
        <v>164631709.34</v>
      </c>
      <c r="N151" s="40" t="s">
        <v>1063</v>
      </c>
      <c r="O151" s="40" t="s">
        <v>1064</v>
      </c>
      <c r="P151" s="40" t="s">
        <v>47</v>
      </c>
      <c r="Q151" s="44">
        <v>100</v>
      </c>
      <c r="R151" s="37">
        <v>0</v>
      </c>
      <c r="S151" s="37" t="s">
        <v>200</v>
      </c>
      <c r="T151" s="48">
        <v>60</v>
      </c>
      <c r="U151" s="30">
        <f>M151/W151</f>
        <v>89.74</v>
      </c>
      <c r="V151" s="41">
        <f t="shared" si="39"/>
        <v>5384.4</v>
      </c>
      <c r="W151" s="41">
        <f t="shared" si="35"/>
        <v>1834541</v>
      </c>
      <c r="X151" s="41">
        <v>1834541</v>
      </c>
      <c r="Y151" s="41"/>
      <c r="Z151" s="41"/>
      <c r="AA151" s="41"/>
      <c r="AB151" s="41"/>
      <c r="AC151" s="41"/>
      <c r="AD151" s="41"/>
      <c r="AE151" s="41"/>
      <c r="AF151" s="41"/>
      <c r="AG151" s="41"/>
      <c r="AH151" s="41"/>
      <c r="AI151" s="41"/>
      <c r="AJ151" s="41"/>
      <c r="AK151" s="41"/>
      <c r="AL151" s="41"/>
      <c r="AM151" s="41"/>
      <c r="AN151" s="41">
        <f t="shared" si="37"/>
        <v>30575.683333333334</v>
      </c>
      <c r="AO151" s="41">
        <f t="shared" si="38"/>
        <v>30576</v>
      </c>
      <c r="AP151" s="40"/>
      <c r="AQ151" s="36">
        <v>44986</v>
      </c>
      <c r="AR151" s="36"/>
      <c r="AS151" s="36"/>
      <c r="AT151" s="36">
        <v>45000</v>
      </c>
      <c r="AU151" s="36"/>
      <c r="AV151" s="38"/>
      <c r="AW151" s="40" t="s">
        <v>87</v>
      </c>
    </row>
    <row r="152" spans="1:49" s="34" customFormat="1" ht="72" x14ac:dyDescent="0.3">
      <c r="A152" s="39" t="s">
        <v>1065</v>
      </c>
      <c r="B152" s="36">
        <v>44728</v>
      </c>
      <c r="C152" s="37" t="s">
        <v>162</v>
      </c>
      <c r="D152" s="39" t="s">
        <v>1066</v>
      </c>
      <c r="E152" s="1" t="s">
        <v>1067</v>
      </c>
      <c r="F152" s="36">
        <v>44761</v>
      </c>
      <c r="G152" s="39" t="s">
        <v>1068</v>
      </c>
      <c r="H152" s="40" t="s">
        <v>887</v>
      </c>
      <c r="I152" s="40" t="s">
        <v>1069</v>
      </c>
      <c r="J152" s="41">
        <v>28018708.199999999</v>
      </c>
      <c r="K152" s="41">
        <v>15234622.199999999</v>
      </c>
      <c r="L152" s="30">
        <f t="shared" si="42"/>
        <v>15234622.199999999</v>
      </c>
      <c r="M152" s="30">
        <f t="shared" si="41"/>
        <v>15234622.199999999</v>
      </c>
      <c r="N152" s="40" t="s">
        <v>1070</v>
      </c>
      <c r="O152" s="40" t="s">
        <v>1071</v>
      </c>
      <c r="P152" s="40" t="s">
        <v>47</v>
      </c>
      <c r="Q152" s="44">
        <v>100</v>
      </c>
      <c r="R152" s="37">
        <v>0</v>
      </c>
      <c r="S152" s="37" t="s">
        <v>200</v>
      </c>
      <c r="T152" s="48">
        <v>60</v>
      </c>
      <c r="U152" s="30">
        <f>M152/W152</f>
        <v>50.169999999999995</v>
      </c>
      <c r="V152" s="41">
        <f t="shared" si="39"/>
        <v>3010.2</v>
      </c>
      <c r="W152" s="41">
        <f t="shared" si="35"/>
        <v>303660</v>
      </c>
      <c r="X152" s="41">
        <v>303660</v>
      </c>
      <c r="Y152" s="41"/>
      <c r="Z152" s="41"/>
      <c r="AA152" s="41"/>
      <c r="AB152" s="41"/>
      <c r="AC152" s="41"/>
      <c r="AD152" s="41"/>
      <c r="AE152" s="41"/>
      <c r="AF152" s="41"/>
      <c r="AG152" s="41"/>
      <c r="AH152" s="41"/>
      <c r="AI152" s="41"/>
      <c r="AJ152" s="41"/>
      <c r="AK152" s="41"/>
      <c r="AL152" s="41"/>
      <c r="AM152" s="41"/>
      <c r="AN152" s="41">
        <f t="shared" si="37"/>
        <v>5061</v>
      </c>
      <c r="AO152" s="41">
        <f t="shared" si="38"/>
        <v>5061</v>
      </c>
      <c r="AP152" s="40"/>
      <c r="AQ152" s="36">
        <v>44986</v>
      </c>
      <c r="AR152" s="36"/>
      <c r="AS152" s="36"/>
      <c r="AT152" s="36">
        <v>45000</v>
      </c>
      <c r="AU152" s="36"/>
      <c r="AV152" s="38"/>
      <c r="AW152" s="40" t="s">
        <v>87</v>
      </c>
    </row>
    <row r="153" spans="1:49" s="34" customFormat="1" ht="141" customHeight="1" x14ac:dyDescent="0.3">
      <c r="A153" s="39" t="s">
        <v>1072</v>
      </c>
      <c r="B153" s="36">
        <v>44728</v>
      </c>
      <c r="C153" s="37" t="s">
        <v>162</v>
      </c>
      <c r="D153" s="39" t="s">
        <v>1073</v>
      </c>
      <c r="E153" s="1" t="s">
        <v>1074</v>
      </c>
      <c r="F153" s="36">
        <v>44754</v>
      </c>
      <c r="G153" s="39" t="s">
        <v>1075</v>
      </c>
      <c r="H153" s="40" t="s">
        <v>571</v>
      </c>
      <c r="I153" s="40" t="s">
        <v>1076</v>
      </c>
      <c r="J153" s="41">
        <v>229637531.88999999</v>
      </c>
      <c r="K153" s="41">
        <v>228488112.71000001</v>
      </c>
      <c r="L153" s="30">
        <f t="shared" si="42"/>
        <v>228488112.71000001</v>
      </c>
      <c r="M153" s="30">
        <f t="shared" si="41"/>
        <v>228488112.71000001</v>
      </c>
      <c r="N153" s="40" t="s">
        <v>1077</v>
      </c>
      <c r="O153" s="40" t="s">
        <v>1078</v>
      </c>
      <c r="P153" s="40" t="s">
        <v>47</v>
      </c>
      <c r="Q153" s="44">
        <v>100</v>
      </c>
      <c r="R153" s="37">
        <v>0</v>
      </c>
      <c r="S153" s="37" t="s">
        <v>200</v>
      </c>
      <c r="T153" s="54" t="s">
        <v>1079</v>
      </c>
      <c r="U153" s="30">
        <f>M153/W153</f>
        <v>27.830000000000002</v>
      </c>
      <c r="V153" s="57" t="s">
        <v>1080</v>
      </c>
      <c r="W153" s="41">
        <f t="shared" si="35"/>
        <v>8210137</v>
      </c>
      <c r="X153" s="41">
        <v>8210137</v>
      </c>
      <c r="Y153" s="41"/>
      <c r="Z153" s="41"/>
      <c r="AA153" s="41"/>
      <c r="AB153" s="41"/>
      <c r="AC153" s="41"/>
      <c r="AD153" s="41"/>
      <c r="AE153" s="41"/>
      <c r="AF153" s="41"/>
      <c r="AG153" s="41"/>
      <c r="AH153" s="41"/>
      <c r="AI153" s="41"/>
      <c r="AJ153" s="41"/>
      <c r="AK153" s="41"/>
      <c r="AL153" s="41"/>
      <c r="AM153" s="41"/>
      <c r="AN153" s="41">
        <v>273671.23</v>
      </c>
      <c r="AO153" s="41">
        <f t="shared" si="38"/>
        <v>273672</v>
      </c>
      <c r="AP153" s="40"/>
      <c r="AQ153" s="36">
        <v>44986</v>
      </c>
      <c r="AR153" s="36"/>
      <c r="AS153" s="36"/>
      <c r="AT153" s="36">
        <v>45000</v>
      </c>
      <c r="AU153" s="36"/>
      <c r="AV153" s="38"/>
      <c r="AW153" s="40" t="s">
        <v>87</v>
      </c>
    </row>
    <row r="154" spans="1:49" s="34" customFormat="1" ht="72" x14ac:dyDescent="0.3">
      <c r="A154" s="39" t="s">
        <v>1081</v>
      </c>
      <c r="B154" s="36">
        <v>44728</v>
      </c>
      <c r="C154" s="37" t="s">
        <v>162</v>
      </c>
      <c r="D154" s="39" t="s">
        <v>1082</v>
      </c>
      <c r="E154" s="1" t="s">
        <v>1083</v>
      </c>
      <c r="F154" s="36">
        <v>44764</v>
      </c>
      <c r="G154" s="39" t="s">
        <v>1084</v>
      </c>
      <c r="H154" s="40" t="s">
        <v>177</v>
      </c>
      <c r="I154" s="40" t="s">
        <v>1085</v>
      </c>
      <c r="J154" s="41">
        <v>8821553.4000000004</v>
      </c>
      <c r="K154" s="41">
        <v>8821553.4000000004</v>
      </c>
      <c r="L154" s="30">
        <f t="shared" si="42"/>
        <v>8821553.4000000004</v>
      </c>
      <c r="M154" s="30">
        <f t="shared" si="41"/>
        <v>8821553.4000000004</v>
      </c>
      <c r="N154" s="40" t="s">
        <v>1086</v>
      </c>
      <c r="O154" s="40" t="s">
        <v>1087</v>
      </c>
      <c r="P154" s="40" t="s">
        <v>199</v>
      </c>
      <c r="Q154" s="44">
        <v>0</v>
      </c>
      <c r="R154" s="37">
        <v>100</v>
      </c>
      <c r="S154" s="37" t="s">
        <v>200</v>
      </c>
      <c r="T154" s="48">
        <v>30</v>
      </c>
      <c r="U154" s="30">
        <f>M154/W154</f>
        <v>387.42</v>
      </c>
      <c r="V154" s="41">
        <f t="shared" ref="V154:V163" si="43">U154*T154</f>
        <v>11622.6</v>
      </c>
      <c r="W154" s="41">
        <f t="shared" si="35"/>
        <v>22770</v>
      </c>
      <c r="X154" s="41">
        <v>22770</v>
      </c>
      <c r="Y154" s="41"/>
      <c r="Z154" s="41"/>
      <c r="AA154" s="41"/>
      <c r="AB154" s="41"/>
      <c r="AC154" s="41"/>
      <c r="AD154" s="41"/>
      <c r="AE154" s="41"/>
      <c r="AF154" s="41"/>
      <c r="AG154" s="41"/>
      <c r="AH154" s="41"/>
      <c r="AI154" s="41"/>
      <c r="AJ154" s="41"/>
      <c r="AK154" s="41"/>
      <c r="AL154" s="41"/>
      <c r="AM154" s="41"/>
      <c r="AN154" s="41">
        <f t="shared" ref="AN154:AN163" si="44">W154/T154</f>
        <v>759</v>
      </c>
      <c r="AO154" s="41">
        <f t="shared" si="38"/>
        <v>759</v>
      </c>
      <c r="AP154" s="40"/>
      <c r="AQ154" s="36">
        <v>44958</v>
      </c>
      <c r="AR154" s="36"/>
      <c r="AS154" s="36"/>
      <c r="AT154" s="36">
        <v>44972</v>
      </c>
      <c r="AU154" s="36"/>
      <c r="AV154" s="38"/>
      <c r="AW154" s="40" t="s">
        <v>87</v>
      </c>
    </row>
    <row r="155" spans="1:49" s="34" customFormat="1" ht="72" x14ac:dyDescent="0.3">
      <c r="A155" s="39" t="s">
        <v>1088</v>
      </c>
      <c r="B155" s="36">
        <v>44728</v>
      </c>
      <c r="C155" s="37" t="s">
        <v>162</v>
      </c>
      <c r="D155" s="39" t="s">
        <v>1089</v>
      </c>
      <c r="E155" s="1" t="s">
        <v>1090</v>
      </c>
      <c r="F155" s="36">
        <v>44761</v>
      </c>
      <c r="G155" s="39" t="s">
        <v>1091</v>
      </c>
      <c r="H155" s="40" t="s">
        <v>177</v>
      </c>
      <c r="I155" s="40" t="s">
        <v>1092</v>
      </c>
      <c r="J155" s="41">
        <v>48502972</v>
      </c>
      <c r="K155" s="41">
        <v>41465835.600000001</v>
      </c>
      <c r="L155" s="30">
        <f t="shared" si="42"/>
        <v>41465835.600000001</v>
      </c>
      <c r="M155" s="30">
        <f t="shared" si="41"/>
        <v>41465835.600000001</v>
      </c>
      <c r="N155" s="40" t="s">
        <v>1093</v>
      </c>
      <c r="O155" s="40" t="s">
        <v>1094</v>
      </c>
      <c r="P155" s="40" t="s">
        <v>47</v>
      </c>
      <c r="Q155" s="44">
        <v>100</v>
      </c>
      <c r="R155" s="37">
        <v>0</v>
      </c>
      <c r="S155" s="37" t="s">
        <v>200</v>
      </c>
      <c r="T155" s="48">
        <v>60</v>
      </c>
      <c r="U155" s="30">
        <f>M155/W155</f>
        <v>14.790000000000001</v>
      </c>
      <c r="V155" s="41">
        <f t="shared" si="43"/>
        <v>887.40000000000009</v>
      </c>
      <c r="W155" s="41">
        <f t="shared" si="35"/>
        <v>2803640</v>
      </c>
      <c r="X155" s="41">
        <v>2803640</v>
      </c>
      <c r="Y155" s="41"/>
      <c r="Z155" s="41"/>
      <c r="AA155" s="41"/>
      <c r="AB155" s="41"/>
      <c r="AC155" s="41"/>
      <c r="AD155" s="41"/>
      <c r="AE155" s="41"/>
      <c r="AF155" s="41"/>
      <c r="AG155" s="41"/>
      <c r="AH155" s="41"/>
      <c r="AI155" s="41"/>
      <c r="AJ155" s="41"/>
      <c r="AK155" s="41"/>
      <c r="AL155" s="41"/>
      <c r="AM155" s="41"/>
      <c r="AN155" s="41">
        <f t="shared" si="44"/>
        <v>46727.333333333336</v>
      </c>
      <c r="AO155" s="41">
        <f t="shared" si="38"/>
        <v>46728</v>
      </c>
      <c r="AP155" s="40"/>
      <c r="AQ155" s="36">
        <v>44986</v>
      </c>
      <c r="AR155" s="36"/>
      <c r="AS155" s="36"/>
      <c r="AT155" s="36">
        <v>45010</v>
      </c>
      <c r="AU155" s="36"/>
      <c r="AV155" s="38"/>
      <c r="AW155" s="40" t="s">
        <v>87</v>
      </c>
    </row>
    <row r="156" spans="1:49" s="34" customFormat="1" ht="72" x14ac:dyDescent="0.3">
      <c r="A156" s="39" t="s">
        <v>1095</v>
      </c>
      <c r="B156" s="36">
        <v>44728</v>
      </c>
      <c r="C156" s="37" t="s">
        <v>162</v>
      </c>
      <c r="D156" s="39" t="s">
        <v>1096</v>
      </c>
      <c r="E156" s="1" t="s">
        <v>1097</v>
      </c>
      <c r="F156" s="36">
        <v>44764</v>
      </c>
      <c r="G156" s="39" t="s">
        <v>1098</v>
      </c>
      <c r="H156" s="40" t="s">
        <v>177</v>
      </c>
      <c r="I156" s="40" t="s">
        <v>1099</v>
      </c>
      <c r="J156" s="57">
        <v>67619108.700000003</v>
      </c>
      <c r="K156" s="41">
        <v>67280361.719999999</v>
      </c>
      <c r="L156" s="30">
        <f t="shared" si="42"/>
        <v>67280361.719999999</v>
      </c>
      <c r="M156" s="30">
        <f t="shared" si="41"/>
        <v>67280361.719999999</v>
      </c>
      <c r="N156" s="40" t="s">
        <v>1093</v>
      </c>
      <c r="O156" s="40" t="s">
        <v>1100</v>
      </c>
      <c r="P156" s="40" t="s">
        <v>47</v>
      </c>
      <c r="Q156" s="44">
        <v>100</v>
      </c>
      <c r="R156" s="37">
        <v>0</v>
      </c>
      <c r="S156" s="37" t="s">
        <v>200</v>
      </c>
      <c r="T156" s="48">
        <v>30</v>
      </c>
      <c r="U156" s="30">
        <f>M156/W156</f>
        <v>25.82</v>
      </c>
      <c r="V156" s="41">
        <f t="shared" si="43"/>
        <v>774.6</v>
      </c>
      <c r="W156" s="41">
        <f t="shared" si="35"/>
        <v>2605746</v>
      </c>
      <c r="X156" s="41">
        <v>2605746</v>
      </c>
      <c r="Y156" s="41"/>
      <c r="Z156" s="41"/>
      <c r="AA156" s="41"/>
      <c r="AB156" s="41"/>
      <c r="AC156" s="41"/>
      <c r="AD156" s="41"/>
      <c r="AE156" s="41"/>
      <c r="AF156" s="41"/>
      <c r="AG156" s="41"/>
      <c r="AH156" s="41"/>
      <c r="AI156" s="41"/>
      <c r="AJ156" s="41"/>
      <c r="AK156" s="41"/>
      <c r="AL156" s="41"/>
      <c r="AM156" s="41"/>
      <c r="AN156" s="41">
        <f t="shared" si="44"/>
        <v>86858.2</v>
      </c>
      <c r="AO156" s="41">
        <f t="shared" si="38"/>
        <v>86859</v>
      </c>
      <c r="AP156" s="40"/>
      <c r="AQ156" s="36">
        <v>45047</v>
      </c>
      <c r="AR156" s="36"/>
      <c r="AS156" s="36"/>
      <c r="AT156" s="36">
        <v>45061</v>
      </c>
      <c r="AU156" s="36"/>
      <c r="AV156" s="38"/>
      <c r="AW156" s="40" t="s">
        <v>87</v>
      </c>
    </row>
    <row r="157" spans="1:49" s="34" customFormat="1" ht="31.2" x14ac:dyDescent="0.3">
      <c r="A157" s="39" t="s">
        <v>1101</v>
      </c>
      <c r="B157" s="36">
        <v>44728</v>
      </c>
      <c r="C157" s="37" t="s">
        <v>162</v>
      </c>
      <c r="D157" s="39" t="s">
        <v>459</v>
      </c>
      <c r="E157" s="40" t="s">
        <v>459</v>
      </c>
      <c r="F157" s="36" t="s">
        <v>459</v>
      </c>
      <c r="G157" s="37" t="s">
        <v>459</v>
      </c>
      <c r="H157" s="40" t="s">
        <v>459</v>
      </c>
      <c r="I157" s="40" t="s">
        <v>1102</v>
      </c>
      <c r="J157" s="41">
        <v>4327282</v>
      </c>
      <c r="K157" s="41">
        <v>0</v>
      </c>
      <c r="L157" s="30">
        <f t="shared" si="42"/>
        <v>0</v>
      </c>
      <c r="M157" s="30">
        <f t="shared" si="41"/>
        <v>0</v>
      </c>
      <c r="N157" s="40"/>
      <c r="O157" s="40"/>
      <c r="P157" s="40"/>
      <c r="Q157" s="44"/>
      <c r="R157" s="37"/>
      <c r="S157" s="37"/>
      <c r="T157" s="48"/>
      <c r="U157" s="30" t="e">
        <f>M157/W157</f>
        <v>#DIV/0!</v>
      </c>
      <c r="V157" s="41" t="e">
        <f t="shared" si="43"/>
        <v>#DIV/0!</v>
      </c>
      <c r="W157" s="41">
        <f t="shared" si="35"/>
        <v>0</v>
      </c>
      <c r="X157" s="41"/>
      <c r="Y157" s="41"/>
      <c r="Z157" s="41"/>
      <c r="AA157" s="41"/>
      <c r="AB157" s="41"/>
      <c r="AC157" s="41"/>
      <c r="AD157" s="41"/>
      <c r="AE157" s="41"/>
      <c r="AF157" s="41"/>
      <c r="AG157" s="41"/>
      <c r="AH157" s="41"/>
      <c r="AI157" s="41"/>
      <c r="AJ157" s="41"/>
      <c r="AK157" s="41"/>
      <c r="AL157" s="41"/>
      <c r="AM157" s="41"/>
      <c r="AN157" s="41" t="e">
        <f t="shared" si="44"/>
        <v>#DIV/0!</v>
      </c>
      <c r="AO157" s="41" t="e">
        <f t="shared" si="38"/>
        <v>#DIV/0!</v>
      </c>
      <c r="AP157" s="40"/>
      <c r="AQ157" s="36"/>
      <c r="AR157" s="36"/>
      <c r="AS157" s="36"/>
      <c r="AT157" s="36"/>
      <c r="AU157" s="36"/>
      <c r="AV157" s="38"/>
      <c r="AW157" s="40"/>
    </row>
    <row r="158" spans="1:49" s="34" customFormat="1" ht="72" x14ac:dyDescent="0.3">
      <c r="A158" s="39" t="s">
        <v>1103</v>
      </c>
      <c r="B158" s="36">
        <v>44728</v>
      </c>
      <c r="C158" s="37" t="s">
        <v>162</v>
      </c>
      <c r="D158" s="39" t="s">
        <v>1104</v>
      </c>
      <c r="E158" s="1" t="s">
        <v>1105</v>
      </c>
      <c r="F158" s="36">
        <v>44764</v>
      </c>
      <c r="G158" s="39" t="s">
        <v>1106</v>
      </c>
      <c r="H158" s="40" t="s">
        <v>177</v>
      </c>
      <c r="I158" s="40" t="s">
        <v>1107</v>
      </c>
      <c r="J158" s="41">
        <v>58337559.280000001</v>
      </c>
      <c r="K158" s="41">
        <v>58337559.280000001</v>
      </c>
      <c r="L158" s="30">
        <f t="shared" si="42"/>
        <v>58337559.280000001</v>
      </c>
      <c r="M158" s="30">
        <f t="shared" si="41"/>
        <v>58337559.280000001</v>
      </c>
      <c r="N158" s="40" t="s">
        <v>179</v>
      </c>
      <c r="O158" s="40" t="s">
        <v>1108</v>
      </c>
      <c r="P158" s="40" t="s">
        <v>1032</v>
      </c>
      <c r="Q158" s="44">
        <v>0</v>
      </c>
      <c r="R158" s="37">
        <v>100</v>
      </c>
      <c r="S158" s="37" t="s">
        <v>200</v>
      </c>
      <c r="T158" s="48">
        <v>60</v>
      </c>
      <c r="U158" s="30">
        <f>M158/W158</f>
        <v>127.82000000000001</v>
      </c>
      <c r="V158" s="41">
        <f t="shared" si="43"/>
        <v>7669.2000000000007</v>
      </c>
      <c r="W158" s="41">
        <f t="shared" si="35"/>
        <v>456404</v>
      </c>
      <c r="X158" s="41">
        <v>456404</v>
      </c>
      <c r="Y158" s="41"/>
      <c r="Z158" s="41"/>
      <c r="AA158" s="41"/>
      <c r="AB158" s="41"/>
      <c r="AC158" s="41"/>
      <c r="AD158" s="41"/>
      <c r="AE158" s="41"/>
      <c r="AF158" s="41"/>
      <c r="AG158" s="41"/>
      <c r="AH158" s="41"/>
      <c r="AI158" s="41"/>
      <c r="AJ158" s="41"/>
      <c r="AK158" s="41"/>
      <c r="AL158" s="41"/>
      <c r="AM158" s="41"/>
      <c r="AN158" s="41">
        <f t="shared" si="44"/>
        <v>7606.7333333333336</v>
      </c>
      <c r="AO158" s="41">
        <f t="shared" si="38"/>
        <v>7607</v>
      </c>
      <c r="AP158" s="40"/>
      <c r="AQ158" s="36">
        <v>44986</v>
      </c>
      <c r="AR158" s="36"/>
      <c r="AS158" s="36"/>
      <c r="AT158" s="36">
        <v>45000</v>
      </c>
      <c r="AU158" s="36"/>
      <c r="AV158" s="38"/>
      <c r="AW158" s="40" t="s">
        <v>87</v>
      </c>
    </row>
    <row r="159" spans="1:49" s="34" customFormat="1" ht="82.5" customHeight="1" x14ac:dyDescent="0.3">
      <c r="A159" s="39" t="s">
        <v>1109</v>
      </c>
      <c r="B159" s="36">
        <v>44728</v>
      </c>
      <c r="C159" s="37" t="s">
        <v>162</v>
      </c>
      <c r="D159" s="39" t="s">
        <v>1110</v>
      </c>
      <c r="E159" s="1" t="s">
        <v>1111</v>
      </c>
      <c r="F159" s="36">
        <v>44754</v>
      </c>
      <c r="G159" s="37" t="s">
        <v>1112</v>
      </c>
      <c r="H159" s="40" t="s">
        <v>555</v>
      </c>
      <c r="I159" s="40" t="s">
        <v>1113</v>
      </c>
      <c r="J159" s="41">
        <v>2651440</v>
      </c>
      <c r="K159" s="41">
        <v>2651440</v>
      </c>
      <c r="L159" s="30">
        <f t="shared" si="42"/>
        <v>2651440</v>
      </c>
      <c r="M159" s="30">
        <f t="shared" si="41"/>
        <v>2651440</v>
      </c>
      <c r="N159" s="40" t="s">
        <v>1114</v>
      </c>
      <c r="O159" s="40" t="s">
        <v>1115</v>
      </c>
      <c r="P159" s="40" t="s">
        <v>47</v>
      </c>
      <c r="Q159" s="44">
        <v>100</v>
      </c>
      <c r="R159" s="37">
        <v>0</v>
      </c>
      <c r="S159" s="37" t="s">
        <v>219</v>
      </c>
      <c r="T159" s="48">
        <v>200</v>
      </c>
      <c r="U159" s="30">
        <f>M159/W159</f>
        <v>2.2000000000000002</v>
      </c>
      <c r="V159" s="41">
        <f t="shared" si="43"/>
        <v>440.00000000000006</v>
      </c>
      <c r="W159" s="41">
        <f t="shared" si="35"/>
        <v>1205200</v>
      </c>
      <c r="X159" s="41">
        <v>1205200</v>
      </c>
      <c r="Y159" s="41"/>
      <c r="Z159" s="41"/>
      <c r="AA159" s="41"/>
      <c r="AB159" s="41"/>
      <c r="AC159" s="41"/>
      <c r="AD159" s="41"/>
      <c r="AE159" s="41"/>
      <c r="AF159" s="41"/>
      <c r="AG159" s="41"/>
      <c r="AH159" s="41"/>
      <c r="AI159" s="41"/>
      <c r="AJ159" s="41"/>
      <c r="AK159" s="41"/>
      <c r="AL159" s="41"/>
      <c r="AM159" s="41"/>
      <c r="AN159" s="41">
        <f t="shared" si="44"/>
        <v>6026</v>
      </c>
      <c r="AO159" s="41">
        <f t="shared" si="38"/>
        <v>6026</v>
      </c>
      <c r="AP159" s="40"/>
      <c r="AQ159" s="36">
        <v>44986</v>
      </c>
      <c r="AR159" s="36"/>
      <c r="AS159" s="36"/>
      <c r="AT159" s="36">
        <v>45000</v>
      </c>
      <c r="AU159" s="36"/>
      <c r="AV159" s="38"/>
      <c r="AW159" s="40" t="s">
        <v>49</v>
      </c>
    </row>
    <row r="160" spans="1:49" s="34" customFormat="1" ht="111" customHeight="1" x14ac:dyDescent="0.3">
      <c r="A160" s="39" t="s">
        <v>1116</v>
      </c>
      <c r="B160" s="36">
        <v>44728</v>
      </c>
      <c r="C160" s="37" t="s">
        <v>162</v>
      </c>
      <c r="D160" s="39" t="s">
        <v>1117</v>
      </c>
      <c r="E160" s="1" t="s">
        <v>1118</v>
      </c>
      <c r="F160" s="36">
        <v>44762</v>
      </c>
      <c r="G160" s="37" t="s">
        <v>1119</v>
      </c>
      <c r="H160" s="40" t="s">
        <v>186</v>
      </c>
      <c r="I160" s="40" t="s">
        <v>1120</v>
      </c>
      <c r="J160" s="57">
        <v>2279052</v>
      </c>
      <c r="K160" s="41">
        <v>2279052</v>
      </c>
      <c r="L160" s="30">
        <f t="shared" si="42"/>
        <v>2279052</v>
      </c>
      <c r="M160" s="30">
        <f t="shared" si="41"/>
        <v>2279052</v>
      </c>
      <c r="N160" s="40" t="s">
        <v>1121</v>
      </c>
      <c r="O160" s="40" t="s">
        <v>1122</v>
      </c>
      <c r="P160" s="40" t="s">
        <v>190</v>
      </c>
      <c r="Q160" s="44">
        <v>0</v>
      </c>
      <c r="R160" s="37">
        <v>100</v>
      </c>
      <c r="S160" s="37" t="s">
        <v>200</v>
      </c>
      <c r="T160" s="48">
        <v>120</v>
      </c>
      <c r="U160" s="30">
        <f>M160/W160</f>
        <v>64.38</v>
      </c>
      <c r="V160" s="41">
        <f t="shared" si="43"/>
        <v>7725.5999999999995</v>
      </c>
      <c r="W160" s="41">
        <f t="shared" si="35"/>
        <v>35400</v>
      </c>
      <c r="X160" s="41">
        <v>35400</v>
      </c>
      <c r="Y160" s="41"/>
      <c r="Z160" s="41"/>
      <c r="AA160" s="41"/>
      <c r="AB160" s="41"/>
      <c r="AC160" s="41"/>
      <c r="AD160" s="41"/>
      <c r="AE160" s="41"/>
      <c r="AF160" s="41"/>
      <c r="AG160" s="41"/>
      <c r="AH160" s="41"/>
      <c r="AI160" s="41"/>
      <c r="AJ160" s="41"/>
      <c r="AK160" s="41"/>
      <c r="AL160" s="41"/>
      <c r="AM160" s="41"/>
      <c r="AN160" s="41">
        <f t="shared" si="44"/>
        <v>295</v>
      </c>
      <c r="AO160" s="41">
        <f t="shared" si="38"/>
        <v>295</v>
      </c>
      <c r="AP160" s="40"/>
      <c r="AQ160" s="36">
        <v>44958</v>
      </c>
      <c r="AR160" s="36"/>
      <c r="AS160" s="36"/>
      <c r="AT160" s="36">
        <v>44958</v>
      </c>
      <c r="AU160" s="36"/>
      <c r="AV160" s="38"/>
      <c r="AW160" s="40" t="s">
        <v>87</v>
      </c>
    </row>
    <row r="161" spans="1:49" s="34" customFormat="1" ht="137.25" customHeight="1" x14ac:dyDescent="0.3">
      <c r="A161" s="39" t="s">
        <v>1123</v>
      </c>
      <c r="B161" s="36">
        <v>44728</v>
      </c>
      <c r="C161" s="37" t="s">
        <v>162</v>
      </c>
      <c r="D161" s="39" t="s">
        <v>1124</v>
      </c>
      <c r="E161" s="1" t="s">
        <v>1125</v>
      </c>
      <c r="F161" s="36">
        <v>44764</v>
      </c>
      <c r="G161" s="39" t="s">
        <v>1126</v>
      </c>
      <c r="H161" s="40" t="s">
        <v>571</v>
      </c>
      <c r="I161" s="40" t="s">
        <v>1127</v>
      </c>
      <c r="J161" s="41">
        <v>21490215.5</v>
      </c>
      <c r="K161" s="41">
        <v>13189039.5</v>
      </c>
      <c r="L161" s="30">
        <f t="shared" si="42"/>
        <v>13189039.5</v>
      </c>
      <c r="M161" s="30">
        <f t="shared" si="41"/>
        <v>13189039.5</v>
      </c>
      <c r="N161" s="40" t="s">
        <v>1128</v>
      </c>
      <c r="O161" s="40" t="s">
        <v>1129</v>
      </c>
      <c r="P161" s="40" t="s">
        <v>47</v>
      </c>
      <c r="Q161" s="44">
        <v>100</v>
      </c>
      <c r="R161" s="37">
        <v>0</v>
      </c>
      <c r="S161" s="37" t="s">
        <v>200</v>
      </c>
      <c r="T161" s="48">
        <v>30</v>
      </c>
      <c r="U161" s="30">
        <f>M161/W161</f>
        <v>4.83</v>
      </c>
      <c r="V161" s="41">
        <f t="shared" si="43"/>
        <v>144.9</v>
      </c>
      <c r="W161" s="41">
        <f t="shared" si="35"/>
        <v>2730650</v>
      </c>
      <c r="X161" s="41">
        <v>1200000</v>
      </c>
      <c r="Y161" s="41"/>
      <c r="Z161" s="41"/>
      <c r="AA161" s="41"/>
      <c r="AB161" s="41"/>
      <c r="AC161" s="41">
        <v>1530650</v>
      </c>
      <c r="AD161" s="41"/>
      <c r="AE161" s="41"/>
      <c r="AF161" s="41"/>
      <c r="AG161" s="41"/>
      <c r="AH161" s="41"/>
      <c r="AI161" s="41"/>
      <c r="AJ161" s="41"/>
      <c r="AK161" s="41"/>
      <c r="AL161" s="41"/>
      <c r="AM161" s="41"/>
      <c r="AN161" s="41">
        <f t="shared" si="44"/>
        <v>91021.666666666672</v>
      </c>
      <c r="AO161" s="41">
        <f t="shared" si="38"/>
        <v>91022</v>
      </c>
      <c r="AP161" s="40"/>
      <c r="AQ161" s="36">
        <v>44986</v>
      </c>
      <c r="AR161" s="36">
        <v>45108</v>
      </c>
      <c r="AS161" s="36"/>
      <c r="AT161" s="36">
        <v>45000</v>
      </c>
      <c r="AU161" s="36">
        <v>45122</v>
      </c>
      <c r="AV161" s="38"/>
      <c r="AW161" s="40" t="s">
        <v>87</v>
      </c>
    </row>
    <row r="162" spans="1:49" s="34" customFormat="1" ht="72" x14ac:dyDescent="0.3">
      <c r="A162" s="39" t="s">
        <v>1130</v>
      </c>
      <c r="B162" s="36">
        <v>44728</v>
      </c>
      <c r="C162" s="37" t="s">
        <v>162</v>
      </c>
      <c r="D162" s="39" t="s">
        <v>1131</v>
      </c>
      <c r="E162" s="1" t="s">
        <v>1132</v>
      </c>
      <c r="F162" s="36">
        <v>44764</v>
      </c>
      <c r="G162" s="39" t="s">
        <v>1133</v>
      </c>
      <c r="H162" s="40" t="s">
        <v>571</v>
      </c>
      <c r="I162" s="40" t="s">
        <v>1134</v>
      </c>
      <c r="J162" s="41">
        <v>6864018</v>
      </c>
      <c r="K162" s="41">
        <v>3935547</v>
      </c>
      <c r="L162" s="30">
        <f t="shared" si="42"/>
        <v>3935547</v>
      </c>
      <c r="M162" s="30">
        <f t="shared" si="41"/>
        <v>3935547</v>
      </c>
      <c r="N162" s="40" t="s">
        <v>1135</v>
      </c>
      <c r="O162" s="40" t="s">
        <v>1136</v>
      </c>
      <c r="P162" s="40" t="s">
        <v>47</v>
      </c>
      <c r="Q162" s="44">
        <v>100</v>
      </c>
      <c r="R162" s="37">
        <v>0</v>
      </c>
      <c r="S162" s="37" t="s">
        <v>200</v>
      </c>
      <c r="T162" s="48">
        <v>60</v>
      </c>
      <c r="U162" s="30">
        <f>M162/W162</f>
        <v>2.97</v>
      </c>
      <c r="V162" s="41">
        <f t="shared" si="43"/>
        <v>178.20000000000002</v>
      </c>
      <c r="W162" s="41">
        <f t="shared" si="35"/>
        <v>1325100</v>
      </c>
      <c r="X162" s="41">
        <v>1325100</v>
      </c>
      <c r="Y162" s="41"/>
      <c r="Z162" s="41"/>
      <c r="AA162" s="41"/>
      <c r="AB162" s="41"/>
      <c r="AC162" s="41"/>
      <c r="AD162" s="41"/>
      <c r="AE162" s="41"/>
      <c r="AF162" s="41"/>
      <c r="AG162" s="41"/>
      <c r="AH162" s="41"/>
      <c r="AI162" s="41"/>
      <c r="AJ162" s="41"/>
      <c r="AK162" s="41"/>
      <c r="AL162" s="41"/>
      <c r="AM162" s="41"/>
      <c r="AN162" s="41">
        <f t="shared" si="44"/>
        <v>22085</v>
      </c>
      <c r="AO162" s="41">
        <f t="shared" si="38"/>
        <v>22085</v>
      </c>
      <c r="AP162" s="40"/>
      <c r="AQ162" s="36">
        <v>44986</v>
      </c>
      <c r="AR162" s="36"/>
      <c r="AS162" s="36"/>
      <c r="AT162" s="36">
        <v>45000</v>
      </c>
      <c r="AU162" s="36"/>
      <c r="AV162" s="38"/>
      <c r="AW162" s="40" t="s">
        <v>87</v>
      </c>
    </row>
    <row r="163" spans="1:49" s="34" customFormat="1" ht="148.5" customHeight="1" x14ac:dyDescent="0.3">
      <c r="A163" s="39" t="s">
        <v>1137</v>
      </c>
      <c r="B163" s="36">
        <v>44728</v>
      </c>
      <c r="C163" s="37" t="s">
        <v>162</v>
      </c>
      <c r="D163" s="39" t="s">
        <v>1138</v>
      </c>
      <c r="E163" s="1" t="s">
        <v>1139</v>
      </c>
      <c r="F163" s="36">
        <v>44754</v>
      </c>
      <c r="G163" s="39" t="s">
        <v>1140</v>
      </c>
      <c r="H163" s="40" t="s">
        <v>571</v>
      </c>
      <c r="I163" s="40" t="s">
        <v>1141</v>
      </c>
      <c r="J163" s="41">
        <v>36845298</v>
      </c>
      <c r="K163" s="41">
        <v>26702936.399999999</v>
      </c>
      <c r="L163" s="30">
        <f t="shared" si="42"/>
        <v>26702936.399999999</v>
      </c>
      <c r="M163" s="30">
        <f t="shared" si="41"/>
        <v>26702936.399999999</v>
      </c>
      <c r="N163" s="40" t="s">
        <v>1142</v>
      </c>
      <c r="O163" s="40" t="s">
        <v>1143</v>
      </c>
      <c r="P163" s="40" t="s">
        <v>47</v>
      </c>
      <c r="Q163" s="44">
        <v>100</v>
      </c>
      <c r="R163" s="37">
        <v>0</v>
      </c>
      <c r="S163" s="37" t="s">
        <v>200</v>
      </c>
      <c r="T163" s="48">
        <v>60</v>
      </c>
      <c r="U163" s="30">
        <f>M163/W163</f>
        <v>6.7399999999999993</v>
      </c>
      <c r="V163" s="41">
        <f t="shared" si="43"/>
        <v>404.4</v>
      </c>
      <c r="W163" s="41">
        <f t="shared" si="35"/>
        <v>3961860</v>
      </c>
      <c r="X163" s="41">
        <v>3961860</v>
      </c>
      <c r="Y163" s="41"/>
      <c r="Z163" s="41"/>
      <c r="AA163" s="41"/>
      <c r="AB163" s="41"/>
      <c r="AC163" s="41"/>
      <c r="AD163" s="41"/>
      <c r="AE163" s="41"/>
      <c r="AF163" s="41"/>
      <c r="AG163" s="41"/>
      <c r="AH163" s="41"/>
      <c r="AI163" s="41"/>
      <c r="AJ163" s="41"/>
      <c r="AK163" s="41"/>
      <c r="AL163" s="41"/>
      <c r="AM163" s="41"/>
      <c r="AN163" s="41">
        <f t="shared" si="44"/>
        <v>66031</v>
      </c>
      <c r="AO163" s="41">
        <f t="shared" si="38"/>
        <v>66031</v>
      </c>
      <c r="AP163" s="40"/>
      <c r="AQ163" s="36">
        <v>44986</v>
      </c>
      <c r="AR163" s="36"/>
      <c r="AS163" s="36"/>
      <c r="AT163" s="36">
        <v>45000</v>
      </c>
      <c r="AU163" s="36"/>
      <c r="AV163" s="38"/>
      <c r="AW163" s="40" t="s">
        <v>87</v>
      </c>
    </row>
    <row r="164" spans="1:49" s="34" customFormat="1" ht="86.25" customHeight="1" x14ac:dyDescent="0.3">
      <c r="A164" s="39" t="s">
        <v>1144</v>
      </c>
      <c r="B164" s="36">
        <v>44728</v>
      </c>
      <c r="C164" s="37" t="s">
        <v>162</v>
      </c>
      <c r="D164" s="39" t="s">
        <v>1145</v>
      </c>
      <c r="E164" s="1" t="s">
        <v>1146</v>
      </c>
      <c r="F164" s="36">
        <v>44762</v>
      </c>
      <c r="G164" s="39" t="s">
        <v>1147</v>
      </c>
      <c r="H164" s="40" t="s">
        <v>571</v>
      </c>
      <c r="I164" s="40" t="s">
        <v>1148</v>
      </c>
      <c r="J164" s="41">
        <v>194305019.40000001</v>
      </c>
      <c r="K164" s="41">
        <v>151029959.40000001</v>
      </c>
      <c r="L164" s="30">
        <f t="shared" si="42"/>
        <v>151029959.40000001</v>
      </c>
      <c r="M164" s="30">
        <f t="shared" si="41"/>
        <v>151029959.40000001</v>
      </c>
      <c r="N164" s="40" t="s">
        <v>1149</v>
      </c>
      <c r="O164" s="40" t="s">
        <v>1150</v>
      </c>
      <c r="P164" s="40" t="s">
        <v>47</v>
      </c>
      <c r="Q164" s="44">
        <v>100</v>
      </c>
      <c r="R164" s="37">
        <v>0</v>
      </c>
      <c r="S164" s="37" t="s">
        <v>200</v>
      </c>
      <c r="T164" s="54" t="s">
        <v>1151</v>
      </c>
      <c r="U164" s="30">
        <f>M164/W164</f>
        <v>3.49</v>
      </c>
      <c r="V164" s="54" t="s">
        <v>1152</v>
      </c>
      <c r="W164" s="41">
        <f t="shared" si="35"/>
        <v>43275060</v>
      </c>
      <c r="X164" s="41">
        <v>43275060</v>
      </c>
      <c r="Y164" s="41"/>
      <c r="Z164" s="41"/>
      <c r="AA164" s="41"/>
      <c r="AB164" s="41"/>
      <c r="AC164" s="41"/>
      <c r="AD164" s="41"/>
      <c r="AE164" s="41"/>
      <c r="AF164" s="41"/>
      <c r="AG164" s="41"/>
      <c r="AH164" s="41"/>
      <c r="AI164" s="41"/>
      <c r="AJ164" s="41"/>
      <c r="AK164" s="41"/>
      <c r="AL164" s="41"/>
      <c r="AM164" s="41"/>
      <c r="AN164" s="41">
        <v>1442502</v>
      </c>
      <c r="AO164" s="41">
        <f t="shared" si="38"/>
        <v>1442502</v>
      </c>
      <c r="AP164" s="40"/>
      <c r="AQ164" s="36">
        <v>44986</v>
      </c>
      <c r="AR164" s="36"/>
      <c r="AS164" s="36"/>
      <c r="AT164" s="36">
        <v>45000</v>
      </c>
      <c r="AU164" s="36"/>
      <c r="AV164" s="38"/>
      <c r="AW164" s="40" t="s">
        <v>87</v>
      </c>
    </row>
    <row r="165" spans="1:49" s="34" customFormat="1" ht="123.75" customHeight="1" x14ac:dyDescent="0.3">
      <c r="A165" s="39" t="s">
        <v>1153</v>
      </c>
      <c r="B165" s="36">
        <v>44728</v>
      </c>
      <c r="C165" s="37" t="s">
        <v>162</v>
      </c>
      <c r="D165" s="39" t="s">
        <v>1154</v>
      </c>
      <c r="E165" s="1" t="s">
        <v>1155</v>
      </c>
      <c r="F165" s="36">
        <v>44760</v>
      </c>
      <c r="G165" s="39" t="s">
        <v>1156</v>
      </c>
      <c r="H165" s="40" t="s">
        <v>571</v>
      </c>
      <c r="I165" s="40" t="s">
        <v>1157</v>
      </c>
      <c r="J165" s="41">
        <v>358779461.04000002</v>
      </c>
      <c r="K165" s="41">
        <v>356967443.56</v>
      </c>
      <c r="L165" s="30">
        <f t="shared" si="42"/>
        <v>356967443.56</v>
      </c>
      <c r="M165" s="30">
        <f t="shared" si="41"/>
        <v>356967443.56</v>
      </c>
      <c r="N165" s="40" t="s">
        <v>1158</v>
      </c>
      <c r="O165" s="40" t="s">
        <v>1159</v>
      </c>
      <c r="P165" s="40" t="s">
        <v>47</v>
      </c>
      <c r="Q165" s="44">
        <v>100</v>
      </c>
      <c r="R165" s="37">
        <v>0</v>
      </c>
      <c r="S165" s="37" t="s">
        <v>200</v>
      </c>
      <c r="T165" s="54" t="s">
        <v>1160</v>
      </c>
      <c r="U165" s="30">
        <f>M165/W165</f>
        <v>179.27</v>
      </c>
      <c r="V165" s="57" t="s">
        <v>1161</v>
      </c>
      <c r="W165" s="41">
        <f t="shared" si="35"/>
        <v>1991228</v>
      </c>
      <c r="X165" s="41">
        <v>1991228</v>
      </c>
      <c r="Y165" s="41"/>
      <c r="Z165" s="41"/>
      <c r="AA165" s="41"/>
      <c r="AB165" s="41"/>
      <c r="AC165" s="41"/>
      <c r="AD165" s="41"/>
      <c r="AE165" s="41"/>
      <c r="AF165" s="41"/>
      <c r="AG165" s="41"/>
      <c r="AH165" s="41"/>
      <c r="AI165" s="41"/>
      <c r="AJ165" s="41"/>
      <c r="AK165" s="41"/>
      <c r="AL165" s="41"/>
      <c r="AM165" s="41"/>
      <c r="AN165" s="41">
        <v>66374.259999999995</v>
      </c>
      <c r="AO165" s="41">
        <f t="shared" si="38"/>
        <v>66375</v>
      </c>
      <c r="AP165" s="40"/>
      <c r="AQ165" s="36">
        <v>44986</v>
      </c>
      <c r="AR165" s="36"/>
      <c r="AS165" s="36"/>
      <c r="AT165" s="36">
        <v>45000</v>
      </c>
      <c r="AU165" s="36"/>
      <c r="AV165" s="38"/>
      <c r="AW165" s="40" t="s">
        <v>87</v>
      </c>
    </row>
    <row r="166" spans="1:49" s="34" customFormat="1" ht="151.5" customHeight="1" x14ac:dyDescent="0.3">
      <c r="A166" s="39" t="s">
        <v>1162</v>
      </c>
      <c r="B166" s="36">
        <v>44728</v>
      </c>
      <c r="C166" s="37" t="s">
        <v>162</v>
      </c>
      <c r="D166" s="39" t="s">
        <v>1163</v>
      </c>
      <c r="E166" s="1" t="s">
        <v>1164</v>
      </c>
      <c r="F166" s="36">
        <v>44762</v>
      </c>
      <c r="G166" s="39" t="s">
        <v>1165</v>
      </c>
      <c r="H166" s="40" t="s">
        <v>186</v>
      </c>
      <c r="I166" s="40" t="s">
        <v>1166</v>
      </c>
      <c r="J166" s="41">
        <v>1052122413.6</v>
      </c>
      <c r="K166" s="41">
        <v>1052122413.6</v>
      </c>
      <c r="L166" s="30">
        <f t="shared" si="42"/>
        <v>1052122413.6</v>
      </c>
      <c r="M166" s="30">
        <f t="shared" si="41"/>
        <v>1052122413.6</v>
      </c>
      <c r="N166" s="40" t="s">
        <v>1167</v>
      </c>
      <c r="O166" s="40" t="s">
        <v>1168</v>
      </c>
      <c r="P166" s="40" t="s">
        <v>47</v>
      </c>
      <c r="Q166" s="44">
        <v>100</v>
      </c>
      <c r="R166" s="37">
        <v>0</v>
      </c>
      <c r="S166" s="37" t="s">
        <v>200</v>
      </c>
      <c r="T166" s="48">
        <v>30</v>
      </c>
      <c r="U166" s="30">
        <f>M166/W166</f>
        <v>218.16</v>
      </c>
      <c r="V166" s="41">
        <f t="shared" ref="V166:V174" si="45">U166*T166</f>
        <v>6544.8</v>
      </c>
      <c r="W166" s="41">
        <f t="shared" si="35"/>
        <v>4822710</v>
      </c>
      <c r="X166" s="41">
        <v>4822710</v>
      </c>
      <c r="Y166" s="41"/>
      <c r="Z166" s="41"/>
      <c r="AA166" s="41"/>
      <c r="AB166" s="41"/>
      <c r="AC166" s="41"/>
      <c r="AD166" s="41"/>
      <c r="AE166" s="41"/>
      <c r="AF166" s="41"/>
      <c r="AG166" s="41"/>
      <c r="AH166" s="41"/>
      <c r="AI166" s="41"/>
      <c r="AJ166" s="41"/>
      <c r="AK166" s="41"/>
      <c r="AL166" s="41"/>
      <c r="AM166" s="41"/>
      <c r="AN166" s="41">
        <f t="shared" ref="AN166:AN174" si="46">W166/T166</f>
        <v>160757</v>
      </c>
      <c r="AO166" s="41">
        <f t="shared" si="38"/>
        <v>160757</v>
      </c>
      <c r="AP166" s="40"/>
      <c r="AQ166" s="36">
        <v>44986</v>
      </c>
      <c r="AR166" s="36"/>
      <c r="AS166" s="36"/>
      <c r="AT166" s="36">
        <v>45000</v>
      </c>
      <c r="AU166" s="36"/>
      <c r="AV166" s="38"/>
      <c r="AW166" s="40" t="s">
        <v>87</v>
      </c>
    </row>
    <row r="167" spans="1:49" s="34" customFormat="1" ht="156" x14ac:dyDescent="0.3">
      <c r="A167" s="39" t="s">
        <v>1169</v>
      </c>
      <c r="B167" s="36">
        <v>44728</v>
      </c>
      <c r="C167" s="37" t="s">
        <v>162</v>
      </c>
      <c r="D167" s="39" t="s">
        <v>1170</v>
      </c>
      <c r="E167" s="1" t="s">
        <v>1171</v>
      </c>
      <c r="F167" s="36">
        <v>44761</v>
      </c>
      <c r="G167" s="39" t="s">
        <v>1172</v>
      </c>
      <c r="H167" s="40" t="s">
        <v>186</v>
      </c>
      <c r="I167" s="40" t="s">
        <v>1173</v>
      </c>
      <c r="J167" s="41">
        <v>596590538.95000005</v>
      </c>
      <c r="K167" s="41">
        <v>596590538.95000005</v>
      </c>
      <c r="L167" s="30">
        <f t="shared" si="42"/>
        <v>596590538.95000005</v>
      </c>
      <c r="M167" s="30">
        <f t="shared" si="41"/>
        <v>596590538.95000005</v>
      </c>
      <c r="N167" s="40" t="s">
        <v>1174</v>
      </c>
      <c r="O167" s="40" t="s">
        <v>1175</v>
      </c>
      <c r="P167" s="40" t="s">
        <v>1176</v>
      </c>
      <c r="Q167" s="44">
        <v>0</v>
      </c>
      <c r="R167" s="37">
        <v>100</v>
      </c>
      <c r="S167" s="37" t="s">
        <v>200</v>
      </c>
      <c r="T167" s="48">
        <v>30</v>
      </c>
      <c r="U167" s="30">
        <f>M167/W167</f>
        <v>524.33000000000004</v>
      </c>
      <c r="V167" s="41">
        <f t="shared" si="45"/>
        <v>15729.900000000001</v>
      </c>
      <c r="W167" s="41">
        <f t="shared" si="35"/>
        <v>1137815</v>
      </c>
      <c r="X167" s="41">
        <v>869975</v>
      </c>
      <c r="Y167" s="41"/>
      <c r="Z167" s="41"/>
      <c r="AA167" s="41"/>
      <c r="AB167" s="41"/>
      <c r="AC167" s="41">
        <v>267840</v>
      </c>
      <c r="AD167" s="41"/>
      <c r="AE167" s="41"/>
      <c r="AF167" s="41"/>
      <c r="AG167" s="41"/>
      <c r="AH167" s="41"/>
      <c r="AI167" s="41"/>
      <c r="AJ167" s="41"/>
      <c r="AK167" s="41"/>
      <c r="AL167" s="41"/>
      <c r="AM167" s="41"/>
      <c r="AN167" s="41">
        <f t="shared" si="46"/>
        <v>37927.166666666664</v>
      </c>
      <c r="AO167" s="41">
        <f t="shared" si="38"/>
        <v>37928</v>
      </c>
      <c r="AP167" s="40"/>
      <c r="AQ167" s="36">
        <v>44986</v>
      </c>
      <c r="AR167" s="36">
        <v>45061</v>
      </c>
      <c r="AS167" s="36"/>
      <c r="AT167" s="36">
        <v>45000</v>
      </c>
      <c r="AU167" s="36">
        <v>45076</v>
      </c>
      <c r="AV167" s="38"/>
      <c r="AW167" s="40" t="s">
        <v>87</v>
      </c>
    </row>
    <row r="168" spans="1:49" s="34" customFormat="1" ht="171.75" customHeight="1" x14ac:dyDescent="0.3">
      <c r="A168" s="39" t="s">
        <v>1177</v>
      </c>
      <c r="B168" s="36">
        <v>44733</v>
      </c>
      <c r="C168" s="37" t="s">
        <v>162</v>
      </c>
      <c r="D168" s="39" t="s">
        <v>1178</v>
      </c>
      <c r="E168" s="1" t="s">
        <v>1179</v>
      </c>
      <c r="F168" s="36">
        <v>44754</v>
      </c>
      <c r="G168" s="39" t="s">
        <v>1180</v>
      </c>
      <c r="H168" s="40" t="s">
        <v>571</v>
      </c>
      <c r="I168" s="40" t="s">
        <v>1181</v>
      </c>
      <c r="J168" s="57">
        <v>180166607.19999999</v>
      </c>
      <c r="K168" s="41">
        <v>83564525.599999994</v>
      </c>
      <c r="L168" s="30">
        <f t="shared" si="42"/>
        <v>83564525.599999994</v>
      </c>
      <c r="M168" s="30">
        <f t="shared" si="41"/>
        <v>83564525.599999994</v>
      </c>
      <c r="N168" s="40" t="s">
        <v>1182</v>
      </c>
      <c r="O168" s="40" t="s">
        <v>1183</v>
      </c>
      <c r="P168" s="40" t="s">
        <v>47</v>
      </c>
      <c r="Q168" s="44">
        <v>100</v>
      </c>
      <c r="R168" s="37">
        <v>0</v>
      </c>
      <c r="S168" s="37" t="s">
        <v>200</v>
      </c>
      <c r="T168" s="48">
        <v>30</v>
      </c>
      <c r="U168" s="30">
        <f>M168/W168</f>
        <v>6.7299999999999995</v>
      </c>
      <c r="V168" s="41">
        <f t="shared" si="45"/>
        <v>201.89999999999998</v>
      </c>
      <c r="W168" s="41">
        <f t="shared" si="35"/>
        <v>12416720</v>
      </c>
      <c r="X168" s="41">
        <v>4000000</v>
      </c>
      <c r="Y168" s="41"/>
      <c r="Z168" s="41"/>
      <c r="AA168" s="41"/>
      <c r="AB168" s="41"/>
      <c r="AC168" s="41">
        <v>8416720</v>
      </c>
      <c r="AD168" s="41"/>
      <c r="AE168" s="41"/>
      <c r="AF168" s="41"/>
      <c r="AG168" s="41"/>
      <c r="AH168" s="41"/>
      <c r="AI168" s="41"/>
      <c r="AJ168" s="41"/>
      <c r="AK168" s="41"/>
      <c r="AL168" s="41"/>
      <c r="AM168" s="41"/>
      <c r="AN168" s="41">
        <f t="shared" si="46"/>
        <v>413890.66666666669</v>
      </c>
      <c r="AO168" s="41">
        <f t="shared" si="38"/>
        <v>413891</v>
      </c>
      <c r="AP168" s="40"/>
      <c r="AQ168" s="36">
        <v>44986</v>
      </c>
      <c r="AR168" s="36">
        <v>45108</v>
      </c>
      <c r="AS168" s="36"/>
      <c r="AT168" s="36">
        <v>45000</v>
      </c>
      <c r="AU168" s="36">
        <v>45122</v>
      </c>
      <c r="AV168" s="38"/>
      <c r="AW168" s="40" t="s">
        <v>87</v>
      </c>
    </row>
    <row r="169" spans="1:49" s="34" customFormat="1" ht="117.75" customHeight="1" x14ac:dyDescent="0.3">
      <c r="A169" s="39" t="s">
        <v>1184</v>
      </c>
      <c r="B169" s="36">
        <v>44733</v>
      </c>
      <c r="C169" s="37" t="s">
        <v>162</v>
      </c>
      <c r="D169" s="39" t="s">
        <v>459</v>
      </c>
      <c r="E169" s="1" t="s">
        <v>459</v>
      </c>
      <c r="F169" s="36" t="s">
        <v>459</v>
      </c>
      <c r="G169" s="37" t="s">
        <v>459</v>
      </c>
      <c r="H169" s="40" t="s">
        <v>459</v>
      </c>
      <c r="I169" s="40" t="s">
        <v>1185</v>
      </c>
      <c r="J169" s="41">
        <v>13824605</v>
      </c>
      <c r="K169" s="41">
        <v>0</v>
      </c>
      <c r="L169" s="30">
        <f t="shared" si="42"/>
        <v>0</v>
      </c>
      <c r="M169" s="30">
        <f t="shared" si="41"/>
        <v>0</v>
      </c>
      <c r="N169" s="40"/>
      <c r="O169" s="79"/>
      <c r="P169" s="40"/>
      <c r="Q169" s="44"/>
      <c r="R169" s="37"/>
      <c r="S169" s="37"/>
      <c r="T169" s="48"/>
      <c r="U169" s="30" t="e">
        <f>M169/W169</f>
        <v>#DIV/0!</v>
      </c>
      <c r="V169" s="41" t="e">
        <f t="shared" si="45"/>
        <v>#DIV/0!</v>
      </c>
      <c r="W169" s="41">
        <f t="shared" si="35"/>
        <v>0</v>
      </c>
      <c r="X169" s="41"/>
      <c r="Y169" s="41"/>
      <c r="Z169" s="41"/>
      <c r="AA169" s="41"/>
      <c r="AB169" s="41"/>
      <c r="AC169" s="41"/>
      <c r="AD169" s="41"/>
      <c r="AE169" s="41"/>
      <c r="AF169" s="41"/>
      <c r="AG169" s="41"/>
      <c r="AH169" s="41"/>
      <c r="AI169" s="41"/>
      <c r="AJ169" s="41"/>
      <c r="AK169" s="41"/>
      <c r="AL169" s="41"/>
      <c r="AM169" s="41"/>
      <c r="AN169" s="41" t="e">
        <f t="shared" si="46"/>
        <v>#DIV/0!</v>
      </c>
      <c r="AO169" s="41" t="e">
        <f t="shared" si="38"/>
        <v>#DIV/0!</v>
      </c>
      <c r="AP169" s="40"/>
      <c r="AQ169" s="36"/>
      <c r="AR169" s="36"/>
      <c r="AS169" s="36"/>
      <c r="AT169" s="36"/>
      <c r="AU169" s="36"/>
      <c r="AV169" s="38"/>
      <c r="AW169" s="40"/>
    </row>
    <row r="170" spans="1:49" s="34" customFormat="1" ht="107.25" customHeight="1" x14ac:dyDescent="0.3">
      <c r="A170" s="39" t="s">
        <v>1186</v>
      </c>
      <c r="B170" s="36">
        <v>44733</v>
      </c>
      <c r="C170" s="37" t="s">
        <v>162</v>
      </c>
      <c r="D170" s="39" t="s">
        <v>1187</v>
      </c>
      <c r="E170" s="1" t="s">
        <v>1188</v>
      </c>
      <c r="F170" s="36">
        <v>44753</v>
      </c>
      <c r="G170" s="39" t="s">
        <v>1189</v>
      </c>
      <c r="H170" s="40" t="s">
        <v>555</v>
      </c>
      <c r="I170" s="40" t="s">
        <v>1190</v>
      </c>
      <c r="J170" s="41">
        <v>4533480</v>
      </c>
      <c r="K170" s="41">
        <v>3589740</v>
      </c>
      <c r="L170" s="30">
        <f t="shared" si="42"/>
        <v>3589740</v>
      </c>
      <c r="M170" s="30">
        <f t="shared" si="41"/>
        <v>3589740</v>
      </c>
      <c r="N170" s="40" t="s">
        <v>1114</v>
      </c>
      <c r="O170" s="40" t="s">
        <v>1191</v>
      </c>
      <c r="P170" s="40" t="s">
        <v>47</v>
      </c>
      <c r="Q170" s="44">
        <v>100</v>
      </c>
      <c r="R170" s="37">
        <v>0</v>
      </c>
      <c r="S170" s="37" t="s">
        <v>627</v>
      </c>
      <c r="T170" s="48">
        <v>60</v>
      </c>
      <c r="U170" s="30">
        <f>M170/W170</f>
        <v>4.07</v>
      </c>
      <c r="V170" s="41">
        <f t="shared" si="45"/>
        <v>244.20000000000002</v>
      </c>
      <c r="W170" s="41">
        <f t="shared" si="35"/>
        <v>882000</v>
      </c>
      <c r="X170" s="41">
        <v>882000</v>
      </c>
      <c r="Y170" s="41"/>
      <c r="Z170" s="41"/>
      <c r="AA170" s="41"/>
      <c r="AB170" s="41"/>
      <c r="AC170" s="41"/>
      <c r="AD170" s="41"/>
      <c r="AE170" s="41"/>
      <c r="AF170" s="41"/>
      <c r="AG170" s="41"/>
      <c r="AH170" s="41"/>
      <c r="AI170" s="41"/>
      <c r="AJ170" s="41"/>
      <c r="AK170" s="41"/>
      <c r="AL170" s="41"/>
      <c r="AM170" s="41"/>
      <c r="AN170" s="41">
        <f t="shared" si="46"/>
        <v>14700</v>
      </c>
      <c r="AO170" s="41">
        <f t="shared" si="38"/>
        <v>14700</v>
      </c>
      <c r="AP170" s="40"/>
      <c r="AQ170" s="36">
        <v>44986</v>
      </c>
      <c r="AR170" s="36"/>
      <c r="AS170" s="36"/>
      <c r="AT170" s="36">
        <v>45000</v>
      </c>
      <c r="AU170" s="36"/>
      <c r="AV170" s="38"/>
      <c r="AW170" s="40" t="s">
        <v>87</v>
      </c>
    </row>
    <row r="171" spans="1:49" s="34" customFormat="1" ht="93.6" x14ac:dyDescent="0.3">
      <c r="A171" s="39" t="s">
        <v>1192</v>
      </c>
      <c r="B171" s="36">
        <v>44733</v>
      </c>
      <c r="C171" s="37" t="s">
        <v>162</v>
      </c>
      <c r="D171" s="39" t="s">
        <v>1193</v>
      </c>
      <c r="E171" s="1" t="s">
        <v>1194</v>
      </c>
      <c r="F171" s="36">
        <v>44754</v>
      </c>
      <c r="G171" s="37" t="s">
        <v>1195</v>
      </c>
      <c r="H171" s="40" t="s">
        <v>571</v>
      </c>
      <c r="I171" s="40" t="s">
        <v>1196</v>
      </c>
      <c r="J171" s="41">
        <v>246321416</v>
      </c>
      <c r="K171" s="41">
        <v>246321416</v>
      </c>
      <c r="L171" s="30">
        <f t="shared" si="42"/>
        <v>246321416</v>
      </c>
      <c r="M171" s="30">
        <f t="shared" si="41"/>
        <v>246321416</v>
      </c>
      <c r="N171" s="40" t="s">
        <v>1197</v>
      </c>
      <c r="O171" s="40" t="s">
        <v>1198</v>
      </c>
      <c r="P171" s="40" t="s">
        <v>47</v>
      </c>
      <c r="Q171" s="44">
        <v>100</v>
      </c>
      <c r="R171" s="37">
        <v>0</v>
      </c>
      <c r="S171" s="37" t="s">
        <v>200</v>
      </c>
      <c r="T171" s="48">
        <v>30</v>
      </c>
      <c r="U171" s="30">
        <f>M171/W171</f>
        <v>6.71</v>
      </c>
      <c r="V171" s="41">
        <f t="shared" si="45"/>
        <v>201.3</v>
      </c>
      <c r="W171" s="41">
        <f t="shared" si="35"/>
        <v>36709600</v>
      </c>
      <c r="X171" s="41">
        <v>36709600</v>
      </c>
      <c r="Y171" s="41"/>
      <c r="Z171" s="41"/>
      <c r="AA171" s="41"/>
      <c r="AB171" s="41"/>
      <c r="AC171" s="41"/>
      <c r="AD171" s="41"/>
      <c r="AE171" s="41"/>
      <c r="AF171" s="41"/>
      <c r="AG171" s="41"/>
      <c r="AH171" s="41"/>
      <c r="AI171" s="41"/>
      <c r="AJ171" s="41"/>
      <c r="AK171" s="41"/>
      <c r="AL171" s="41"/>
      <c r="AM171" s="41"/>
      <c r="AN171" s="41">
        <f t="shared" si="46"/>
        <v>1223653.3333333333</v>
      </c>
      <c r="AO171" s="41">
        <f t="shared" si="38"/>
        <v>1223654</v>
      </c>
      <c r="AP171" s="40"/>
      <c r="AQ171" s="36">
        <v>44986</v>
      </c>
      <c r="AR171" s="36"/>
      <c r="AS171" s="36"/>
      <c r="AT171" s="36">
        <v>45000</v>
      </c>
      <c r="AU171" s="36"/>
      <c r="AV171" s="38"/>
      <c r="AW171" s="40" t="s">
        <v>87</v>
      </c>
    </row>
    <row r="172" spans="1:49" s="34" customFormat="1" ht="72" x14ac:dyDescent="0.3">
      <c r="A172" s="39" t="s">
        <v>1199</v>
      </c>
      <c r="B172" s="36">
        <v>44733</v>
      </c>
      <c r="C172" s="37" t="s">
        <v>162</v>
      </c>
      <c r="D172" s="39" t="s">
        <v>1200</v>
      </c>
      <c r="E172" s="1" t="s">
        <v>1201</v>
      </c>
      <c r="F172" s="36">
        <v>44754</v>
      </c>
      <c r="G172" s="37" t="s">
        <v>1202</v>
      </c>
      <c r="H172" s="40" t="s">
        <v>555</v>
      </c>
      <c r="I172" s="40" t="s">
        <v>1203</v>
      </c>
      <c r="J172" s="41">
        <v>9074908.8000000007</v>
      </c>
      <c r="K172" s="41">
        <v>1196443.2</v>
      </c>
      <c r="L172" s="30">
        <f t="shared" si="42"/>
        <v>1196443.2</v>
      </c>
      <c r="M172" s="30">
        <f t="shared" si="41"/>
        <v>1196443.2</v>
      </c>
      <c r="N172" s="40" t="s">
        <v>1204</v>
      </c>
      <c r="O172" s="40" t="s">
        <v>1205</v>
      </c>
      <c r="P172" s="40" t="s">
        <v>47</v>
      </c>
      <c r="Q172" s="44">
        <v>100</v>
      </c>
      <c r="R172" s="37">
        <v>0</v>
      </c>
      <c r="S172" s="37" t="s">
        <v>219</v>
      </c>
      <c r="T172" s="48">
        <v>240</v>
      </c>
      <c r="U172" s="30">
        <f>M172/W172</f>
        <v>0.53</v>
      </c>
      <c r="V172" s="41">
        <f t="shared" si="45"/>
        <v>127.2</v>
      </c>
      <c r="W172" s="41">
        <f t="shared" si="35"/>
        <v>2257440</v>
      </c>
      <c r="X172" s="41">
        <v>2257440</v>
      </c>
      <c r="Y172" s="41"/>
      <c r="Z172" s="41"/>
      <c r="AA172" s="41"/>
      <c r="AB172" s="41"/>
      <c r="AC172" s="41"/>
      <c r="AD172" s="41"/>
      <c r="AE172" s="41"/>
      <c r="AF172" s="41"/>
      <c r="AG172" s="41"/>
      <c r="AH172" s="41"/>
      <c r="AI172" s="41"/>
      <c r="AJ172" s="41"/>
      <c r="AK172" s="41"/>
      <c r="AL172" s="41"/>
      <c r="AM172" s="41"/>
      <c r="AN172" s="41">
        <f t="shared" si="46"/>
        <v>9406</v>
      </c>
      <c r="AO172" s="41">
        <f t="shared" si="38"/>
        <v>9406</v>
      </c>
      <c r="AP172" s="40"/>
      <c r="AQ172" s="36">
        <v>44986</v>
      </c>
      <c r="AR172" s="36"/>
      <c r="AS172" s="36"/>
      <c r="AT172" s="36">
        <v>45000</v>
      </c>
      <c r="AU172" s="36"/>
      <c r="AV172" s="38"/>
      <c r="AW172" s="40" t="s">
        <v>49</v>
      </c>
    </row>
    <row r="173" spans="1:49" s="34" customFormat="1" ht="109.2" x14ac:dyDescent="0.3">
      <c r="A173" s="39" t="s">
        <v>1206</v>
      </c>
      <c r="B173" s="36">
        <v>44733</v>
      </c>
      <c r="C173" s="37">
        <v>1416</v>
      </c>
      <c r="D173" s="39" t="s">
        <v>1207</v>
      </c>
      <c r="E173" s="1" t="s">
        <v>1208</v>
      </c>
      <c r="F173" s="36">
        <v>44760</v>
      </c>
      <c r="G173" s="39" t="s">
        <v>1209</v>
      </c>
      <c r="H173" s="40" t="s">
        <v>177</v>
      </c>
      <c r="I173" s="40" t="s">
        <v>1210</v>
      </c>
      <c r="J173" s="41">
        <v>61583028</v>
      </c>
      <c r="K173" s="41">
        <v>61583028</v>
      </c>
      <c r="L173" s="30">
        <f t="shared" si="42"/>
        <v>61583028</v>
      </c>
      <c r="M173" s="30">
        <f t="shared" si="41"/>
        <v>61583028</v>
      </c>
      <c r="N173" s="40" t="s">
        <v>1211</v>
      </c>
      <c r="O173" s="40" t="s">
        <v>1212</v>
      </c>
      <c r="P173" s="40" t="s">
        <v>1213</v>
      </c>
      <c r="Q173" s="44">
        <v>0</v>
      </c>
      <c r="R173" s="37">
        <v>100</v>
      </c>
      <c r="S173" s="37" t="s">
        <v>229</v>
      </c>
      <c r="T173" s="48">
        <v>1200</v>
      </c>
      <c r="U173" s="30">
        <f>M173/W173</f>
        <v>15.01</v>
      </c>
      <c r="V173" s="41">
        <f t="shared" si="45"/>
        <v>18012</v>
      </c>
      <c r="W173" s="41">
        <f t="shared" si="35"/>
        <v>4102800</v>
      </c>
      <c r="X173" s="41">
        <v>4102800</v>
      </c>
      <c r="Y173" s="41"/>
      <c r="Z173" s="41"/>
      <c r="AA173" s="41"/>
      <c r="AB173" s="41"/>
      <c r="AC173" s="41"/>
      <c r="AD173" s="41"/>
      <c r="AE173" s="41"/>
      <c r="AF173" s="41"/>
      <c r="AG173" s="41"/>
      <c r="AH173" s="41"/>
      <c r="AI173" s="41"/>
      <c r="AJ173" s="41"/>
      <c r="AK173" s="41"/>
      <c r="AL173" s="41"/>
      <c r="AM173" s="41"/>
      <c r="AN173" s="41">
        <f t="shared" si="46"/>
        <v>3419</v>
      </c>
      <c r="AO173" s="41">
        <f t="shared" si="38"/>
        <v>3419</v>
      </c>
      <c r="AP173" s="40"/>
      <c r="AQ173" s="36">
        <v>44936</v>
      </c>
      <c r="AR173" s="36"/>
      <c r="AS173" s="36"/>
      <c r="AT173" s="36">
        <v>44962</v>
      </c>
      <c r="AU173" s="36"/>
      <c r="AV173" s="38"/>
      <c r="AW173" s="40" t="s">
        <v>87</v>
      </c>
    </row>
    <row r="174" spans="1:49" s="34" customFormat="1" ht="72" x14ac:dyDescent="0.3">
      <c r="A174" s="39" t="s">
        <v>1214</v>
      </c>
      <c r="B174" s="36">
        <v>44733</v>
      </c>
      <c r="C174" s="37" t="s">
        <v>162</v>
      </c>
      <c r="D174" s="39" t="s">
        <v>1215</v>
      </c>
      <c r="E174" s="1" t="s">
        <v>1216</v>
      </c>
      <c r="F174" s="36">
        <v>44754</v>
      </c>
      <c r="G174" s="39" t="s">
        <v>1217</v>
      </c>
      <c r="H174" s="40" t="s">
        <v>555</v>
      </c>
      <c r="I174" s="40" t="s">
        <v>1218</v>
      </c>
      <c r="J174" s="41">
        <v>5063557</v>
      </c>
      <c r="K174" s="41">
        <v>5063557</v>
      </c>
      <c r="L174" s="30">
        <f t="shared" si="42"/>
        <v>5063557</v>
      </c>
      <c r="M174" s="30">
        <f t="shared" si="41"/>
        <v>5063557</v>
      </c>
      <c r="N174" s="40" t="s">
        <v>1219</v>
      </c>
      <c r="O174" s="40" t="s">
        <v>1220</v>
      </c>
      <c r="P174" s="40" t="s">
        <v>47</v>
      </c>
      <c r="Q174" s="44">
        <v>100</v>
      </c>
      <c r="R174" s="37">
        <v>0</v>
      </c>
      <c r="S174" s="37" t="s">
        <v>219</v>
      </c>
      <c r="T174" s="48">
        <v>300</v>
      </c>
      <c r="U174" s="30">
        <f>M174/W174</f>
        <v>11.21</v>
      </c>
      <c r="V174" s="41">
        <f t="shared" si="45"/>
        <v>3363.0000000000005</v>
      </c>
      <c r="W174" s="41">
        <f t="shared" si="35"/>
        <v>451700</v>
      </c>
      <c r="X174" s="41">
        <v>451700</v>
      </c>
      <c r="Y174" s="41"/>
      <c r="Z174" s="41"/>
      <c r="AA174" s="41"/>
      <c r="AB174" s="41"/>
      <c r="AC174" s="41"/>
      <c r="AD174" s="41"/>
      <c r="AE174" s="41"/>
      <c r="AF174" s="41"/>
      <c r="AG174" s="41"/>
      <c r="AH174" s="41"/>
      <c r="AI174" s="41"/>
      <c r="AJ174" s="41"/>
      <c r="AK174" s="41"/>
      <c r="AL174" s="41"/>
      <c r="AM174" s="41"/>
      <c r="AN174" s="41">
        <f t="shared" si="46"/>
        <v>1505.6666666666667</v>
      </c>
      <c r="AO174" s="41">
        <f t="shared" si="38"/>
        <v>1506</v>
      </c>
      <c r="AP174" s="40"/>
      <c r="AQ174" s="36">
        <v>44986</v>
      </c>
      <c r="AR174" s="36"/>
      <c r="AS174" s="36"/>
      <c r="AT174" s="36">
        <v>45000</v>
      </c>
      <c r="AU174" s="36"/>
      <c r="AV174" s="38"/>
      <c r="AW174" s="40" t="s">
        <v>49</v>
      </c>
    </row>
    <row r="175" spans="1:49" s="34" customFormat="1" ht="109.2" x14ac:dyDescent="0.3">
      <c r="A175" s="39" t="s">
        <v>1221</v>
      </c>
      <c r="B175" s="36">
        <v>44733</v>
      </c>
      <c r="C175" s="37" t="s">
        <v>162</v>
      </c>
      <c r="D175" s="39" t="s">
        <v>1222</v>
      </c>
      <c r="E175" s="1" t="s">
        <v>1223</v>
      </c>
      <c r="F175" s="36">
        <v>44764</v>
      </c>
      <c r="G175" s="39" t="s">
        <v>1224</v>
      </c>
      <c r="H175" s="40" t="s">
        <v>177</v>
      </c>
      <c r="I175" s="40" t="s">
        <v>1225</v>
      </c>
      <c r="J175" s="41">
        <v>1237126611</v>
      </c>
      <c r="K175" s="41">
        <v>1230918104.5</v>
      </c>
      <c r="L175" s="30">
        <f t="shared" si="42"/>
        <v>1230918104.5</v>
      </c>
      <c r="M175" s="30">
        <f t="shared" si="41"/>
        <v>1230918104.5</v>
      </c>
      <c r="N175" s="40" t="s">
        <v>1226</v>
      </c>
      <c r="O175" s="40" t="s">
        <v>1227</v>
      </c>
      <c r="P175" s="40" t="s">
        <v>47</v>
      </c>
      <c r="Q175" s="44">
        <v>100</v>
      </c>
      <c r="R175" s="37">
        <v>0</v>
      </c>
      <c r="S175" s="37" t="s">
        <v>200</v>
      </c>
      <c r="T175" s="54" t="s">
        <v>1228</v>
      </c>
      <c r="U175" s="30">
        <f>M175/W175</f>
        <v>37.67</v>
      </c>
      <c r="V175" s="57" t="s">
        <v>1229</v>
      </c>
      <c r="W175" s="41">
        <f t="shared" si="35"/>
        <v>32676350</v>
      </c>
      <c r="X175" s="41">
        <v>32676350</v>
      </c>
      <c r="Y175" s="41"/>
      <c r="Z175" s="41"/>
      <c r="AA175" s="41"/>
      <c r="AB175" s="41"/>
      <c r="AC175" s="41"/>
      <c r="AD175" s="41"/>
      <c r="AE175" s="41"/>
      <c r="AF175" s="41"/>
      <c r="AG175" s="41"/>
      <c r="AH175" s="41"/>
      <c r="AI175" s="41"/>
      <c r="AJ175" s="41"/>
      <c r="AK175" s="41"/>
      <c r="AL175" s="41"/>
      <c r="AM175" s="41"/>
      <c r="AN175" s="41">
        <v>544605.82999999996</v>
      </c>
      <c r="AO175" s="41">
        <f t="shared" si="38"/>
        <v>544606</v>
      </c>
      <c r="AP175" s="40"/>
      <c r="AQ175" s="36">
        <v>44986</v>
      </c>
      <c r="AR175" s="36"/>
      <c r="AS175" s="36"/>
      <c r="AT175" s="36">
        <v>45000</v>
      </c>
      <c r="AU175" s="36"/>
      <c r="AV175" s="38"/>
      <c r="AW175" s="40" t="s">
        <v>87</v>
      </c>
    </row>
    <row r="176" spans="1:49" s="34" customFormat="1" ht="93.6" x14ac:dyDescent="0.3">
      <c r="A176" s="39" t="s">
        <v>1230</v>
      </c>
      <c r="B176" s="36">
        <v>44733</v>
      </c>
      <c r="C176" s="37" t="s">
        <v>162</v>
      </c>
      <c r="D176" s="39" t="s">
        <v>1231</v>
      </c>
      <c r="E176" s="1" t="s">
        <v>1232</v>
      </c>
      <c r="F176" s="36">
        <v>44768</v>
      </c>
      <c r="G176" s="39" t="s">
        <v>1233</v>
      </c>
      <c r="H176" s="40" t="s">
        <v>186</v>
      </c>
      <c r="I176" s="40" t="s">
        <v>1234</v>
      </c>
      <c r="J176" s="41">
        <v>1127964908.4000001</v>
      </c>
      <c r="K176" s="41">
        <v>1127964908.4000001</v>
      </c>
      <c r="L176" s="30">
        <f t="shared" si="42"/>
        <v>1127964908.4000001</v>
      </c>
      <c r="M176" s="30">
        <f t="shared" si="41"/>
        <v>1127964908.4000001</v>
      </c>
      <c r="N176" s="40" t="s">
        <v>1235</v>
      </c>
      <c r="O176" s="40" t="s">
        <v>1236</v>
      </c>
      <c r="P176" s="40" t="s">
        <v>1237</v>
      </c>
      <c r="Q176" s="44">
        <v>0</v>
      </c>
      <c r="R176" s="37">
        <v>100</v>
      </c>
      <c r="S176" s="37" t="s">
        <v>200</v>
      </c>
      <c r="T176" s="48">
        <v>30</v>
      </c>
      <c r="U176" s="30">
        <f>M176/W176</f>
        <v>835.0100000000001</v>
      </c>
      <c r="V176" s="41">
        <f t="shared" ref="V176:V239" si="47">U176*T176</f>
        <v>25050.300000000003</v>
      </c>
      <c r="W176" s="41">
        <f t="shared" si="35"/>
        <v>1350840</v>
      </c>
      <c r="X176" s="41">
        <v>1350840</v>
      </c>
      <c r="Y176" s="41"/>
      <c r="Z176" s="41"/>
      <c r="AA176" s="41"/>
      <c r="AB176" s="41"/>
      <c r="AC176" s="41"/>
      <c r="AD176" s="41"/>
      <c r="AE176" s="41"/>
      <c r="AF176" s="41"/>
      <c r="AG176" s="41"/>
      <c r="AH176" s="41"/>
      <c r="AI176" s="41"/>
      <c r="AJ176" s="41"/>
      <c r="AK176" s="41"/>
      <c r="AL176" s="41"/>
      <c r="AM176" s="41"/>
      <c r="AN176" s="41">
        <f t="shared" ref="AN176:AN239" si="48">W176/T176</f>
        <v>45028</v>
      </c>
      <c r="AO176" s="41">
        <f t="shared" si="38"/>
        <v>45028</v>
      </c>
      <c r="AP176" s="40"/>
      <c r="AQ176" s="36">
        <v>44986</v>
      </c>
      <c r="AR176" s="36"/>
      <c r="AS176" s="36"/>
      <c r="AT176" s="36">
        <v>44972</v>
      </c>
      <c r="AU176" s="36"/>
      <c r="AV176" s="38"/>
      <c r="AW176" s="40" t="s">
        <v>87</v>
      </c>
    </row>
    <row r="177" spans="1:56" ht="128.25" customHeight="1" x14ac:dyDescent="0.3">
      <c r="A177" s="39" t="s">
        <v>1238</v>
      </c>
      <c r="B177" s="36">
        <v>44735</v>
      </c>
      <c r="C177" s="37">
        <v>1416</v>
      </c>
      <c r="D177" s="39" t="s">
        <v>1239</v>
      </c>
      <c r="E177" s="1" t="s">
        <v>1240</v>
      </c>
      <c r="F177" s="36">
        <v>44754</v>
      </c>
      <c r="G177" s="39" t="s">
        <v>1241</v>
      </c>
      <c r="H177" s="40" t="s">
        <v>224</v>
      </c>
      <c r="I177" s="40" t="s">
        <v>1242</v>
      </c>
      <c r="J177" s="41">
        <v>58559580</v>
      </c>
      <c r="K177" s="41">
        <v>58559580</v>
      </c>
      <c r="L177" s="30">
        <f t="shared" si="42"/>
        <v>58559580</v>
      </c>
      <c r="M177" s="30">
        <f t="shared" si="41"/>
        <v>58559580</v>
      </c>
      <c r="N177" s="40" t="s">
        <v>369</v>
      </c>
      <c r="O177" s="40" t="s">
        <v>1243</v>
      </c>
      <c r="P177" s="40" t="s">
        <v>218</v>
      </c>
      <c r="Q177" s="44">
        <v>0</v>
      </c>
      <c r="R177" s="37">
        <v>100</v>
      </c>
      <c r="S177" s="37" t="s">
        <v>229</v>
      </c>
      <c r="T177" s="48">
        <v>1500</v>
      </c>
      <c r="U177" s="30">
        <f>M177/W177</f>
        <v>12.37</v>
      </c>
      <c r="V177" s="41">
        <f t="shared" si="47"/>
        <v>18555</v>
      </c>
      <c r="W177" s="41">
        <f t="shared" si="35"/>
        <v>4734000</v>
      </c>
      <c r="X177" s="41">
        <v>4734000</v>
      </c>
      <c r="Y177" s="41"/>
      <c r="Z177" s="41"/>
      <c r="AA177" s="41"/>
      <c r="AB177" s="41"/>
      <c r="AC177" s="41"/>
      <c r="AD177" s="41"/>
      <c r="AE177" s="41"/>
      <c r="AF177" s="41"/>
      <c r="AG177" s="41"/>
      <c r="AH177" s="41"/>
      <c r="AI177" s="41"/>
      <c r="AJ177" s="41"/>
      <c r="AK177" s="41"/>
      <c r="AL177" s="41"/>
      <c r="AM177" s="41"/>
      <c r="AN177" s="41">
        <f t="shared" si="48"/>
        <v>3156</v>
      </c>
      <c r="AO177" s="41">
        <f t="shared" si="38"/>
        <v>3156</v>
      </c>
      <c r="AP177" s="40"/>
      <c r="AQ177" s="36">
        <v>44958</v>
      </c>
      <c r="AR177" s="36"/>
      <c r="AS177" s="36"/>
      <c r="AT177" s="36">
        <v>44972</v>
      </c>
      <c r="AU177" s="36"/>
      <c r="AV177" s="38"/>
      <c r="AW177" s="40" t="s">
        <v>87</v>
      </c>
    </row>
    <row r="178" spans="1:56" ht="165.75" customHeight="1" x14ac:dyDescent="0.3">
      <c r="A178" s="39" t="s">
        <v>1244</v>
      </c>
      <c r="B178" s="36">
        <v>44735</v>
      </c>
      <c r="C178" s="37" t="s">
        <v>1245</v>
      </c>
      <c r="D178" s="39" t="s">
        <v>1246</v>
      </c>
      <c r="E178" s="1" t="s">
        <v>1247</v>
      </c>
      <c r="F178" s="36">
        <v>44768</v>
      </c>
      <c r="G178" s="39" t="s">
        <v>1244</v>
      </c>
      <c r="H178" s="40" t="s">
        <v>186</v>
      </c>
      <c r="I178" s="40" t="s">
        <v>1248</v>
      </c>
      <c r="J178" s="41">
        <v>1931553482.0999999</v>
      </c>
      <c r="K178" s="41">
        <v>1931553482.0999999</v>
      </c>
      <c r="L178" s="30">
        <f t="shared" si="42"/>
        <v>1931553482.0999999</v>
      </c>
      <c r="M178" s="30">
        <f t="shared" si="41"/>
        <v>1931553482.0999999</v>
      </c>
      <c r="N178" s="40" t="s">
        <v>1235</v>
      </c>
      <c r="O178" s="40" t="s">
        <v>1236</v>
      </c>
      <c r="P178" s="40" t="s">
        <v>1237</v>
      </c>
      <c r="Q178" s="44">
        <v>0</v>
      </c>
      <c r="R178" s="37">
        <v>100</v>
      </c>
      <c r="S178" s="37" t="s">
        <v>200</v>
      </c>
      <c r="T178" s="48">
        <v>30</v>
      </c>
      <c r="U178" s="30">
        <f>M178/W178</f>
        <v>835.01</v>
      </c>
      <c r="V178" s="41">
        <f t="shared" si="47"/>
        <v>25050.3</v>
      </c>
      <c r="W178" s="41">
        <f t="shared" ref="W178:W225" si="49">X178+AC178+AH178</f>
        <v>2313210</v>
      </c>
      <c r="X178" s="41">
        <v>2313210</v>
      </c>
      <c r="Y178" s="41"/>
      <c r="Z178" s="41"/>
      <c r="AA178" s="41"/>
      <c r="AB178" s="41"/>
      <c r="AC178" s="41"/>
      <c r="AD178" s="41"/>
      <c r="AE178" s="41"/>
      <c r="AF178" s="41"/>
      <c r="AG178" s="41"/>
      <c r="AH178" s="41"/>
      <c r="AI178" s="41"/>
      <c r="AJ178" s="41"/>
      <c r="AK178" s="41"/>
      <c r="AL178" s="41"/>
      <c r="AM178" s="41"/>
      <c r="AN178" s="41">
        <f t="shared" si="48"/>
        <v>77107</v>
      </c>
      <c r="AO178" s="41">
        <f t="shared" si="38"/>
        <v>77107</v>
      </c>
      <c r="AP178" s="40"/>
      <c r="AQ178" s="36">
        <v>44986</v>
      </c>
      <c r="AR178" s="36"/>
      <c r="AS178" s="36"/>
      <c r="AT178" s="36">
        <v>45000</v>
      </c>
      <c r="AU178" s="36"/>
      <c r="AV178" s="38"/>
      <c r="AW178" s="40" t="s">
        <v>87</v>
      </c>
    </row>
    <row r="179" spans="1:56" ht="31.2" x14ac:dyDescent="0.3">
      <c r="A179" s="39" t="s">
        <v>1249</v>
      </c>
      <c r="B179" s="36">
        <v>44757</v>
      </c>
      <c r="C179" s="37" t="s">
        <v>162</v>
      </c>
      <c r="D179" s="39" t="s">
        <v>459</v>
      </c>
      <c r="E179" s="1" t="s">
        <v>459</v>
      </c>
      <c r="F179" s="36" t="s">
        <v>459</v>
      </c>
      <c r="G179" s="39" t="s">
        <v>459</v>
      </c>
      <c r="H179" s="40" t="s">
        <v>459</v>
      </c>
      <c r="I179" s="40" t="s">
        <v>1250</v>
      </c>
      <c r="J179" s="41">
        <v>4327282</v>
      </c>
      <c r="K179" s="42" t="s">
        <v>459</v>
      </c>
      <c r="L179" s="42" t="s">
        <v>459</v>
      </c>
      <c r="M179" s="42" t="s">
        <v>459</v>
      </c>
      <c r="N179" s="40"/>
      <c r="O179" s="40"/>
      <c r="P179" s="40"/>
      <c r="Q179" s="44"/>
      <c r="R179" s="37"/>
      <c r="S179" s="37"/>
      <c r="T179" s="48"/>
      <c r="U179" s="30" t="e">
        <f>M179/W179</f>
        <v>#VALUE!</v>
      </c>
      <c r="V179" s="41" t="e">
        <f t="shared" si="47"/>
        <v>#VALUE!</v>
      </c>
      <c r="W179" s="41">
        <f t="shared" si="49"/>
        <v>0</v>
      </c>
      <c r="X179" s="41"/>
      <c r="Y179" s="41"/>
      <c r="Z179" s="41"/>
      <c r="AA179" s="41"/>
      <c r="AB179" s="41"/>
      <c r="AC179" s="41"/>
      <c r="AD179" s="41"/>
      <c r="AE179" s="41"/>
      <c r="AF179" s="41"/>
      <c r="AG179" s="41"/>
      <c r="AH179" s="41"/>
      <c r="AI179" s="41"/>
      <c r="AJ179" s="41"/>
      <c r="AK179" s="41"/>
      <c r="AL179" s="41"/>
      <c r="AM179" s="41"/>
      <c r="AN179" s="41" t="e">
        <f t="shared" si="48"/>
        <v>#DIV/0!</v>
      </c>
      <c r="AO179" s="41" t="e">
        <f t="shared" si="38"/>
        <v>#DIV/0!</v>
      </c>
      <c r="AP179" s="40"/>
      <c r="AQ179" s="36"/>
      <c r="AR179" s="36"/>
      <c r="AS179" s="36"/>
      <c r="AT179" s="36"/>
      <c r="AU179" s="36"/>
      <c r="AV179" s="38"/>
      <c r="AW179" s="40"/>
    </row>
    <row r="180" spans="1:56" ht="72" x14ac:dyDescent="0.3">
      <c r="A180" s="39" t="s">
        <v>1251</v>
      </c>
      <c r="B180" s="36">
        <v>44768</v>
      </c>
      <c r="C180" s="37" t="s">
        <v>162</v>
      </c>
      <c r="D180" s="39" t="s">
        <v>1252</v>
      </c>
      <c r="E180" s="1" t="s">
        <v>1253</v>
      </c>
      <c r="F180" s="36">
        <v>44788</v>
      </c>
      <c r="G180" s="39" t="s">
        <v>1254</v>
      </c>
      <c r="H180" s="40" t="s">
        <v>186</v>
      </c>
      <c r="I180" s="40" t="s">
        <v>1255</v>
      </c>
      <c r="J180" s="41">
        <v>14176047.6</v>
      </c>
      <c r="K180" s="41">
        <v>14176047.6</v>
      </c>
      <c r="L180" s="30">
        <f>K180</f>
        <v>14176047.6</v>
      </c>
      <c r="M180" s="30">
        <f t="shared" ref="M180:M185" si="50">L180</f>
        <v>14176047.6</v>
      </c>
      <c r="N180" s="37" t="s">
        <v>1121</v>
      </c>
      <c r="O180" s="38"/>
      <c r="P180" s="40" t="s">
        <v>190</v>
      </c>
      <c r="Q180" s="40">
        <v>0</v>
      </c>
      <c r="R180" s="40">
        <v>100</v>
      </c>
      <c r="S180" s="44" t="s">
        <v>200</v>
      </c>
      <c r="T180" s="37">
        <v>120</v>
      </c>
      <c r="U180" s="37">
        <f>M180/W180</f>
        <v>160.29</v>
      </c>
      <c r="V180" s="45">
        <f t="shared" si="47"/>
        <v>19234.8</v>
      </c>
      <c r="W180" s="30">
        <f t="shared" si="49"/>
        <v>88440</v>
      </c>
      <c r="X180" s="30">
        <v>88440</v>
      </c>
      <c r="Y180" s="30"/>
      <c r="Z180" s="30"/>
      <c r="AA180" s="30"/>
      <c r="AB180" s="30"/>
      <c r="AC180" s="30"/>
      <c r="AD180" s="30"/>
      <c r="AE180" s="30"/>
      <c r="AF180" s="30"/>
      <c r="AG180" s="30"/>
      <c r="AH180" s="41"/>
      <c r="AI180" s="41"/>
      <c r="AJ180" s="41"/>
      <c r="AK180" s="41"/>
      <c r="AL180" s="41"/>
      <c r="AM180" s="41"/>
      <c r="AN180" s="41">
        <f t="shared" si="48"/>
        <v>737</v>
      </c>
      <c r="AO180" s="41">
        <f t="shared" si="38"/>
        <v>737</v>
      </c>
      <c r="AP180" s="47" t="s">
        <v>1256</v>
      </c>
      <c r="AQ180" s="36">
        <v>44958</v>
      </c>
      <c r="AR180" s="36"/>
      <c r="AS180" s="36"/>
      <c r="AT180" s="36">
        <v>44972</v>
      </c>
      <c r="AU180" s="36"/>
      <c r="AV180" s="36"/>
      <c r="AW180" s="40" t="s">
        <v>87</v>
      </c>
    </row>
    <row r="181" spans="1:56" ht="48" customHeight="1" x14ac:dyDescent="0.3">
      <c r="A181" s="39" t="s">
        <v>1257</v>
      </c>
      <c r="B181" s="36">
        <v>44887</v>
      </c>
      <c r="C181" s="37">
        <v>545</v>
      </c>
      <c r="D181" s="39" t="s">
        <v>1258</v>
      </c>
      <c r="E181" s="1" t="s">
        <v>1259</v>
      </c>
      <c r="F181" s="36">
        <v>44907</v>
      </c>
      <c r="G181" s="39" t="s">
        <v>1260</v>
      </c>
      <c r="H181" s="40" t="s">
        <v>224</v>
      </c>
      <c r="I181" s="40" t="s">
        <v>1261</v>
      </c>
      <c r="J181" s="41">
        <v>270469971.19999999</v>
      </c>
      <c r="K181" s="41">
        <v>270469971.19999999</v>
      </c>
      <c r="L181" s="30">
        <f>K181</f>
        <v>270469971.19999999</v>
      </c>
      <c r="M181" s="30">
        <f t="shared" si="50"/>
        <v>270469971.19999999</v>
      </c>
      <c r="N181" s="40" t="s">
        <v>1262</v>
      </c>
      <c r="O181" s="38" t="s">
        <v>1263</v>
      </c>
      <c r="P181" s="40" t="s">
        <v>1264</v>
      </c>
      <c r="Q181" s="40">
        <v>0</v>
      </c>
      <c r="R181" s="40">
        <v>100</v>
      </c>
      <c r="S181" s="44" t="s">
        <v>219</v>
      </c>
      <c r="T181" s="37">
        <v>10</v>
      </c>
      <c r="U181" s="37">
        <f>M181/W181</f>
        <v>47284.959999999999</v>
      </c>
      <c r="V181" s="45">
        <f t="shared" si="47"/>
        <v>472849.6</v>
      </c>
      <c r="W181" s="30">
        <f t="shared" si="49"/>
        <v>5720</v>
      </c>
      <c r="X181" s="30">
        <v>1580</v>
      </c>
      <c r="Y181" s="30"/>
      <c r="Z181" s="30"/>
      <c r="AA181" s="30"/>
      <c r="AB181" s="30"/>
      <c r="AC181" s="30">
        <v>2360</v>
      </c>
      <c r="AD181" s="30"/>
      <c r="AE181" s="30"/>
      <c r="AF181" s="30"/>
      <c r="AG181" s="30"/>
      <c r="AH181" s="41">
        <v>1780</v>
      </c>
      <c r="AI181" s="41"/>
      <c r="AJ181" s="41"/>
      <c r="AK181" s="41"/>
      <c r="AL181" s="41"/>
      <c r="AM181" s="41"/>
      <c r="AN181" s="41">
        <f t="shared" si="48"/>
        <v>572</v>
      </c>
      <c r="AO181" s="41">
        <f t="shared" si="38"/>
        <v>572</v>
      </c>
      <c r="AP181" s="47" t="s">
        <v>1265</v>
      </c>
      <c r="AQ181" s="36">
        <v>44972</v>
      </c>
      <c r="AR181" s="36">
        <v>45030</v>
      </c>
      <c r="AS181" s="36">
        <v>45261</v>
      </c>
      <c r="AT181" s="36">
        <v>44986</v>
      </c>
      <c r="AU181" s="36">
        <v>45046</v>
      </c>
      <c r="AV181" s="36">
        <v>45275</v>
      </c>
      <c r="AW181" s="40" t="s">
        <v>87</v>
      </c>
      <c r="AX181" s="80"/>
      <c r="BC181" s="65"/>
      <c r="BD181" s="65"/>
    </row>
    <row r="182" spans="1:56" ht="57" customHeight="1" x14ac:dyDescent="0.3">
      <c r="A182" s="39" t="s">
        <v>1266</v>
      </c>
      <c r="B182" s="36">
        <v>44887</v>
      </c>
      <c r="C182" s="37">
        <v>545</v>
      </c>
      <c r="D182" s="39" t="s">
        <v>1267</v>
      </c>
      <c r="E182" s="1" t="s">
        <v>1268</v>
      </c>
      <c r="F182" s="36">
        <v>44907</v>
      </c>
      <c r="G182" s="39" t="s">
        <v>1269</v>
      </c>
      <c r="H182" s="40" t="s">
        <v>224</v>
      </c>
      <c r="I182" s="40" t="s">
        <v>1270</v>
      </c>
      <c r="J182" s="41">
        <v>115739395.2</v>
      </c>
      <c r="K182" s="41">
        <v>115739395.2</v>
      </c>
      <c r="L182" s="30">
        <f>K182</f>
        <v>115739395.2</v>
      </c>
      <c r="M182" s="30">
        <f t="shared" si="50"/>
        <v>115739395.2</v>
      </c>
      <c r="N182" s="40" t="s">
        <v>1271</v>
      </c>
      <c r="O182" s="38" t="s">
        <v>1272</v>
      </c>
      <c r="P182" s="40" t="s">
        <v>199</v>
      </c>
      <c r="Q182" s="40">
        <v>0</v>
      </c>
      <c r="R182" s="40">
        <v>100</v>
      </c>
      <c r="S182" s="44" t="s">
        <v>219</v>
      </c>
      <c r="T182" s="37">
        <v>12</v>
      </c>
      <c r="U182" s="37">
        <f>M182/W182</f>
        <v>247306.4</v>
      </c>
      <c r="V182" s="45">
        <f t="shared" si="47"/>
        <v>2967676.8</v>
      </c>
      <c r="W182" s="30">
        <f t="shared" si="49"/>
        <v>468</v>
      </c>
      <c r="X182" s="30">
        <v>324</v>
      </c>
      <c r="Y182" s="30"/>
      <c r="Z182" s="30"/>
      <c r="AA182" s="30"/>
      <c r="AB182" s="30"/>
      <c r="AC182" s="30">
        <v>144</v>
      </c>
      <c r="AD182" s="30"/>
      <c r="AE182" s="30"/>
      <c r="AF182" s="30"/>
      <c r="AG182" s="30"/>
      <c r="AH182" s="41"/>
      <c r="AI182" s="41"/>
      <c r="AJ182" s="41"/>
      <c r="AK182" s="41"/>
      <c r="AL182" s="41"/>
      <c r="AM182" s="41"/>
      <c r="AN182" s="41">
        <f t="shared" si="48"/>
        <v>39</v>
      </c>
      <c r="AO182" s="41">
        <f t="shared" si="38"/>
        <v>39</v>
      </c>
      <c r="AP182" s="47" t="s">
        <v>1273</v>
      </c>
      <c r="AQ182" s="36">
        <v>44972</v>
      </c>
      <c r="AR182" s="36">
        <v>45031</v>
      </c>
      <c r="AS182" s="36"/>
      <c r="AT182" s="36">
        <v>44986</v>
      </c>
      <c r="AU182" s="36">
        <v>45046</v>
      </c>
      <c r="AV182" s="36"/>
      <c r="AW182" s="40" t="s">
        <v>87</v>
      </c>
      <c r="AX182" s="80"/>
      <c r="BC182" s="65"/>
      <c r="BD182" s="65"/>
    </row>
    <row r="183" spans="1:56" ht="68.25" customHeight="1" x14ac:dyDescent="0.3">
      <c r="A183" s="39" t="s">
        <v>1274</v>
      </c>
      <c r="B183" s="36">
        <v>44887</v>
      </c>
      <c r="C183" s="37">
        <v>545</v>
      </c>
      <c r="D183" s="39" t="s">
        <v>1275</v>
      </c>
      <c r="E183" s="1" t="s">
        <v>1276</v>
      </c>
      <c r="F183" s="36">
        <v>44907</v>
      </c>
      <c r="G183" s="39" t="s">
        <v>1277</v>
      </c>
      <c r="H183" s="40" t="s">
        <v>224</v>
      </c>
      <c r="I183" s="40" t="s">
        <v>1261</v>
      </c>
      <c r="J183" s="41">
        <v>278981264</v>
      </c>
      <c r="K183" s="41">
        <v>278981264</v>
      </c>
      <c r="L183" s="30">
        <v>291275353.60000002</v>
      </c>
      <c r="M183" s="30">
        <f t="shared" si="50"/>
        <v>291275353.60000002</v>
      </c>
      <c r="N183" s="40" t="s">
        <v>1262</v>
      </c>
      <c r="O183" s="38" t="s">
        <v>1263</v>
      </c>
      <c r="P183" s="40" t="s">
        <v>1264</v>
      </c>
      <c r="Q183" s="40">
        <v>0</v>
      </c>
      <c r="R183" s="40">
        <v>100</v>
      </c>
      <c r="S183" s="44" t="s">
        <v>219</v>
      </c>
      <c r="T183" s="37">
        <v>10</v>
      </c>
      <c r="U183" s="37">
        <f>M183/W183</f>
        <v>47284.960000000006</v>
      </c>
      <c r="V183" s="45">
        <f t="shared" si="47"/>
        <v>472849.60000000009</v>
      </c>
      <c r="W183" s="30">
        <f t="shared" si="49"/>
        <v>6160</v>
      </c>
      <c r="X183" s="30">
        <v>1630</v>
      </c>
      <c r="Y183" s="30"/>
      <c r="Z183" s="30"/>
      <c r="AA183" s="30"/>
      <c r="AB183" s="30"/>
      <c r="AC183" s="30">
        <v>2440</v>
      </c>
      <c r="AD183" s="30"/>
      <c r="AE183" s="30"/>
      <c r="AF183" s="30"/>
      <c r="AG183" s="30"/>
      <c r="AH183" s="41">
        <v>2090</v>
      </c>
      <c r="AI183" s="41"/>
      <c r="AJ183" s="41"/>
      <c r="AK183" s="41"/>
      <c r="AL183" s="41"/>
      <c r="AM183" s="41"/>
      <c r="AN183" s="41">
        <f t="shared" si="48"/>
        <v>616</v>
      </c>
      <c r="AO183" s="41">
        <f t="shared" si="38"/>
        <v>616</v>
      </c>
      <c r="AP183" s="81" t="s">
        <v>1278</v>
      </c>
      <c r="AQ183" s="36">
        <v>44972</v>
      </c>
      <c r="AR183" s="36">
        <v>45031</v>
      </c>
      <c r="AS183" s="36">
        <v>45261</v>
      </c>
      <c r="AT183" s="36">
        <v>44986</v>
      </c>
      <c r="AU183" s="36">
        <v>45046</v>
      </c>
      <c r="AV183" s="36">
        <v>45275</v>
      </c>
      <c r="AW183" s="40" t="s">
        <v>87</v>
      </c>
      <c r="AX183" s="80"/>
      <c r="BC183" s="65"/>
      <c r="BD183" s="65"/>
    </row>
    <row r="184" spans="1:56" ht="51.75" customHeight="1" x14ac:dyDescent="0.3">
      <c r="A184" s="39" t="s">
        <v>1279</v>
      </c>
      <c r="B184" s="36">
        <v>44887</v>
      </c>
      <c r="C184" s="37">
        <v>545</v>
      </c>
      <c r="D184" s="39" t="s">
        <v>1280</v>
      </c>
      <c r="E184" s="1" t="s">
        <v>1281</v>
      </c>
      <c r="F184" s="36">
        <v>44907</v>
      </c>
      <c r="G184" s="39" t="s">
        <v>1282</v>
      </c>
      <c r="H184" s="40" t="s">
        <v>224</v>
      </c>
      <c r="I184" s="40" t="s">
        <v>1283</v>
      </c>
      <c r="J184" s="41">
        <v>246317174.40000001</v>
      </c>
      <c r="K184" s="41">
        <v>246317174.40000001</v>
      </c>
      <c r="L184" s="30">
        <f>K184</f>
        <v>246317174.40000001</v>
      </c>
      <c r="M184" s="30">
        <f t="shared" si="50"/>
        <v>246317174.40000001</v>
      </c>
      <c r="N184" s="40" t="s">
        <v>1271</v>
      </c>
      <c r="O184" s="38" t="s">
        <v>1284</v>
      </c>
      <c r="P184" s="40" t="s">
        <v>199</v>
      </c>
      <c r="Q184" s="40">
        <v>0</v>
      </c>
      <c r="R184" s="40">
        <v>100</v>
      </c>
      <c r="S184" s="44" t="s">
        <v>219</v>
      </c>
      <c r="T184" s="37">
        <v>12</v>
      </c>
      <c r="U184" s="37">
        <f>M184/W184</f>
        <v>247306.4</v>
      </c>
      <c r="V184" s="45">
        <f t="shared" si="47"/>
        <v>2967676.8</v>
      </c>
      <c r="W184" s="30">
        <f t="shared" si="49"/>
        <v>996</v>
      </c>
      <c r="X184" s="30">
        <v>708</v>
      </c>
      <c r="Y184" s="30"/>
      <c r="Z184" s="30"/>
      <c r="AA184" s="30"/>
      <c r="AB184" s="30"/>
      <c r="AC184" s="30">
        <v>288</v>
      </c>
      <c r="AD184" s="30"/>
      <c r="AE184" s="30"/>
      <c r="AF184" s="30"/>
      <c r="AG184" s="30"/>
      <c r="AH184" s="41"/>
      <c r="AI184" s="41"/>
      <c r="AJ184" s="41"/>
      <c r="AK184" s="41"/>
      <c r="AL184" s="41"/>
      <c r="AM184" s="41"/>
      <c r="AN184" s="41">
        <f t="shared" si="48"/>
        <v>83</v>
      </c>
      <c r="AO184" s="41">
        <f t="shared" si="38"/>
        <v>83</v>
      </c>
      <c r="AP184" s="47" t="s">
        <v>1285</v>
      </c>
      <c r="AQ184" s="36">
        <v>44972</v>
      </c>
      <c r="AR184" s="36">
        <v>45031</v>
      </c>
      <c r="AS184" s="36"/>
      <c r="AT184" s="36">
        <v>44986</v>
      </c>
      <c r="AU184" s="36">
        <v>45046</v>
      </c>
      <c r="AV184" s="36"/>
      <c r="AW184" s="40" t="s">
        <v>87</v>
      </c>
      <c r="AX184" s="80"/>
      <c r="BC184" s="65"/>
      <c r="BD184" s="65"/>
    </row>
    <row r="185" spans="1:56" ht="57.75" customHeight="1" x14ac:dyDescent="0.3">
      <c r="A185" s="39" t="s">
        <v>1286</v>
      </c>
      <c r="B185" s="36">
        <v>44887</v>
      </c>
      <c r="C185" s="37">
        <v>545</v>
      </c>
      <c r="D185" s="39" t="s">
        <v>1287</v>
      </c>
      <c r="E185" s="1" t="s">
        <v>1288</v>
      </c>
      <c r="F185" s="36">
        <v>44907</v>
      </c>
      <c r="G185" s="39" t="s">
        <v>1289</v>
      </c>
      <c r="H185" s="40" t="s">
        <v>224</v>
      </c>
      <c r="I185" s="40" t="s">
        <v>1261</v>
      </c>
      <c r="J185" s="41">
        <v>249191739.19999999</v>
      </c>
      <c r="K185" s="41">
        <v>249191739.19999999</v>
      </c>
      <c r="L185" s="30">
        <v>257703032</v>
      </c>
      <c r="M185" s="30">
        <f t="shared" si="50"/>
        <v>257703032</v>
      </c>
      <c r="N185" s="40" t="s">
        <v>1262</v>
      </c>
      <c r="O185" s="38" t="s">
        <v>1263</v>
      </c>
      <c r="P185" s="40" t="s">
        <v>1264</v>
      </c>
      <c r="Q185" s="40">
        <v>0</v>
      </c>
      <c r="R185" s="40">
        <v>100</v>
      </c>
      <c r="S185" s="44" t="s">
        <v>219</v>
      </c>
      <c r="T185" s="37">
        <v>10</v>
      </c>
      <c r="U185" s="37">
        <f>M185/W185</f>
        <v>47284.959999999999</v>
      </c>
      <c r="V185" s="45">
        <f t="shared" si="47"/>
        <v>472849.6</v>
      </c>
      <c r="W185" s="30">
        <f t="shared" si="49"/>
        <v>5450</v>
      </c>
      <c r="X185" s="30">
        <v>1460</v>
      </c>
      <c r="Y185" s="30"/>
      <c r="Z185" s="30"/>
      <c r="AA185" s="30"/>
      <c r="AB185" s="30"/>
      <c r="AC185" s="30">
        <v>2200</v>
      </c>
      <c r="AD185" s="30"/>
      <c r="AE185" s="30"/>
      <c r="AF185" s="30"/>
      <c r="AG185" s="30"/>
      <c r="AH185" s="41">
        <f>1610+180</f>
        <v>1790</v>
      </c>
      <c r="AI185" s="41"/>
      <c r="AJ185" s="41"/>
      <c r="AK185" s="41"/>
      <c r="AL185" s="41"/>
      <c r="AM185" s="41"/>
      <c r="AN185" s="41">
        <f t="shared" si="48"/>
        <v>545</v>
      </c>
      <c r="AO185" s="41">
        <f t="shared" si="38"/>
        <v>545</v>
      </c>
      <c r="AP185" s="47" t="s">
        <v>1273</v>
      </c>
      <c r="AQ185" s="36">
        <v>44972</v>
      </c>
      <c r="AR185" s="36">
        <v>45031</v>
      </c>
      <c r="AS185" s="36">
        <v>45261</v>
      </c>
      <c r="AT185" s="36">
        <v>44986</v>
      </c>
      <c r="AU185" s="36">
        <v>45046</v>
      </c>
      <c r="AV185" s="36">
        <v>45275</v>
      </c>
      <c r="AW185" s="40" t="s">
        <v>87</v>
      </c>
      <c r="AX185" s="80"/>
      <c r="BC185" s="65"/>
      <c r="BD185" s="65"/>
    </row>
    <row r="186" spans="1:56" ht="60.75" customHeight="1" x14ac:dyDescent="0.3">
      <c r="A186" s="39" t="s">
        <v>1290</v>
      </c>
      <c r="B186" s="36">
        <v>44887</v>
      </c>
      <c r="C186" s="37">
        <v>545</v>
      </c>
      <c r="D186" s="39" t="s">
        <v>1291</v>
      </c>
      <c r="E186" s="1" t="s">
        <v>1292</v>
      </c>
      <c r="F186" s="36">
        <v>44907</v>
      </c>
      <c r="G186" s="39" t="s">
        <v>1293</v>
      </c>
      <c r="H186" s="40" t="s">
        <v>224</v>
      </c>
      <c r="I186" s="40" t="s">
        <v>1294</v>
      </c>
      <c r="J186" s="41">
        <v>227913507.19999999</v>
      </c>
      <c r="K186" s="41">
        <v>227913507.19999999</v>
      </c>
      <c r="L186" s="30">
        <v>262904377.59999999</v>
      </c>
      <c r="M186" s="30">
        <f>L186</f>
        <v>262904377.59999999</v>
      </c>
      <c r="N186" s="40" t="s">
        <v>1262</v>
      </c>
      <c r="O186" s="38" t="s">
        <v>1263</v>
      </c>
      <c r="P186" s="40" t="s">
        <v>1264</v>
      </c>
      <c r="Q186" s="40">
        <v>0</v>
      </c>
      <c r="R186" s="40">
        <v>100</v>
      </c>
      <c r="S186" s="44" t="s">
        <v>219</v>
      </c>
      <c r="T186" s="37">
        <v>10</v>
      </c>
      <c r="U186" s="37">
        <f>M186/W186</f>
        <v>47284.959999999999</v>
      </c>
      <c r="V186" s="45">
        <f>U186*T186</f>
        <v>472849.6</v>
      </c>
      <c r="W186" s="30">
        <f>X186+AC186+AH186</f>
        <v>5560</v>
      </c>
      <c r="X186" s="30">
        <v>1330</v>
      </c>
      <c r="Y186" s="30"/>
      <c r="Z186" s="30"/>
      <c r="AA186" s="30"/>
      <c r="AB186" s="30"/>
      <c r="AC186" s="30">
        <v>2000</v>
      </c>
      <c r="AD186" s="30"/>
      <c r="AE186" s="30"/>
      <c r="AF186" s="30"/>
      <c r="AG186" s="30"/>
      <c r="AH186" s="41">
        <f>2090+90+50</f>
        <v>2230</v>
      </c>
      <c r="AI186" s="41"/>
      <c r="AJ186" s="41"/>
      <c r="AK186" s="41"/>
      <c r="AL186" s="41"/>
      <c r="AM186" s="41"/>
      <c r="AN186" s="41">
        <f>W186/T186</f>
        <v>556</v>
      </c>
      <c r="AO186" s="41">
        <f>_xlfn.CEILING.MATH(AN186)</f>
        <v>556</v>
      </c>
      <c r="AP186" s="47" t="s">
        <v>1256</v>
      </c>
      <c r="AQ186" s="36">
        <v>44972</v>
      </c>
      <c r="AR186" s="36">
        <v>45031</v>
      </c>
      <c r="AS186" s="36">
        <v>45261</v>
      </c>
      <c r="AT186" s="36">
        <v>44986</v>
      </c>
      <c r="AU186" s="36">
        <v>45046</v>
      </c>
      <c r="AV186" s="36">
        <v>45000</v>
      </c>
      <c r="AW186" s="40" t="s">
        <v>87</v>
      </c>
      <c r="AX186" s="80"/>
      <c r="BC186" s="65"/>
      <c r="BD186" s="65"/>
    </row>
    <row r="187" spans="1:56" ht="51.75" customHeight="1" x14ac:dyDescent="0.3">
      <c r="A187" s="39" t="s">
        <v>1295</v>
      </c>
      <c r="B187" s="36">
        <v>44887</v>
      </c>
      <c r="C187" s="37">
        <v>545</v>
      </c>
      <c r="D187" s="39" t="s">
        <v>1296</v>
      </c>
      <c r="E187" s="1" t="s">
        <v>1297</v>
      </c>
      <c r="F187" s="36">
        <v>44907</v>
      </c>
      <c r="G187" s="39" t="s">
        <v>1298</v>
      </c>
      <c r="H187" s="40" t="s">
        <v>224</v>
      </c>
      <c r="I187" s="40" t="s">
        <v>1299</v>
      </c>
      <c r="J187" s="41">
        <v>111969000</v>
      </c>
      <c r="K187" s="41">
        <v>111969000</v>
      </c>
      <c r="L187" s="30">
        <f t="shared" ref="L187:M202" si="51">K187</f>
        <v>111969000</v>
      </c>
      <c r="M187" s="30">
        <f t="shared" si="51"/>
        <v>111969000</v>
      </c>
      <c r="N187" s="37" t="s">
        <v>1300</v>
      </c>
      <c r="O187" s="38" t="s">
        <v>1301</v>
      </c>
      <c r="P187" s="40" t="s">
        <v>1032</v>
      </c>
      <c r="Q187" s="40">
        <v>0</v>
      </c>
      <c r="R187" s="40">
        <v>100</v>
      </c>
      <c r="S187" s="44" t="s">
        <v>200</v>
      </c>
      <c r="T187" s="37">
        <v>60</v>
      </c>
      <c r="U187" s="37">
        <f>M187/W187</f>
        <v>15950</v>
      </c>
      <c r="V187" s="45">
        <f t="shared" si="47"/>
        <v>957000</v>
      </c>
      <c r="W187" s="30">
        <f t="shared" si="49"/>
        <v>7020</v>
      </c>
      <c r="X187" s="30">
        <v>7020</v>
      </c>
      <c r="Y187" s="30"/>
      <c r="Z187" s="30"/>
      <c r="AA187" s="30"/>
      <c r="AB187" s="30"/>
      <c r="AC187" s="30"/>
      <c r="AD187" s="30"/>
      <c r="AE187" s="30"/>
      <c r="AF187" s="30"/>
      <c r="AG187" s="30"/>
      <c r="AH187" s="41"/>
      <c r="AI187" s="41"/>
      <c r="AJ187" s="41"/>
      <c r="AK187" s="41"/>
      <c r="AL187" s="41"/>
      <c r="AM187" s="41"/>
      <c r="AN187" s="41">
        <f t="shared" si="48"/>
        <v>117</v>
      </c>
      <c r="AO187" s="41">
        <f t="shared" si="38"/>
        <v>117</v>
      </c>
      <c r="AP187" s="81" t="s">
        <v>1302</v>
      </c>
      <c r="AQ187" s="36">
        <v>44972</v>
      </c>
      <c r="AR187" s="36"/>
      <c r="AS187" s="36"/>
      <c r="AT187" s="36">
        <v>44986</v>
      </c>
      <c r="AU187" s="36"/>
      <c r="AV187" s="36"/>
      <c r="AW187" s="40" t="s">
        <v>87</v>
      </c>
      <c r="AX187" s="80"/>
      <c r="BC187" s="65"/>
      <c r="BD187" s="65"/>
    </row>
    <row r="188" spans="1:56" ht="65.25" customHeight="1" x14ac:dyDescent="0.3">
      <c r="A188" s="39" t="s">
        <v>1303</v>
      </c>
      <c r="B188" s="36">
        <v>44887</v>
      </c>
      <c r="C188" s="37">
        <v>545</v>
      </c>
      <c r="D188" s="39" t="s">
        <v>1304</v>
      </c>
      <c r="E188" s="1" t="s">
        <v>1305</v>
      </c>
      <c r="F188" s="36">
        <v>44907</v>
      </c>
      <c r="G188" s="39" t="s">
        <v>1306</v>
      </c>
      <c r="H188" s="40" t="s">
        <v>224</v>
      </c>
      <c r="I188" s="40" t="s">
        <v>1307</v>
      </c>
      <c r="J188" s="41">
        <v>284420400</v>
      </c>
      <c r="K188" s="41">
        <v>284420400</v>
      </c>
      <c r="L188" s="30">
        <f t="shared" si="51"/>
        <v>284420400</v>
      </c>
      <c r="M188" s="30">
        <f t="shared" si="51"/>
        <v>284420400</v>
      </c>
      <c r="N188" s="37" t="s">
        <v>1300</v>
      </c>
      <c r="O188" s="38" t="s">
        <v>1308</v>
      </c>
      <c r="P188" s="40" t="s">
        <v>1032</v>
      </c>
      <c r="Q188" s="40">
        <v>0</v>
      </c>
      <c r="R188" s="40">
        <v>100</v>
      </c>
      <c r="S188" s="44" t="s">
        <v>200</v>
      </c>
      <c r="T188" s="37">
        <v>60</v>
      </c>
      <c r="U188" s="37">
        <f>M188/W188</f>
        <v>6380</v>
      </c>
      <c r="V188" s="45">
        <f t="shared" si="47"/>
        <v>382800</v>
      </c>
      <c r="W188" s="30">
        <f t="shared" si="49"/>
        <v>44580</v>
      </c>
      <c r="X188" s="30">
        <v>44580</v>
      </c>
      <c r="Y188" s="30"/>
      <c r="Z188" s="30"/>
      <c r="AA188" s="30"/>
      <c r="AB188" s="30"/>
      <c r="AC188" s="30"/>
      <c r="AD188" s="30"/>
      <c r="AE188" s="30"/>
      <c r="AF188" s="30"/>
      <c r="AG188" s="30"/>
      <c r="AH188" s="41"/>
      <c r="AI188" s="41"/>
      <c r="AJ188" s="41"/>
      <c r="AK188" s="41"/>
      <c r="AL188" s="41"/>
      <c r="AM188" s="41"/>
      <c r="AN188" s="41">
        <f t="shared" si="48"/>
        <v>743</v>
      </c>
      <c r="AO188" s="41">
        <f t="shared" si="38"/>
        <v>743</v>
      </c>
      <c r="AP188" s="81" t="s">
        <v>1309</v>
      </c>
      <c r="AQ188" s="36">
        <v>44972</v>
      </c>
      <c r="AR188" s="36"/>
      <c r="AS188" s="36"/>
      <c r="AT188" s="36">
        <v>44986</v>
      </c>
      <c r="AU188" s="36"/>
      <c r="AV188" s="36"/>
      <c r="AW188" s="40" t="s">
        <v>87</v>
      </c>
      <c r="AX188" s="80"/>
      <c r="BC188" s="65"/>
      <c r="BD188" s="65"/>
    </row>
    <row r="189" spans="1:56" ht="72" x14ac:dyDescent="0.3">
      <c r="A189" s="39" t="s">
        <v>1310</v>
      </c>
      <c r="B189" s="36">
        <v>44887</v>
      </c>
      <c r="C189" s="37">
        <v>545</v>
      </c>
      <c r="D189" s="39" t="s">
        <v>1311</v>
      </c>
      <c r="E189" s="1" t="s">
        <v>1312</v>
      </c>
      <c r="F189" s="36">
        <v>44907</v>
      </c>
      <c r="G189" s="39" t="s">
        <v>1313</v>
      </c>
      <c r="H189" s="40" t="s">
        <v>224</v>
      </c>
      <c r="I189" s="40" t="s">
        <v>1314</v>
      </c>
      <c r="J189" s="41">
        <v>164986800</v>
      </c>
      <c r="K189" s="41">
        <v>164986800</v>
      </c>
      <c r="L189" s="30">
        <f t="shared" si="51"/>
        <v>164986800</v>
      </c>
      <c r="M189" s="30">
        <f t="shared" si="51"/>
        <v>164986800</v>
      </c>
      <c r="N189" s="37" t="s">
        <v>1300</v>
      </c>
      <c r="O189" s="38" t="s">
        <v>1308</v>
      </c>
      <c r="P189" s="40" t="s">
        <v>1032</v>
      </c>
      <c r="Q189" s="40">
        <v>0</v>
      </c>
      <c r="R189" s="40">
        <v>100</v>
      </c>
      <c r="S189" s="44" t="s">
        <v>200</v>
      </c>
      <c r="T189" s="37">
        <v>60</v>
      </c>
      <c r="U189" s="37">
        <f>M189/W189</f>
        <v>6380</v>
      </c>
      <c r="V189" s="45">
        <f t="shared" si="47"/>
        <v>382800</v>
      </c>
      <c r="W189" s="30">
        <f t="shared" si="49"/>
        <v>25860</v>
      </c>
      <c r="X189" s="30">
        <v>25860</v>
      </c>
      <c r="Y189" s="30"/>
      <c r="Z189" s="30"/>
      <c r="AA189" s="30"/>
      <c r="AB189" s="30"/>
      <c r="AC189" s="30"/>
      <c r="AD189" s="30"/>
      <c r="AE189" s="30"/>
      <c r="AF189" s="30"/>
      <c r="AG189" s="30"/>
      <c r="AH189" s="41"/>
      <c r="AI189" s="41"/>
      <c r="AJ189" s="41"/>
      <c r="AK189" s="41"/>
      <c r="AL189" s="41"/>
      <c r="AM189" s="41"/>
      <c r="AN189" s="41">
        <f t="shared" si="48"/>
        <v>431</v>
      </c>
      <c r="AO189" s="41">
        <f t="shared" si="38"/>
        <v>431</v>
      </c>
      <c r="AP189" s="81" t="s">
        <v>1315</v>
      </c>
      <c r="AQ189" s="36">
        <v>44972</v>
      </c>
      <c r="AR189" s="36"/>
      <c r="AS189" s="36"/>
      <c r="AT189" s="36">
        <v>44986</v>
      </c>
      <c r="AU189" s="36"/>
      <c r="AV189" s="36"/>
      <c r="AW189" s="40" t="s">
        <v>87</v>
      </c>
      <c r="AX189" s="80"/>
      <c r="BC189" s="65"/>
      <c r="BD189" s="65"/>
    </row>
    <row r="190" spans="1:56" ht="66" customHeight="1" x14ac:dyDescent="0.3">
      <c r="A190" s="39" t="s">
        <v>1316</v>
      </c>
      <c r="B190" s="36">
        <v>44887</v>
      </c>
      <c r="C190" s="37">
        <v>545</v>
      </c>
      <c r="D190" s="39" t="s">
        <v>1317</v>
      </c>
      <c r="E190" s="1" t="s">
        <v>1318</v>
      </c>
      <c r="F190" s="36">
        <v>44907</v>
      </c>
      <c r="G190" s="39" t="s">
        <v>1319</v>
      </c>
      <c r="H190" s="40" t="s">
        <v>224</v>
      </c>
      <c r="I190" s="40" t="s">
        <v>1314</v>
      </c>
      <c r="J190" s="41">
        <v>199438800</v>
      </c>
      <c r="K190" s="41">
        <v>199438800</v>
      </c>
      <c r="L190" s="30">
        <f t="shared" si="51"/>
        <v>199438800</v>
      </c>
      <c r="M190" s="30">
        <f t="shared" si="51"/>
        <v>199438800</v>
      </c>
      <c r="N190" s="37" t="s">
        <v>1300</v>
      </c>
      <c r="O190" s="38" t="s">
        <v>1308</v>
      </c>
      <c r="P190" s="40" t="s">
        <v>1032</v>
      </c>
      <c r="Q190" s="40">
        <v>0</v>
      </c>
      <c r="R190" s="40">
        <v>100</v>
      </c>
      <c r="S190" s="44" t="s">
        <v>200</v>
      </c>
      <c r="T190" s="37">
        <v>60</v>
      </c>
      <c r="U190" s="37">
        <f>M190/W190</f>
        <v>6380</v>
      </c>
      <c r="V190" s="45">
        <f t="shared" si="47"/>
        <v>382800</v>
      </c>
      <c r="W190" s="30">
        <f t="shared" si="49"/>
        <v>31260</v>
      </c>
      <c r="X190" s="30">
        <v>31260</v>
      </c>
      <c r="Y190" s="30"/>
      <c r="Z190" s="30"/>
      <c r="AA190" s="30"/>
      <c r="AB190" s="30"/>
      <c r="AC190" s="30"/>
      <c r="AD190" s="30"/>
      <c r="AE190" s="30"/>
      <c r="AF190" s="30"/>
      <c r="AG190" s="30"/>
      <c r="AH190" s="41"/>
      <c r="AI190" s="41"/>
      <c r="AJ190" s="41"/>
      <c r="AK190" s="41"/>
      <c r="AL190" s="41"/>
      <c r="AM190" s="41"/>
      <c r="AN190" s="41">
        <f t="shared" si="48"/>
        <v>521</v>
      </c>
      <c r="AO190" s="41">
        <f t="shared" ref="AO190:AO253" si="52">_xlfn.CEILING.MATH(AN190)</f>
        <v>521</v>
      </c>
      <c r="AP190" s="81" t="s">
        <v>1320</v>
      </c>
      <c r="AQ190" s="36">
        <v>44972</v>
      </c>
      <c r="AR190" s="36"/>
      <c r="AS190" s="36"/>
      <c r="AT190" s="36">
        <v>44986</v>
      </c>
      <c r="AU190" s="36"/>
      <c r="AV190" s="36"/>
      <c r="AW190" s="40" t="s">
        <v>87</v>
      </c>
      <c r="AX190" s="80"/>
      <c r="BC190" s="65"/>
      <c r="BD190" s="65"/>
    </row>
    <row r="191" spans="1:56" ht="43.5" customHeight="1" x14ac:dyDescent="0.3">
      <c r="A191" s="39" t="s">
        <v>1321</v>
      </c>
      <c r="B191" s="36">
        <v>44887</v>
      </c>
      <c r="C191" s="37">
        <v>545</v>
      </c>
      <c r="D191" s="39" t="s">
        <v>1322</v>
      </c>
      <c r="E191" s="1" t="s">
        <v>1323</v>
      </c>
      <c r="F191" s="36">
        <v>44907</v>
      </c>
      <c r="G191" s="39" t="s">
        <v>1324</v>
      </c>
      <c r="H191" s="40" t="s">
        <v>224</v>
      </c>
      <c r="I191" s="40" t="s">
        <v>1307</v>
      </c>
      <c r="J191" s="41">
        <v>289396800</v>
      </c>
      <c r="K191" s="41">
        <v>289396800</v>
      </c>
      <c r="L191" s="30">
        <f t="shared" si="51"/>
        <v>289396800</v>
      </c>
      <c r="M191" s="30">
        <f t="shared" si="51"/>
        <v>289396800</v>
      </c>
      <c r="N191" s="37" t="s">
        <v>1300</v>
      </c>
      <c r="O191" s="38" t="s">
        <v>1308</v>
      </c>
      <c r="P191" s="40" t="s">
        <v>1032</v>
      </c>
      <c r="Q191" s="40">
        <v>0</v>
      </c>
      <c r="R191" s="40">
        <v>100</v>
      </c>
      <c r="S191" s="44" t="s">
        <v>200</v>
      </c>
      <c r="T191" s="37">
        <v>60</v>
      </c>
      <c r="U191" s="37">
        <f>M191/W191</f>
        <v>6380</v>
      </c>
      <c r="V191" s="45">
        <f t="shared" si="47"/>
        <v>382800</v>
      </c>
      <c r="W191" s="30">
        <f t="shared" si="49"/>
        <v>45360</v>
      </c>
      <c r="X191" s="30">
        <v>45360</v>
      </c>
      <c r="Y191" s="30"/>
      <c r="Z191" s="30"/>
      <c r="AA191" s="30"/>
      <c r="AB191" s="30"/>
      <c r="AC191" s="30"/>
      <c r="AD191" s="30"/>
      <c r="AE191" s="30"/>
      <c r="AF191" s="30"/>
      <c r="AG191" s="30"/>
      <c r="AH191" s="41"/>
      <c r="AI191" s="41"/>
      <c r="AJ191" s="41"/>
      <c r="AK191" s="41"/>
      <c r="AL191" s="41"/>
      <c r="AM191" s="41"/>
      <c r="AN191" s="41">
        <f t="shared" si="48"/>
        <v>756</v>
      </c>
      <c r="AO191" s="41">
        <f t="shared" si="52"/>
        <v>756</v>
      </c>
      <c r="AP191" s="81" t="s">
        <v>1325</v>
      </c>
      <c r="AQ191" s="36">
        <v>44972</v>
      </c>
      <c r="AR191" s="36"/>
      <c r="AS191" s="36"/>
      <c r="AT191" s="36">
        <v>44986</v>
      </c>
      <c r="AU191" s="36"/>
      <c r="AV191" s="36"/>
      <c r="AW191" s="40" t="s">
        <v>87</v>
      </c>
      <c r="AX191" s="80"/>
      <c r="BC191" s="65"/>
      <c r="BD191" s="65"/>
    </row>
    <row r="192" spans="1:56" ht="72" x14ac:dyDescent="0.3">
      <c r="A192" s="39" t="s">
        <v>1326</v>
      </c>
      <c r="B192" s="36">
        <v>44887</v>
      </c>
      <c r="C192" s="37">
        <v>545</v>
      </c>
      <c r="D192" s="39" t="s">
        <v>1327</v>
      </c>
      <c r="E192" s="1" t="s">
        <v>1328</v>
      </c>
      <c r="F192" s="36">
        <v>44907</v>
      </c>
      <c r="G192" s="39" t="s">
        <v>1329</v>
      </c>
      <c r="H192" s="40" t="s">
        <v>224</v>
      </c>
      <c r="I192" s="40" t="s">
        <v>1299</v>
      </c>
      <c r="J192" s="41">
        <v>295713000</v>
      </c>
      <c r="K192" s="41">
        <v>295713000</v>
      </c>
      <c r="L192" s="30">
        <f t="shared" si="51"/>
        <v>295713000</v>
      </c>
      <c r="M192" s="30">
        <f t="shared" si="51"/>
        <v>295713000</v>
      </c>
      <c r="N192" s="37" t="s">
        <v>1300</v>
      </c>
      <c r="O192" s="38" t="s">
        <v>1301</v>
      </c>
      <c r="P192" s="40" t="s">
        <v>1032</v>
      </c>
      <c r="Q192" s="40">
        <v>0</v>
      </c>
      <c r="R192" s="40">
        <v>100</v>
      </c>
      <c r="S192" s="44" t="s">
        <v>200</v>
      </c>
      <c r="T192" s="37">
        <v>60</v>
      </c>
      <c r="U192" s="37">
        <f>M192/W192</f>
        <v>15950</v>
      </c>
      <c r="V192" s="45">
        <f t="shared" si="47"/>
        <v>957000</v>
      </c>
      <c r="W192" s="30">
        <f t="shared" si="49"/>
        <v>18540</v>
      </c>
      <c r="X192" s="30">
        <v>18540</v>
      </c>
      <c r="Y192" s="30"/>
      <c r="Z192" s="30"/>
      <c r="AA192" s="30"/>
      <c r="AB192" s="30"/>
      <c r="AC192" s="30"/>
      <c r="AD192" s="30"/>
      <c r="AE192" s="30"/>
      <c r="AF192" s="30"/>
      <c r="AG192" s="30"/>
      <c r="AH192" s="41"/>
      <c r="AI192" s="41"/>
      <c r="AJ192" s="41"/>
      <c r="AK192" s="41"/>
      <c r="AL192" s="41"/>
      <c r="AM192" s="41"/>
      <c r="AN192" s="41">
        <f t="shared" si="48"/>
        <v>309</v>
      </c>
      <c r="AO192" s="41">
        <f t="shared" si="52"/>
        <v>309</v>
      </c>
      <c r="AP192" s="81" t="s">
        <v>1273</v>
      </c>
      <c r="AQ192" s="36">
        <v>44972</v>
      </c>
      <c r="AR192" s="36"/>
      <c r="AS192" s="36"/>
      <c r="AT192" s="36">
        <v>44986</v>
      </c>
      <c r="AU192" s="36"/>
      <c r="AV192" s="36"/>
      <c r="AW192" s="40" t="s">
        <v>87</v>
      </c>
      <c r="AX192" s="80"/>
      <c r="BC192" s="65"/>
      <c r="BD192" s="65"/>
    </row>
    <row r="193" spans="1:49" ht="72" x14ac:dyDescent="0.3">
      <c r="A193" s="39" t="s">
        <v>1330</v>
      </c>
      <c r="B193" s="36">
        <v>44888</v>
      </c>
      <c r="C193" s="37">
        <v>545</v>
      </c>
      <c r="D193" s="39" t="s">
        <v>1331</v>
      </c>
      <c r="E193" s="1" t="s">
        <v>1332</v>
      </c>
      <c r="F193" s="36">
        <v>44908</v>
      </c>
      <c r="G193" s="39" t="s">
        <v>1333</v>
      </c>
      <c r="H193" s="40" t="s">
        <v>224</v>
      </c>
      <c r="I193" s="40" t="s">
        <v>1314</v>
      </c>
      <c r="J193" s="41">
        <v>289779600</v>
      </c>
      <c r="K193" s="41">
        <v>289779600</v>
      </c>
      <c r="L193" s="30">
        <f t="shared" si="51"/>
        <v>289779600</v>
      </c>
      <c r="M193" s="30">
        <f t="shared" si="51"/>
        <v>289779600</v>
      </c>
      <c r="N193" s="37" t="s">
        <v>1300</v>
      </c>
      <c r="O193" s="40" t="s">
        <v>1308</v>
      </c>
      <c r="P193" s="40" t="s">
        <v>1032</v>
      </c>
      <c r="Q193" s="40">
        <v>0</v>
      </c>
      <c r="R193" s="40">
        <v>100</v>
      </c>
      <c r="S193" s="44" t="s">
        <v>200</v>
      </c>
      <c r="T193" s="37">
        <v>60</v>
      </c>
      <c r="U193" s="30">
        <f>M193/W193</f>
        <v>6380</v>
      </c>
      <c r="V193" s="41">
        <f t="shared" si="47"/>
        <v>382800</v>
      </c>
      <c r="W193" s="41">
        <f t="shared" si="49"/>
        <v>45420</v>
      </c>
      <c r="X193" s="41">
        <v>45420</v>
      </c>
      <c r="Y193" s="41"/>
      <c r="Z193" s="41"/>
      <c r="AA193" s="41"/>
      <c r="AB193" s="41"/>
      <c r="AC193" s="41"/>
      <c r="AD193" s="41"/>
      <c r="AE193" s="41"/>
      <c r="AF193" s="41"/>
      <c r="AG193" s="41"/>
      <c r="AH193" s="41"/>
      <c r="AI193" s="41"/>
      <c r="AJ193" s="41"/>
      <c r="AK193" s="41"/>
      <c r="AL193" s="41"/>
      <c r="AM193" s="41"/>
      <c r="AN193" s="41">
        <f t="shared" si="48"/>
        <v>757</v>
      </c>
      <c r="AO193" s="41">
        <f t="shared" si="52"/>
        <v>757</v>
      </c>
      <c r="AP193" s="40" t="s">
        <v>1334</v>
      </c>
      <c r="AQ193" s="36">
        <v>44972</v>
      </c>
      <c r="AR193" s="36"/>
      <c r="AS193" s="36"/>
      <c r="AT193" s="36">
        <v>44986</v>
      </c>
      <c r="AU193" s="36"/>
      <c r="AV193" s="38"/>
      <c r="AW193" s="40" t="s">
        <v>87</v>
      </c>
    </row>
    <row r="194" spans="1:49" ht="72" x14ac:dyDescent="0.3">
      <c r="A194" s="39" t="s">
        <v>1335</v>
      </c>
      <c r="B194" s="36">
        <v>44888</v>
      </c>
      <c r="C194" s="37">
        <v>545</v>
      </c>
      <c r="D194" s="39" t="s">
        <v>1336</v>
      </c>
      <c r="E194" s="1" t="s">
        <v>1337</v>
      </c>
      <c r="F194" s="36">
        <v>44908</v>
      </c>
      <c r="G194" s="39" t="s">
        <v>1338</v>
      </c>
      <c r="H194" s="40" t="s">
        <v>224</v>
      </c>
      <c r="I194" s="40" t="s">
        <v>1339</v>
      </c>
      <c r="J194" s="41">
        <v>193314000</v>
      </c>
      <c r="K194" s="41">
        <v>193314000</v>
      </c>
      <c r="L194" s="30">
        <f t="shared" si="51"/>
        <v>193314000</v>
      </c>
      <c r="M194" s="30">
        <f t="shared" si="51"/>
        <v>193314000</v>
      </c>
      <c r="N194" s="37" t="s">
        <v>1300</v>
      </c>
      <c r="O194" s="40" t="s">
        <v>1301</v>
      </c>
      <c r="P194" s="40" t="s">
        <v>1032</v>
      </c>
      <c r="Q194" s="44">
        <v>0</v>
      </c>
      <c r="R194" s="37">
        <v>100</v>
      </c>
      <c r="S194" s="37" t="s">
        <v>200</v>
      </c>
      <c r="T194" s="48">
        <v>60</v>
      </c>
      <c r="U194" s="30">
        <f>M194/W194</f>
        <v>15950</v>
      </c>
      <c r="V194" s="41">
        <f t="shared" si="47"/>
        <v>957000</v>
      </c>
      <c r="W194" s="41">
        <f t="shared" si="49"/>
        <v>12120</v>
      </c>
      <c r="X194" s="41">
        <v>12120</v>
      </c>
      <c r="Y194" s="41"/>
      <c r="Z194" s="41"/>
      <c r="AA194" s="41"/>
      <c r="AB194" s="41"/>
      <c r="AC194" s="41"/>
      <c r="AD194" s="41"/>
      <c r="AE194" s="41"/>
      <c r="AF194" s="41"/>
      <c r="AG194" s="41"/>
      <c r="AH194" s="41"/>
      <c r="AI194" s="41"/>
      <c r="AJ194" s="41"/>
      <c r="AK194" s="41"/>
      <c r="AL194" s="41"/>
      <c r="AM194" s="41"/>
      <c r="AN194" s="41">
        <f t="shared" si="48"/>
        <v>202</v>
      </c>
      <c r="AO194" s="41">
        <f t="shared" si="52"/>
        <v>202</v>
      </c>
      <c r="AP194" s="40" t="s">
        <v>1340</v>
      </c>
      <c r="AQ194" s="36">
        <v>44972</v>
      </c>
      <c r="AR194" s="36"/>
      <c r="AS194" s="36"/>
      <c r="AT194" s="36">
        <v>44986</v>
      </c>
      <c r="AU194" s="36"/>
      <c r="AV194" s="38"/>
      <c r="AW194" s="40" t="s">
        <v>87</v>
      </c>
    </row>
    <row r="195" spans="1:49" ht="93.6" x14ac:dyDescent="0.3">
      <c r="A195" s="39" t="s">
        <v>1341</v>
      </c>
      <c r="B195" s="36">
        <v>44888</v>
      </c>
      <c r="C195" s="37">
        <v>545</v>
      </c>
      <c r="D195" s="39" t="s">
        <v>1342</v>
      </c>
      <c r="E195" s="1" t="s">
        <v>1343</v>
      </c>
      <c r="F195" s="36">
        <v>44908</v>
      </c>
      <c r="G195" s="39" t="s">
        <v>1344</v>
      </c>
      <c r="H195" s="40" t="s">
        <v>224</v>
      </c>
      <c r="I195" s="40" t="s">
        <v>1314</v>
      </c>
      <c r="J195" s="41">
        <v>145846800</v>
      </c>
      <c r="K195" s="41">
        <v>145846800</v>
      </c>
      <c r="L195" s="30">
        <f t="shared" si="51"/>
        <v>145846800</v>
      </c>
      <c r="M195" s="30">
        <f t="shared" si="51"/>
        <v>145846800</v>
      </c>
      <c r="N195" s="37" t="s">
        <v>1300</v>
      </c>
      <c r="O195" s="40" t="s">
        <v>1308</v>
      </c>
      <c r="P195" s="40" t="s">
        <v>1032</v>
      </c>
      <c r="Q195" s="44">
        <v>0</v>
      </c>
      <c r="R195" s="37">
        <v>100</v>
      </c>
      <c r="S195" s="37" t="s">
        <v>200</v>
      </c>
      <c r="T195" s="48">
        <v>60</v>
      </c>
      <c r="U195" s="30">
        <f>M195/W195</f>
        <v>6380</v>
      </c>
      <c r="V195" s="41">
        <f t="shared" si="47"/>
        <v>382800</v>
      </c>
      <c r="W195" s="41">
        <f t="shared" si="49"/>
        <v>22860</v>
      </c>
      <c r="X195" s="41">
        <v>22860</v>
      </c>
      <c r="Y195" s="41"/>
      <c r="Z195" s="41"/>
      <c r="AA195" s="41"/>
      <c r="AB195" s="41"/>
      <c r="AC195" s="41"/>
      <c r="AD195" s="41"/>
      <c r="AE195" s="41"/>
      <c r="AF195" s="41"/>
      <c r="AG195" s="41"/>
      <c r="AH195" s="41"/>
      <c r="AI195" s="41"/>
      <c r="AJ195" s="41"/>
      <c r="AK195" s="41"/>
      <c r="AL195" s="41"/>
      <c r="AM195" s="41"/>
      <c r="AN195" s="41">
        <f t="shared" si="48"/>
        <v>381</v>
      </c>
      <c r="AO195" s="41">
        <f t="shared" si="52"/>
        <v>381</v>
      </c>
      <c r="AP195" s="40" t="s">
        <v>1345</v>
      </c>
      <c r="AQ195" s="36">
        <v>44972</v>
      </c>
      <c r="AR195" s="36"/>
      <c r="AS195" s="36"/>
      <c r="AT195" s="36">
        <v>44986</v>
      </c>
      <c r="AU195" s="36"/>
      <c r="AV195" s="38"/>
      <c r="AW195" s="40" t="s">
        <v>87</v>
      </c>
    </row>
    <row r="196" spans="1:49" ht="78" x14ac:dyDescent="0.3">
      <c r="A196" s="39" t="s">
        <v>1346</v>
      </c>
      <c r="B196" s="36">
        <v>44889</v>
      </c>
      <c r="C196" s="37">
        <v>545</v>
      </c>
      <c r="D196" s="39" t="s">
        <v>1347</v>
      </c>
      <c r="E196" s="1" t="s">
        <v>1348</v>
      </c>
      <c r="F196" s="36">
        <v>44908</v>
      </c>
      <c r="G196" s="39" t="s">
        <v>1349</v>
      </c>
      <c r="H196" s="40" t="s">
        <v>802</v>
      </c>
      <c r="I196" s="40" t="s">
        <v>1350</v>
      </c>
      <c r="J196" s="57">
        <v>186928140</v>
      </c>
      <c r="K196" s="41">
        <v>186928140</v>
      </c>
      <c r="L196" s="30">
        <f t="shared" si="51"/>
        <v>186928140</v>
      </c>
      <c r="M196" s="30">
        <f t="shared" si="51"/>
        <v>186928140</v>
      </c>
      <c r="N196" s="40" t="s">
        <v>1351</v>
      </c>
      <c r="O196" s="40" t="s">
        <v>1352</v>
      </c>
      <c r="P196" s="40" t="s">
        <v>199</v>
      </c>
      <c r="Q196" s="44">
        <v>0</v>
      </c>
      <c r="R196" s="37">
        <v>100</v>
      </c>
      <c r="S196" s="37" t="s">
        <v>584</v>
      </c>
      <c r="T196" s="48">
        <v>50</v>
      </c>
      <c r="U196" s="30">
        <f>M196/W196</f>
        <v>1004.99</v>
      </c>
      <c r="V196" s="41">
        <f t="shared" si="47"/>
        <v>50249.5</v>
      </c>
      <c r="W196" s="41">
        <f t="shared" si="49"/>
        <v>186000</v>
      </c>
      <c r="X196" s="41">
        <v>186000</v>
      </c>
      <c r="Y196" s="41"/>
      <c r="Z196" s="41"/>
      <c r="AA196" s="41"/>
      <c r="AB196" s="41"/>
      <c r="AC196" s="41"/>
      <c r="AD196" s="41"/>
      <c r="AE196" s="41"/>
      <c r="AF196" s="41"/>
      <c r="AG196" s="41"/>
      <c r="AH196" s="41"/>
      <c r="AI196" s="41"/>
      <c r="AJ196" s="41"/>
      <c r="AK196" s="41"/>
      <c r="AL196" s="41"/>
      <c r="AM196" s="41"/>
      <c r="AN196" s="41">
        <f t="shared" si="48"/>
        <v>3720</v>
      </c>
      <c r="AO196" s="41">
        <f t="shared" si="52"/>
        <v>3720</v>
      </c>
      <c r="AP196" s="40" t="s">
        <v>1353</v>
      </c>
      <c r="AQ196" s="36">
        <v>44972</v>
      </c>
      <c r="AR196" s="36"/>
      <c r="AS196" s="36"/>
      <c r="AT196" s="36">
        <v>44986</v>
      </c>
      <c r="AU196" s="36"/>
      <c r="AV196" s="38"/>
      <c r="AW196" s="40" t="s">
        <v>87</v>
      </c>
    </row>
    <row r="197" spans="1:49" ht="93.6" x14ac:dyDescent="0.3">
      <c r="A197" s="39" t="s">
        <v>1354</v>
      </c>
      <c r="B197" s="36">
        <v>44889</v>
      </c>
      <c r="C197" s="37">
        <v>545</v>
      </c>
      <c r="D197" s="39" t="s">
        <v>1355</v>
      </c>
      <c r="E197" s="1" t="s">
        <v>1356</v>
      </c>
      <c r="F197" s="36">
        <v>44908</v>
      </c>
      <c r="G197" s="39" t="s">
        <v>1357</v>
      </c>
      <c r="H197" s="40" t="s">
        <v>224</v>
      </c>
      <c r="I197" s="40" t="s">
        <v>1358</v>
      </c>
      <c r="J197" s="41">
        <v>220695975</v>
      </c>
      <c r="K197" s="41">
        <v>220695975</v>
      </c>
      <c r="L197" s="30">
        <f t="shared" si="51"/>
        <v>220695975</v>
      </c>
      <c r="M197" s="30">
        <f t="shared" si="51"/>
        <v>220695975</v>
      </c>
      <c r="N197" s="40" t="s">
        <v>936</v>
      </c>
      <c r="O197" s="40" t="s">
        <v>937</v>
      </c>
      <c r="P197" s="40" t="s">
        <v>348</v>
      </c>
      <c r="Q197" s="44">
        <v>0</v>
      </c>
      <c r="R197" s="37">
        <v>100</v>
      </c>
      <c r="S197" s="37" t="s">
        <v>219</v>
      </c>
      <c r="T197" s="48">
        <v>1</v>
      </c>
      <c r="U197" s="30">
        <f>M197/W197</f>
        <v>554512.5</v>
      </c>
      <c r="V197" s="41">
        <f t="shared" si="47"/>
        <v>554512.5</v>
      </c>
      <c r="W197" s="41">
        <f t="shared" si="49"/>
        <v>398</v>
      </c>
      <c r="X197" s="41">
        <v>398</v>
      </c>
      <c r="Y197" s="41"/>
      <c r="Z197" s="41"/>
      <c r="AA197" s="41"/>
      <c r="AB197" s="41"/>
      <c r="AC197" s="41"/>
      <c r="AD197" s="41"/>
      <c r="AE197" s="41"/>
      <c r="AF197" s="41"/>
      <c r="AG197" s="41"/>
      <c r="AH197" s="41"/>
      <c r="AI197" s="41"/>
      <c r="AJ197" s="41"/>
      <c r="AK197" s="41"/>
      <c r="AL197" s="41"/>
      <c r="AM197" s="41"/>
      <c r="AN197" s="41">
        <f t="shared" si="48"/>
        <v>398</v>
      </c>
      <c r="AO197" s="41">
        <f t="shared" si="52"/>
        <v>398</v>
      </c>
      <c r="AP197" s="40" t="s">
        <v>1353</v>
      </c>
      <c r="AQ197" s="36">
        <v>44972</v>
      </c>
      <c r="AR197" s="36"/>
      <c r="AS197" s="36"/>
      <c r="AT197" s="36">
        <v>44986</v>
      </c>
      <c r="AU197" s="36"/>
      <c r="AV197" s="38"/>
      <c r="AW197" s="40" t="s">
        <v>87</v>
      </c>
    </row>
    <row r="198" spans="1:49" ht="66.75" customHeight="1" x14ac:dyDescent="0.3">
      <c r="A198" s="39" t="s">
        <v>1359</v>
      </c>
      <c r="B198" s="36">
        <v>44889</v>
      </c>
      <c r="C198" s="37">
        <v>545</v>
      </c>
      <c r="D198" s="39" t="s">
        <v>1360</v>
      </c>
      <c r="E198" s="1" t="s">
        <v>1361</v>
      </c>
      <c r="F198" s="36">
        <v>44908</v>
      </c>
      <c r="G198" s="39" t="s">
        <v>1362</v>
      </c>
      <c r="H198" s="40" t="s">
        <v>224</v>
      </c>
      <c r="I198" s="40" t="s">
        <v>1363</v>
      </c>
      <c r="J198" s="41">
        <v>195866668.80000001</v>
      </c>
      <c r="K198" s="41">
        <v>195866668.80000001</v>
      </c>
      <c r="L198" s="30">
        <f t="shared" si="51"/>
        <v>195866668.80000001</v>
      </c>
      <c r="M198" s="30">
        <f t="shared" si="51"/>
        <v>195866668.80000001</v>
      </c>
      <c r="N198" s="40" t="s">
        <v>1271</v>
      </c>
      <c r="O198" s="40" t="s">
        <v>1364</v>
      </c>
      <c r="P198" s="40" t="s">
        <v>199</v>
      </c>
      <c r="Q198" s="44">
        <v>0</v>
      </c>
      <c r="R198" s="37">
        <v>100</v>
      </c>
      <c r="S198" s="37" t="s">
        <v>219</v>
      </c>
      <c r="T198" s="67">
        <v>9.6</v>
      </c>
      <c r="U198" s="30">
        <f>M198/W198</f>
        <v>618266</v>
      </c>
      <c r="V198" s="41">
        <f t="shared" si="47"/>
        <v>5935353.5999999996</v>
      </c>
      <c r="W198" s="41">
        <f t="shared" si="49"/>
        <v>316.8</v>
      </c>
      <c r="X198" s="41">
        <v>192</v>
      </c>
      <c r="Y198" s="41"/>
      <c r="Z198" s="41"/>
      <c r="AA198" s="41"/>
      <c r="AB198" s="41"/>
      <c r="AC198" s="41">
        <v>67.2</v>
      </c>
      <c r="AD198" s="41"/>
      <c r="AE198" s="41"/>
      <c r="AF198" s="41"/>
      <c r="AG198" s="41"/>
      <c r="AH198" s="41">
        <v>57.6</v>
      </c>
      <c r="AI198" s="41"/>
      <c r="AJ198" s="41"/>
      <c r="AK198" s="41"/>
      <c r="AL198" s="41"/>
      <c r="AM198" s="41"/>
      <c r="AN198" s="41">
        <f t="shared" si="48"/>
        <v>33</v>
      </c>
      <c r="AO198" s="41">
        <f t="shared" si="52"/>
        <v>33</v>
      </c>
      <c r="AP198" s="40" t="s">
        <v>1365</v>
      </c>
      <c r="AQ198" s="36">
        <v>44972</v>
      </c>
      <c r="AR198" s="36">
        <v>45031</v>
      </c>
      <c r="AS198" s="36">
        <v>45261</v>
      </c>
      <c r="AT198" s="36">
        <v>44986</v>
      </c>
      <c r="AU198" s="36">
        <v>45046</v>
      </c>
      <c r="AV198" s="38">
        <v>45275</v>
      </c>
      <c r="AW198" s="40" t="s">
        <v>68</v>
      </c>
    </row>
    <row r="199" spans="1:49" ht="66.75" customHeight="1" x14ac:dyDescent="0.3">
      <c r="A199" s="39" t="s">
        <v>1366</v>
      </c>
      <c r="B199" s="36">
        <v>44890</v>
      </c>
      <c r="C199" s="37">
        <v>545</v>
      </c>
      <c r="D199" s="39" t="s">
        <v>1367</v>
      </c>
      <c r="E199" s="1" t="s">
        <v>1368</v>
      </c>
      <c r="F199" s="36">
        <v>44911</v>
      </c>
      <c r="G199" s="39" t="s">
        <v>1369</v>
      </c>
      <c r="H199" s="40" t="s">
        <v>224</v>
      </c>
      <c r="I199" s="40" t="s">
        <v>1370</v>
      </c>
      <c r="J199" s="41">
        <v>237414144</v>
      </c>
      <c r="K199" s="41">
        <v>237414144</v>
      </c>
      <c r="L199" s="30">
        <v>278961619.19999999</v>
      </c>
      <c r="M199" s="30">
        <f t="shared" si="51"/>
        <v>278961619.19999999</v>
      </c>
      <c r="N199" s="40" t="s">
        <v>1271</v>
      </c>
      <c r="O199" s="40" t="s">
        <v>1364</v>
      </c>
      <c r="P199" s="40" t="s">
        <v>199</v>
      </c>
      <c r="Q199" s="44">
        <v>0</v>
      </c>
      <c r="R199" s="37">
        <v>100</v>
      </c>
      <c r="S199" s="37" t="s">
        <v>219</v>
      </c>
      <c r="T199" s="67">
        <v>9.6</v>
      </c>
      <c r="U199" s="30">
        <f>M199/W199</f>
        <v>618266</v>
      </c>
      <c r="V199" s="41">
        <f t="shared" si="47"/>
        <v>5935353.5999999996</v>
      </c>
      <c r="W199" s="41">
        <f t="shared" si="49"/>
        <v>451.2</v>
      </c>
      <c r="X199" s="41">
        <v>230.4</v>
      </c>
      <c r="Y199" s="41"/>
      <c r="Z199" s="41"/>
      <c r="AA199" s="41"/>
      <c r="AB199" s="41"/>
      <c r="AC199" s="41">
        <v>57.6</v>
      </c>
      <c r="AD199" s="41"/>
      <c r="AE199" s="41"/>
      <c r="AF199" s="41"/>
      <c r="AG199" s="41"/>
      <c r="AH199" s="41">
        <v>163.19999999999999</v>
      </c>
      <c r="AI199" s="41"/>
      <c r="AJ199" s="41"/>
      <c r="AK199" s="41"/>
      <c r="AL199" s="41"/>
      <c r="AM199" s="41"/>
      <c r="AN199" s="41">
        <f t="shared" si="48"/>
        <v>47</v>
      </c>
      <c r="AO199" s="41">
        <f t="shared" si="52"/>
        <v>47</v>
      </c>
      <c r="AP199" s="40" t="s">
        <v>1371</v>
      </c>
      <c r="AQ199" s="36">
        <v>44972</v>
      </c>
      <c r="AR199" s="36">
        <v>45031</v>
      </c>
      <c r="AS199" s="36">
        <v>45261</v>
      </c>
      <c r="AT199" s="36">
        <v>44986</v>
      </c>
      <c r="AU199" s="36">
        <v>45046</v>
      </c>
      <c r="AV199" s="38">
        <v>45275</v>
      </c>
      <c r="AW199" s="40" t="s">
        <v>87</v>
      </c>
    </row>
    <row r="200" spans="1:49" ht="66.75" customHeight="1" x14ac:dyDescent="0.3">
      <c r="A200" s="39" t="s">
        <v>1372</v>
      </c>
      <c r="B200" s="36">
        <v>44890</v>
      </c>
      <c r="C200" s="37">
        <v>545</v>
      </c>
      <c r="D200" s="39" t="s">
        <v>1373</v>
      </c>
      <c r="E200" s="1" t="s">
        <v>1374</v>
      </c>
      <c r="F200" s="36">
        <v>44918</v>
      </c>
      <c r="G200" s="39" t="s">
        <v>1375</v>
      </c>
      <c r="H200" s="40" t="s">
        <v>224</v>
      </c>
      <c r="I200" s="40" t="s">
        <v>1376</v>
      </c>
      <c r="J200" s="41">
        <v>308638387.19999999</v>
      </c>
      <c r="K200" s="41">
        <v>308638387.19999999</v>
      </c>
      <c r="L200" s="30">
        <f t="shared" si="51"/>
        <v>308638387.19999999</v>
      </c>
      <c r="M200" s="30">
        <f t="shared" si="51"/>
        <v>308638387.19999999</v>
      </c>
      <c r="N200" s="40" t="s">
        <v>1271</v>
      </c>
      <c r="O200" s="40" t="s">
        <v>1364</v>
      </c>
      <c r="P200" s="40" t="s">
        <v>199</v>
      </c>
      <c r="Q200" s="44">
        <v>0</v>
      </c>
      <c r="R200" s="37">
        <v>100</v>
      </c>
      <c r="S200" s="37" t="s">
        <v>219</v>
      </c>
      <c r="T200" s="67">
        <v>9.6</v>
      </c>
      <c r="U200" s="30">
        <f>M200/W200</f>
        <v>618265.99999999988</v>
      </c>
      <c r="V200" s="41">
        <f t="shared" si="47"/>
        <v>5935353.5999999987</v>
      </c>
      <c r="W200" s="41">
        <f t="shared" si="49"/>
        <v>499.20000000000005</v>
      </c>
      <c r="X200" s="41">
        <v>288</v>
      </c>
      <c r="Y200" s="41"/>
      <c r="Z200" s="41"/>
      <c r="AA200" s="41"/>
      <c r="AB200" s="41"/>
      <c r="AC200" s="41">
        <v>76.8</v>
      </c>
      <c r="AD200" s="41"/>
      <c r="AE200" s="41"/>
      <c r="AF200" s="41"/>
      <c r="AG200" s="41"/>
      <c r="AH200" s="41">
        <v>134.4</v>
      </c>
      <c r="AI200" s="41"/>
      <c r="AJ200" s="41"/>
      <c r="AK200" s="41"/>
      <c r="AL200" s="41"/>
      <c r="AM200" s="41"/>
      <c r="AN200" s="41">
        <f t="shared" si="48"/>
        <v>52.000000000000007</v>
      </c>
      <c r="AO200" s="41">
        <f t="shared" si="52"/>
        <v>52</v>
      </c>
      <c r="AP200" s="40" t="s">
        <v>1377</v>
      </c>
      <c r="AQ200" s="36">
        <v>44972</v>
      </c>
      <c r="AR200" s="36">
        <v>45031</v>
      </c>
      <c r="AS200" s="36">
        <v>45261</v>
      </c>
      <c r="AT200" s="36">
        <v>44986</v>
      </c>
      <c r="AU200" s="36">
        <v>45046</v>
      </c>
      <c r="AV200" s="38">
        <v>45275</v>
      </c>
      <c r="AW200" s="40" t="s">
        <v>68</v>
      </c>
    </row>
    <row r="201" spans="1:49" ht="66.75" customHeight="1" x14ac:dyDescent="0.3">
      <c r="A201" s="39" t="s">
        <v>1378</v>
      </c>
      <c r="B201" s="36">
        <v>44890</v>
      </c>
      <c r="C201" s="37">
        <v>545</v>
      </c>
      <c r="D201" s="39" t="s">
        <v>1379</v>
      </c>
      <c r="E201" s="1" t="s">
        <v>1380</v>
      </c>
      <c r="F201" s="36">
        <v>44911</v>
      </c>
      <c r="G201" s="39" t="s">
        <v>1381</v>
      </c>
      <c r="H201" s="40" t="s">
        <v>224</v>
      </c>
      <c r="I201" s="40" t="s">
        <v>1363</v>
      </c>
      <c r="J201" s="41">
        <v>231478790.40000001</v>
      </c>
      <c r="K201" s="41">
        <v>231478790.40000001</v>
      </c>
      <c r="L201" s="30">
        <f t="shared" si="51"/>
        <v>231478790.40000001</v>
      </c>
      <c r="M201" s="30">
        <f t="shared" si="51"/>
        <v>231478790.40000001</v>
      </c>
      <c r="N201" s="40" t="s">
        <v>1271</v>
      </c>
      <c r="O201" s="40" t="s">
        <v>1364</v>
      </c>
      <c r="P201" s="40" t="s">
        <v>199</v>
      </c>
      <c r="Q201" s="44">
        <v>0</v>
      </c>
      <c r="R201" s="37">
        <v>100</v>
      </c>
      <c r="S201" s="37" t="s">
        <v>219</v>
      </c>
      <c r="T201" s="67">
        <v>9.6</v>
      </c>
      <c r="U201" s="30">
        <f>M201/W201</f>
        <v>618266</v>
      </c>
      <c r="V201" s="41">
        <f t="shared" si="47"/>
        <v>5935353.5999999996</v>
      </c>
      <c r="W201" s="41">
        <f t="shared" si="49"/>
        <v>374.40000000000003</v>
      </c>
      <c r="X201" s="41">
        <v>220.8</v>
      </c>
      <c r="Y201" s="41"/>
      <c r="Z201" s="41"/>
      <c r="AA201" s="41"/>
      <c r="AB201" s="41"/>
      <c r="AC201" s="41">
        <v>57.6</v>
      </c>
      <c r="AD201" s="41"/>
      <c r="AE201" s="41"/>
      <c r="AF201" s="41"/>
      <c r="AG201" s="41"/>
      <c r="AH201" s="41">
        <v>96</v>
      </c>
      <c r="AI201" s="41"/>
      <c r="AJ201" s="41"/>
      <c r="AK201" s="41"/>
      <c r="AL201" s="41"/>
      <c r="AM201" s="41"/>
      <c r="AN201" s="41">
        <f t="shared" si="48"/>
        <v>39.000000000000007</v>
      </c>
      <c r="AO201" s="41">
        <f t="shared" si="52"/>
        <v>39</v>
      </c>
      <c r="AP201" s="40" t="s">
        <v>1382</v>
      </c>
      <c r="AQ201" s="36">
        <v>44972</v>
      </c>
      <c r="AR201" s="36">
        <v>45031</v>
      </c>
      <c r="AS201" s="36">
        <v>45261</v>
      </c>
      <c r="AT201" s="36">
        <v>44986</v>
      </c>
      <c r="AU201" s="36">
        <v>45046</v>
      </c>
      <c r="AV201" s="38">
        <v>45275</v>
      </c>
      <c r="AW201" s="40" t="s">
        <v>68</v>
      </c>
    </row>
    <row r="202" spans="1:49" ht="66.75" customHeight="1" x14ac:dyDescent="0.3">
      <c r="A202" s="39" t="s">
        <v>1383</v>
      </c>
      <c r="B202" s="36">
        <v>44890</v>
      </c>
      <c r="C202" s="37">
        <v>545</v>
      </c>
      <c r="D202" s="39" t="s">
        <v>1384</v>
      </c>
      <c r="E202" s="1" t="s">
        <v>1385</v>
      </c>
      <c r="F202" s="36">
        <v>44911</v>
      </c>
      <c r="G202" s="39" t="s">
        <v>1386</v>
      </c>
      <c r="H202" s="40" t="s">
        <v>224</v>
      </c>
      <c r="I202" s="40" t="s">
        <v>1363</v>
      </c>
      <c r="J202" s="41">
        <v>231478790.40000001</v>
      </c>
      <c r="K202" s="41">
        <v>231478790.40000001</v>
      </c>
      <c r="L202" s="30">
        <v>278961619.19999999</v>
      </c>
      <c r="M202" s="30">
        <f t="shared" si="51"/>
        <v>278961619.19999999</v>
      </c>
      <c r="N202" s="40" t="s">
        <v>1271</v>
      </c>
      <c r="O202" s="40" t="s">
        <v>1364</v>
      </c>
      <c r="P202" s="40" t="s">
        <v>199</v>
      </c>
      <c r="Q202" s="44">
        <v>0</v>
      </c>
      <c r="R202" s="37">
        <v>100</v>
      </c>
      <c r="S202" s="37" t="s">
        <v>219</v>
      </c>
      <c r="T202" s="67">
        <v>9.6</v>
      </c>
      <c r="U202" s="30">
        <f>M202/W202</f>
        <v>618266</v>
      </c>
      <c r="V202" s="41">
        <f t="shared" si="47"/>
        <v>5935353.5999999996</v>
      </c>
      <c r="W202" s="41">
        <f t="shared" si="49"/>
        <v>451.2</v>
      </c>
      <c r="X202" s="41">
        <v>230.4</v>
      </c>
      <c r="Y202" s="41"/>
      <c r="Z202" s="41"/>
      <c r="AA202" s="41"/>
      <c r="AB202" s="41"/>
      <c r="AC202" s="41">
        <v>57.6</v>
      </c>
      <c r="AD202" s="41"/>
      <c r="AE202" s="41"/>
      <c r="AF202" s="41"/>
      <c r="AG202" s="41"/>
      <c r="AH202" s="41">
        <f>86.4+76.8</f>
        <v>163.19999999999999</v>
      </c>
      <c r="AI202" s="41"/>
      <c r="AJ202" s="41"/>
      <c r="AK202" s="41"/>
      <c r="AL202" s="41"/>
      <c r="AM202" s="41"/>
      <c r="AN202" s="41">
        <f t="shared" si="48"/>
        <v>47</v>
      </c>
      <c r="AO202" s="41">
        <f t="shared" si="52"/>
        <v>47</v>
      </c>
      <c r="AP202" s="40" t="s">
        <v>1387</v>
      </c>
      <c r="AQ202" s="36">
        <v>44972</v>
      </c>
      <c r="AR202" s="36">
        <v>45031</v>
      </c>
      <c r="AS202" s="36">
        <v>45261</v>
      </c>
      <c r="AT202" s="36">
        <v>44986</v>
      </c>
      <c r="AU202" s="36">
        <v>45046</v>
      </c>
      <c r="AV202" s="38">
        <v>45275</v>
      </c>
      <c r="AW202" s="40" t="s">
        <v>87</v>
      </c>
    </row>
    <row r="203" spans="1:49" ht="66.75" customHeight="1" x14ac:dyDescent="0.3">
      <c r="A203" s="39" t="s">
        <v>1388</v>
      </c>
      <c r="B203" s="36">
        <v>44893</v>
      </c>
      <c r="C203" s="37">
        <v>545</v>
      </c>
      <c r="D203" s="39" t="s">
        <v>1389</v>
      </c>
      <c r="E203" s="1" t="s">
        <v>1390</v>
      </c>
      <c r="F203" s="36">
        <v>44914</v>
      </c>
      <c r="G203" s="39" t="s">
        <v>1391</v>
      </c>
      <c r="H203" s="40" t="s">
        <v>1392</v>
      </c>
      <c r="I203" s="40" t="s">
        <v>1393</v>
      </c>
      <c r="J203" s="41">
        <v>192933171.19999999</v>
      </c>
      <c r="K203" s="41">
        <v>192933171.19999999</v>
      </c>
      <c r="L203" s="30">
        <v>247195625.59999999</v>
      </c>
      <c r="M203" s="30">
        <f t="shared" ref="M203:M266" si="53">L203</f>
        <v>247195625.59999999</v>
      </c>
      <c r="N203" s="40" t="s">
        <v>1394</v>
      </c>
      <c r="O203" s="40" t="s">
        <v>1395</v>
      </c>
      <c r="P203" s="40" t="s">
        <v>190</v>
      </c>
      <c r="Q203" s="44">
        <v>0</v>
      </c>
      <c r="R203" s="37">
        <v>100</v>
      </c>
      <c r="S203" s="37" t="s">
        <v>584</v>
      </c>
      <c r="T203" s="67">
        <v>140</v>
      </c>
      <c r="U203" s="30">
        <f>M203/W203</f>
        <v>10766.36</v>
      </c>
      <c r="V203" s="41">
        <f t="shared" si="47"/>
        <v>1507290.4000000001</v>
      </c>
      <c r="W203" s="41">
        <f t="shared" si="49"/>
        <v>22960</v>
      </c>
      <c r="X203" s="41">
        <v>15400</v>
      </c>
      <c r="Y203" s="41"/>
      <c r="Z203" s="41"/>
      <c r="AA203" s="41"/>
      <c r="AB203" s="41"/>
      <c r="AC203" s="41">
        <f>2520+4760+280</f>
        <v>7560</v>
      </c>
      <c r="AD203" s="41"/>
      <c r="AE203" s="41"/>
      <c r="AF203" s="41"/>
      <c r="AG203" s="41"/>
      <c r="AH203" s="41"/>
      <c r="AI203" s="41"/>
      <c r="AJ203" s="41"/>
      <c r="AK203" s="41"/>
      <c r="AL203" s="41"/>
      <c r="AM203" s="41"/>
      <c r="AN203" s="41">
        <f t="shared" si="48"/>
        <v>164</v>
      </c>
      <c r="AO203" s="41">
        <f t="shared" si="52"/>
        <v>164</v>
      </c>
      <c r="AP203" s="40" t="s">
        <v>1278</v>
      </c>
      <c r="AQ203" s="36">
        <v>44941</v>
      </c>
      <c r="AR203" s="36">
        <v>45107</v>
      </c>
      <c r="AS203" s="36"/>
      <c r="AT203" s="36">
        <v>44956</v>
      </c>
      <c r="AU203" s="36">
        <v>45122</v>
      </c>
      <c r="AV203" s="38"/>
      <c r="AW203" s="40" t="s">
        <v>87</v>
      </c>
    </row>
    <row r="204" spans="1:49" ht="66.75" customHeight="1" x14ac:dyDescent="0.3">
      <c r="A204" s="39" t="s">
        <v>1396</v>
      </c>
      <c r="B204" s="36">
        <v>44893</v>
      </c>
      <c r="C204" s="37">
        <v>545</v>
      </c>
      <c r="D204" s="39" t="s">
        <v>1397</v>
      </c>
      <c r="E204" s="1" t="s">
        <v>1398</v>
      </c>
      <c r="F204" s="36">
        <v>44921</v>
      </c>
      <c r="G204" s="39" t="s">
        <v>1399</v>
      </c>
      <c r="H204" s="40" t="s">
        <v>1392</v>
      </c>
      <c r="I204" s="40" t="s">
        <v>1393</v>
      </c>
      <c r="J204" s="41">
        <v>313516403.19999999</v>
      </c>
      <c r="K204" s="41">
        <v>313516403.19999999</v>
      </c>
      <c r="L204" s="30">
        <f>K204</f>
        <v>313516403.19999999</v>
      </c>
      <c r="M204" s="30">
        <f t="shared" si="53"/>
        <v>313516403.19999999</v>
      </c>
      <c r="N204" s="40" t="s">
        <v>1394</v>
      </c>
      <c r="O204" s="40" t="s">
        <v>1395</v>
      </c>
      <c r="P204" s="40" t="s">
        <v>190</v>
      </c>
      <c r="Q204" s="44">
        <v>0</v>
      </c>
      <c r="R204" s="37">
        <v>100</v>
      </c>
      <c r="S204" s="37" t="s">
        <v>584</v>
      </c>
      <c r="T204" s="67">
        <v>140</v>
      </c>
      <c r="U204" s="30">
        <f>M204/W204</f>
        <v>10766.359999999999</v>
      </c>
      <c r="V204" s="41">
        <f t="shared" si="47"/>
        <v>1507290.4</v>
      </c>
      <c r="W204" s="41">
        <f t="shared" si="49"/>
        <v>29120</v>
      </c>
      <c r="X204" s="41">
        <v>24500</v>
      </c>
      <c r="Y204" s="41"/>
      <c r="Z204" s="41"/>
      <c r="AA204" s="41"/>
      <c r="AB204" s="41"/>
      <c r="AC204" s="41">
        <v>4620</v>
      </c>
      <c r="AD204" s="41"/>
      <c r="AE204" s="41"/>
      <c r="AF204" s="41"/>
      <c r="AG204" s="41"/>
      <c r="AH204" s="41"/>
      <c r="AI204" s="41"/>
      <c r="AJ204" s="41"/>
      <c r="AK204" s="41"/>
      <c r="AL204" s="41"/>
      <c r="AM204" s="41"/>
      <c r="AN204" s="41">
        <f t="shared" si="48"/>
        <v>208</v>
      </c>
      <c r="AO204" s="41">
        <f t="shared" si="52"/>
        <v>208</v>
      </c>
      <c r="AP204" s="40" t="s">
        <v>1265</v>
      </c>
      <c r="AQ204" s="36">
        <v>44941</v>
      </c>
      <c r="AR204" s="36">
        <v>45107</v>
      </c>
      <c r="AS204" s="36"/>
      <c r="AT204" s="36">
        <v>44956</v>
      </c>
      <c r="AU204" s="36">
        <v>45122</v>
      </c>
      <c r="AV204" s="38"/>
      <c r="AW204" s="40" t="s">
        <v>87</v>
      </c>
    </row>
    <row r="205" spans="1:49" ht="93.6" customHeight="1" x14ac:dyDescent="0.3">
      <c r="A205" s="39" t="s">
        <v>1400</v>
      </c>
      <c r="B205" s="36">
        <v>44897</v>
      </c>
      <c r="C205" s="37">
        <v>545</v>
      </c>
      <c r="D205" s="39" t="s">
        <v>1401</v>
      </c>
      <c r="E205" s="1" t="s">
        <v>1402</v>
      </c>
      <c r="F205" s="36">
        <v>44914</v>
      </c>
      <c r="G205" s="37" t="s">
        <v>1403</v>
      </c>
      <c r="H205" s="40" t="s">
        <v>1392</v>
      </c>
      <c r="I205" s="40" t="s">
        <v>1393</v>
      </c>
      <c r="J205" s="41">
        <v>211020656</v>
      </c>
      <c r="K205" s="41">
        <v>211020656</v>
      </c>
      <c r="L205" s="30">
        <v>221571688.80000001</v>
      </c>
      <c r="M205" s="30">
        <f t="shared" si="53"/>
        <v>221571688.80000001</v>
      </c>
      <c r="N205" s="40" t="s">
        <v>1394</v>
      </c>
      <c r="O205" s="40" t="s">
        <v>1395</v>
      </c>
      <c r="P205" s="40" t="s">
        <v>190</v>
      </c>
      <c r="Q205" s="44">
        <v>0</v>
      </c>
      <c r="R205" s="37">
        <v>100</v>
      </c>
      <c r="S205" s="37" t="s">
        <v>584</v>
      </c>
      <c r="T205" s="48">
        <v>140</v>
      </c>
      <c r="U205" s="30">
        <f>M205/W205</f>
        <v>10766.36</v>
      </c>
      <c r="V205" s="41">
        <f t="shared" si="47"/>
        <v>1507290.4000000001</v>
      </c>
      <c r="W205" s="41">
        <f t="shared" si="49"/>
        <v>20580</v>
      </c>
      <c r="X205" s="41">
        <v>5740</v>
      </c>
      <c r="Y205" s="41"/>
      <c r="Z205" s="41"/>
      <c r="AA205" s="41"/>
      <c r="AB205" s="41"/>
      <c r="AC205" s="41">
        <f>14000+840</f>
        <v>14840</v>
      </c>
      <c r="AD205" s="41"/>
      <c r="AE205" s="41"/>
      <c r="AF205" s="41"/>
      <c r="AG205" s="41"/>
      <c r="AH205" s="41"/>
      <c r="AI205" s="41"/>
      <c r="AJ205" s="41"/>
      <c r="AK205" s="41"/>
      <c r="AL205" s="41"/>
      <c r="AM205" s="41"/>
      <c r="AN205" s="41">
        <f t="shared" si="48"/>
        <v>147</v>
      </c>
      <c r="AO205" s="41">
        <f t="shared" si="52"/>
        <v>147</v>
      </c>
      <c r="AP205" s="40" t="s">
        <v>1404</v>
      </c>
      <c r="AQ205" s="36">
        <v>44941</v>
      </c>
      <c r="AR205" s="36">
        <v>45107</v>
      </c>
      <c r="AS205" s="36"/>
      <c r="AT205" s="36">
        <v>44956</v>
      </c>
      <c r="AU205" s="36">
        <v>45122</v>
      </c>
      <c r="AV205" s="38"/>
      <c r="AW205" s="40" t="s">
        <v>87</v>
      </c>
    </row>
    <row r="206" spans="1:49" ht="61.2" customHeight="1" x14ac:dyDescent="0.3">
      <c r="A206" s="39" t="s">
        <v>1405</v>
      </c>
      <c r="B206" s="36">
        <v>44893</v>
      </c>
      <c r="C206" s="37">
        <v>545</v>
      </c>
      <c r="D206" s="39" t="s">
        <v>1406</v>
      </c>
      <c r="E206" s="1" t="s">
        <v>1407</v>
      </c>
      <c r="F206" s="36">
        <v>44914</v>
      </c>
      <c r="G206" s="37" t="s">
        <v>1408</v>
      </c>
      <c r="H206" s="40" t="s">
        <v>1392</v>
      </c>
      <c r="I206" s="40" t="s">
        <v>1393</v>
      </c>
      <c r="J206" s="41">
        <v>262268529.59999999</v>
      </c>
      <c r="K206" s="41">
        <v>262268529.59999999</v>
      </c>
      <c r="L206" s="30">
        <v>321052855.19999999</v>
      </c>
      <c r="M206" s="30">
        <f>L206</f>
        <v>321052855.19999999</v>
      </c>
      <c r="N206" s="40" t="s">
        <v>1394</v>
      </c>
      <c r="O206" s="40" t="s">
        <v>1395</v>
      </c>
      <c r="P206" s="40" t="s">
        <v>190</v>
      </c>
      <c r="Q206" s="44">
        <v>0</v>
      </c>
      <c r="R206" s="37">
        <v>100</v>
      </c>
      <c r="S206" s="37" t="s">
        <v>584</v>
      </c>
      <c r="T206" s="48">
        <v>140</v>
      </c>
      <c r="U206" s="30">
        <f>M206/W206</f>
        <v>10766.359999999999</v>
      </c>
      <c r="V206" s="41">
        <f>U206*T206</f>
        <v>1507290.4</v>
      </c>
      <c r="W206" s="41">
        <f>X206+AC206+AH206</f>
        <v>29820</v>
      </c>
      <c r="X206" s="41">
        <v>20440</v>
      </c>
      <c r="Y206" s="41"/>
      <c r="Z206" s="41"/>
      <c r="AA206" s="41"/>
      <c r="AB206" s="41"/>
      <c r="AC206" s="41">
        <f>3920+1820+1120+1540+980</f>
        <v>9380</v>
      </c>
      <c r="AD206" s="41"/>
      <c r="AE206" s="41"/>
      <c r="AF206" s="41"/>
      <c r="AG206" s="41"/>
      <c r="AH206" s="41"/>
      <c r="AI206" s="41"/>
      <c r="AJ206" s="41"/>
      <c r="AK206" s="41"/>
      <c r="AL206" s="41"/>
      <c r="AM206" s="41"/>
      <c r="AN206" s="41">
        <f t="shared" si="48"/>
        <v>213</v>
      </c>
      <c r="AO206" s="41">
        <f t="shared" si="52"/>
        <v>213</v>
      </c>
      <c r="AP206" s="40" t="s">
        <v>1409</v>
      </c>
      <c r="AQ206" s="36">
        <v>44941</v>
      </c>
      <c r="AR206" s="36">
        <v>45107</v>
      </c>
      <c r="AS206" s="36"/>
      <c r="AT206" s="36">
        <v>44956</v>
      </c>
      <c r="AU206" s="36">
        <v>45122</v>
      </c>
      <c r="AV206" s="38"/>
      <c r="AW206" s="40" t="s">
        <v>87</v>
      </c>
    </row>
    <row r="207" spans="1:49" ht="78" x14ac:dyDescent="0.3">
      <c r="A207" s="39" t="s">
        <v>1410</v>
      </c>
      <c r="B207" s="36">
        <v>44893</v>
      </c>
      <c r="C207" s="37">
        <v>545</v>
      </c>
      <c r="D207" s="39" t="s">
        <v>1411</v>
      </c>
      <c r="E207" s="1" t="s">
        <v>1412</v>
      </c>
      <c r="F207" s="36">
        <v>44914</v>
      </c>
      <c r="G207" s="37" t="s">
        <v>1413</v>
      </c>
      <c r="H207" s="40" t="s">
        <v>1392</v>
      </c>
      <c r="I207" s="40" t="s">
        <v>1393</v>
      </c>
      <c r="J207" s="41">
        <v>275834143.19999999</v>
      </c>
      <c r="K207" s="41">
        <v>275834143.19999999</v>
      </c>
      <c r="L207" s="30">
        <v>348184082.39999998</v>
      </c>
      <c r="M207" s="30">
        <f t="shared" si="53"/>
        <v>348184082.39999998</v>
      </c>
      <c r="N207" s="40" t="s">
        <v>1394</v>
      </c>
      <c r="O207" s="40" t="s">
        <v>1395</v>
      </c>
      <c r="P207" s="40" t="s">
        <v>190</v>
      </c>
      <c r="Q207" s="44">
        <v>0</v>
      </c>
      <c r="R207" s="37">
        <v>100</v>
      </c>
      <c r="S207" s="37" t="s">
        <v>584</v>
      </c>
      <c r="T207" s="48">
        <v>140</v>
      </c>
      <c r="U207" s="30">
        <f>M207/W207</f>
        <v>10766.359999999999</v>
      </c>
      <c r="V207" s="41">
        <f t="shared" si="47"/>
        <v>1507290.4</v>
      </c>
      <c r="W207" s="41">
        <f t="shared" si="49"/>
        <v>32340</v>
      </c>
      <c r="X207" s="41">
        <v>21140</v>
      </c>
      <c r="Y207" s="41"/>
      <c r="Z207" s="41"/>
      <c r="AA207" s="41"/>
      <c r="AB207" s="41"/>
      <c r="AC207" s="41">
        <f>10780+420</f>
        <v>11200</v>
      </c>
      <c r="AD207" s="41"/>
      <c r="AE207" s="41"/>
      <c r="AF207" s="41"/>
      <c r="AG207" s="41"/>
      <c r="AH207" s="41"/>
      <c r="AI207" s="41"/>
      <c r="AJ207" s="41"/>
      <c r="AK207" s="41"/>
      <c r="AL207" s="41"/>
      <c r="AM207" s="41"/>
      <c r="AN207" s="41">
        <f t="shared" si="48"/>
        <v>231</v>
      </c>
      <c r="AO207" s="41">
        <f t="shared" si="52"/>
        <v>231</v>
      </c>
      <c r="AP207" s="40" t="s">
        <v>1414</v>
      </c>
      <c r="AQ207" s="36">
        <v>44941</v>
      </c>
      <c r="AR207" s="36">
        <v>45107</v>
      </c>
      <c r="AS207" s="36"/>
      <c r="AT207" s="36">
        <v>44956</v>
      </c>
      <c r="AU207" s="36">
        <v>45122</v>
      </c>
      <c r="AV207" s="38"/>
      <c r="AW207" s="40" t="s">
        <v>87</v>
      </c>
    </row>
    <row r="208" spans="1:49" ht="72" x14ac:dyDescent="0.3">
      <c r="A208" s="39" t="s">
        <v>1415</v>
      </c>
      <c r="B208" s="36">
        <v>44893</v>
      </c>
      <c r="C208" s="37">
        <v>545</v>
      </c>
      <c r="D208" s="39" t="s">
        <v>1416</v>
      </c>
      <c r="E208" s="1" t="s">
        <v>1417</v>
      </c>
      <c r="F208" s="36">
        <v>44914</v>
      </c>
      <c r="G208" s="39" t="s">
        <v>1418</v>
      </c>
      <c r="H208" s="40" t="s">
        <v>1419</v>
      </c>
      <c r="I208" s="40" t="s">
        <v>1420</v>
      </c>
      <c r="J208" s="41">
        <v>7395225.2000000002</v>
      </c>
      <c r="K208" s="41">
        <v>7358102.4000000004</v>
      </c>
      <c r="L208" s="30">
        <f>K208</f>
        <v>7358102.4000000004</v>
      </c>
      <c r="M208" s="30">
        <f t="shared" si="53"/>
        <v>7358102.4000000004</v>
      </c>
      <c r="N208" s="40" t="s">
        <v>1421</v>
      </c>
      <c r="O208" s="40" t="s">
        <v>1422</v>
      </c>
      <c r="P208" s="40" t="s">
        <v>218</v>
      </c>
      <c r="Q208" s="44">
        <v>0</v>
      </c>
      <c r="R208" s="37">
        <v>100</v>
      </c>
      <c r="S208" s="37" t="s">
        <v>200</v>
      </c>
      <c r="T208" s="48">
        <v>60</v>
      </c>
      <c r="U208" s="30">
        <f>M208/W208</f>
        <v>3117.84</v>
      </c>
      <c r="V208" s="41">
        <f t="shared" si="47"/>
        <v>187070.40000000002</v>
      </c>
      <c r="W208" s="41">
        <f t="shared" si="49"/>
        <v>2360</v>
      </c>
      <c r="X208" s="41">
        <v>2360</v>
      </c>
      <c r="Y208" s="41"/>
      <c r="Z208" s="41"/>
      <c r="AA208" s="41"/>
      <c r="AB208" s="41"/>
      <c r="AC208" s="41"/>
      <c r="AD208" s="41"/>
      <c r="AE208" s="41"/>
      <c r="AF208" s="41"/>
      <c r="AG208" s="41"/>
      <c r="AH208" s="41"/>
      <c r="AI208" s="41"/>
      <c r="AJ208" s="41"/>
      <c r="AK208" s="41"/>
      <c r="AL208" s="41"/>
      <c r="AM208" s="41"/>
      <c r="AN208" s="41">
        <f t="shared" si="48"/>
        <v>39.333333333333336</v>
      </c>
      <c r="AO208" s="41">
        <f t="shared" si="52"/>
        <v>40</v>
      </c>
      <c r="AP208" s="40" t="s">
        <v>1353</v>
      </c>
      <c r="AQ208" s="36">
        <v>44946</v>
      </c>
      <c r="AR208" s="36"/>
      <c r="AS208" s="36"/>
      <c r="AT208" s="36">
        <v>44962</v>
      </c>
      <c r="AU208" s="36"/>
      <c r="AV208" s="38"/>
      <c r="AW208" s="40" t="s">
        <v>87</v>
      </c>
    </row>
    <row r="209" spans="1:49" s="34" customFormat="1" ht="72" x14ac:dyDescent="0.3">
      <c r="A209" s="39" t="s">
        <v>1423</v>
      </c>
      <c r="B209" s="36">
        <v>44893</v>
      </c>
      <c r="C209" s="37">
        <v>545</v>
      </c>
      <c r="D209" s="39" t="s">
        <v>1424</v>
      </c>
      <c r="E209" s="1" t="s">
        <v>1425</v>
      </c>
      <c r="F209" s="36">
        <v>44914</v>
      </c>
      <c r="G209" s="37" t="s">
        <v>1426</v>
      </c>
      <c r="H209" s="40" t="s">
        <v>1419</v>
      </c>
      <c r="I209" s="40" t="s">
        <v>1427</v>
      </c>
      <c r="J209" s="41">
        <v>5600565.5999999996</v>
      </c>
      <c r="K209" s="41">
        <v>5572459.2000000002</v>
      </c>
      <c r="L209" s="30">
        <f>K209</f>
        <v>5572459.2000000002</v>
      </c>
      <c r="M209" s="30">
        <f t="shared" si="53"/>
        <v>5572459.2000000002</v>
      </c>
      <c r="N209" s="40" t="s">
        <v>1421</v>
      </c>
      <c r="O209" s="40" t="s">
        <v>1428</v>
      </c>
      <c r="P209" s="40" t="s">
        <v>218</v>
      </c>
      <c r="Q209" s="44">
        <v>0</v>
      </c>
      <c r="R209" s="37">
        <v>100</v>
      </c>
      <c r="S209" s="37" t="s">
        <v>200</v>
      </c>
      <c r="T209" s="48">
        <v>60</v>
      </c>
      <c r="U209" s="30">
        <f>M209/W209</f>
        <v>3316.94</v>
      </c>
      <c r="V209" s="41">
        <f t="shared" si="47"/>
        <v>199016.4</v>
      </c>
      <c r="W209" s="41">
        <f t="shared" si="49"/>
        <v>1680</v>
      </c>
      <c r="X209" s="41">
        <v>1680</v>
      </c>
      <c r="Y209" s="41"/>
      <c r="Z209" s="41"/>
      <c r="AA209" s="41"/>
      <c r="AB209" s="41"/>
      <c r="AC209" s="41"/>
      <c r="AD209" s="41"/>
      <c r="AE209" s="41"/>
      <c r="AF209" s="41"/>
      <c r="AG209" s="41"/>
      <c r="AH209" s="41"/>
      <c r="AI209" s="41"/>
      <c r="AJ209" s="41"/>
      <c r="AK209" s="41"/>
      <c r="AL209" s="41"/>
      <c r="AM209" s="41"/>
      <c r="AN209" s="41">
        <f t="shared" si="48"/>
        <v>28</v>
      </c>
      <c r="AO209" s="41">
        <f t="shared" si="52"/>
        <v>28</v>
      </c>
      <c r="AP209" s="40" t="s">
        <v>1353</v>
      </c>
      <c r="AQ209" s="36">
        <v>44946</v>
      </c>
      <c r="AR209" s="36"/>
      <c r="AS209" s="36"/>
      <c r="AT209" s="36">
        <v>44962</v>
      </c>
      <c r="AU209" s="36"/>
      <c r="AV209" s="38"/>
      <c r="AW209" s="40" t="s">
        <v>87</v>
      </c>
    </row>
    <row r="210" spans="1:49" s="34" customFormat="1" ht="83.25" customHeight="1" x14ac:dyDescent="0.3">
      <c r="A210" s="39" t="s">
        <v>1429</v>
      </c>
      <c r="B210" s="36">
        <v>44894</v>
      </c>
      <c r="C210" s="37">
        <v>545</v>
      </c>
      <c r="D210" s="39" t="s">
        <v>1430</v>
      </c>
      <c r="E210" s="1" t="s">
        <v>1431</v>
      </c>
      <c r="F210" s="36">
        <v>44915</v>
      </c>
      <c r="G210" s="39" t="s">
        <v>1432</v>
      </c>
      <c r="H210" s="40" t="s">
        <v>802</v>
      </c>
      <c r="I210" s="40" t="s">
        <v>1433</v>
      </c>
      <c r="J210" s="41">
        <v>291968107.19999999</v>
      </c>
      <c r="K210" s="41">
        <v>291968107.19999999</v>
      </c>
      <c r="L210" s="30">
        <f>K210</f>
        <v>291968107.19999999</v>
      </c>
      <c r="M210" s="30">
        <f t="shared" si="53"/>
        <v>291968107.19999999</v>
      </c>
      <c r="N210" s="40" t="s">
        <v>1434</v>
      </c>
      <c r="O210" s="40" t="s">
        <v>1435</v>
      </c>
      <c r="P210" s="40" t="s">
        <v>1436</v>
      </c>
      <c r="Q210" s="44">
        <v>0</v>
      </c>
      <c r="R210" s="37">
        <v>100</v>
      </c>
      <c r="S210" s="37" t="s">
        <v>200</v>
      </c>
      <c r="T210" s="48">
        <v>112</v>
      </c>
      <c r="U210" s="30">
        <f>M210/W210</f>
        <v>7899.57</v>
      </c>
      <c r="V210" s="41">
        <f t="shared" si="47"/>
        <v>884751.84</v>
      </c>
      <c r="W210" s="41">
        <f t="shared" si="49"/>
        <v>36960</v>
      </c>
      <c r="X210" s="41">
        <v>36960</v>
      </c>
      <c r="Y210" s="41"/>
      <c r="Z210" s="41"/>
      <c r="AA210" s="41"/>
      <c r="AB210" s="41"/>
      <c r="AC210" s="41"/>
      <c r="AD210" s="41"/>
      <c r="AE210" s="41"/>
      <c r="AF210" s="41"/>
      <c r="AG210" s="41"/>
      <c r="AH210" s="41"/>
      <c r="AI210" s="41"/>
      <c r="AJ210" s="41"/>
      <c r="AK210" s="41"/>
      <c r="AL210" s="41"/>
      <c r="AM210" s="41"/>
      <c r="AN210" s="41">
        <f t="shared" si="48"/>
        <v>330</v>
      </c>
      <c r="AO210" s="41">
        <f t="shared" si="52"/>
        <v>330</v>
      </c>
      <c r="AP210" s="40" t="s">
        <v>1437</v>
      </c>
      <c r="AQ210" s="36">
        <v>45017</v>
      </c>
      <c r="AR210" s="36"/>
      <c r="AS210" s="36"/>
      <c r="AT210" s="36">
        <v>44666</v>
      </c>
      <c r="AU210" s="36"/>
      <c r="AV210" s="38"/>
      <c r="AW210" s="40" t="s">
        <v>87</v>
      </c>
    </row>
    <row r="211" spans="1:49" s="34" customFormat="1" ht="85.5" customHeight="1" x14ac:dyDescent="0.3">
      <c r="A211" s="39" t="s">
        <v>1438</v>
      </c>
      <c r="B211" s="36">
        <v>44894</v>
      </c>
      <c r="C211" s="37">
        <v>545</v>
      </c>
      <c r="D211" s="39" t="s">
        <v>1439</v>
      </c>
      <c r="E211" s="1" t="s">
        <v>1440</v>
      </c>
      <c r="F211" s="36">
        <v>44915</v>
      </c>
      <c r="G211" s="37" t="s">
        <v>1441</v>
      </c>
      <c r="H211" s="40" t="s">
        <v>802</v>
      </c>
      <c r="I211" s="40" t="s">
        <v>1433</v>
      </c>
      <c r="J211" s="41">
        <v>288429099.83999997</v>
      </c>
      <c r="K211" s="41">
        <v>288429099.83999997</v>
      </c>
      <c r="L211" s="30">
        <v>306124136.63999999</v>
      </c>
      <c r="M211" s="30">
        <f t="shared" si="53"/>
        <v>306124136.63999999</v>
      </c>
      <c r="N211" s="40" t="s">
        <v>1434</v>
      </c>
      <c r="O211" s="40" t="s">
        <v>1435</v>
      </c>
      <c r="P211" s="40" t="s">
        <v>1436</v>
      </c>
      <c r="Q211" s="44">
        <v>0</v>
      </c>
      <c r="R211" s="37">
        <v>100</v>
      </c>
      <c r="S211" s="37" t="s">
        <v>200</v>
      </c>
      <c r="T211" s="48">
        <v>112</v>
      </c>
      <c r="U211" s="30">
        <f>M211/W211</f>
        <v>7899.57</v>
      </c>
      <c r="V211" s="41">
        <f t="shared" si="47"/>
        <v>884751.84</v>
      </c>
      <c r="W211" s="41">
        <f t="shared" si="49"/>
        <v>38752</v>
      </c>
      <c r="X211" s="41">
        <v>38752</v>
      </c>
      <c r="Y211" s="41"/>
      <c r="Z211" s="41"/>
      <c r="AA211" s="41"/>
      <c r="AB211" s="41"/>
      <c r="AC211" s="41"/>
      <c r="AD211" s="41"/>
      <c r="AE211" s="41"/>
      <c r="AF211" s="41"/>
      <c r="AG211" s="41"/>
      <c r="AH211" s="41"/>
      <c r="AI211" s="41"/>
      <c r="AJ211" s="41"/>
      <c r="AK211" s="41"/>
      <c r="AL211" s="41"/>
      <c r="AM211" s="41"/>
      <c r="AN211" s="41">
        <f t="shared" si="48"/>
        <v>346</v>
      </c>
      <c r="AO211" s="41">
        <f t="shared" si="52"/>
        <v>346</v>
      </c>
      <c r="AP211" s="40" t="s">
        <v>1414</v>
      </c>
      <c r="AQ211" s="36">
        <v>45017</v>
      </c>
      <c r="AR211" s="36"/>
      <c r="AS211" s="36"/>
      <c r="AT211" s="36">
        <v>45031</v>
      </c>
      <c r="AU211" s="36"/>
      <c r="AV211" s="38"/>
      <c r="AW211" s="40" t="s">
        <v>87</v>
      </c>
    </row>
    <row r="212" spans="1:49" s="34" customFormat="1" ht="63.75" customHeight="1" x14ac:dyDescent="0.3">
      <c r="A212" s="39" t="s">
        <v>1442</v>
      </c>
      <c r="B212" s="36">
        <v>44894</v>
      </c>
      <c r="C212" s="37">
        <v>545</v>
      </c>
      <c r="D212" s="39" t="s">
        <v>1443</v>
      </c>
      <c r="E212" s="1" t="s">
        <v>1444</v>
      </c>
      <c r="F212" s="36">
        <v>44915</v>
      </c>
      <c r="G212" s="37" t="s">
        <v>1445</v>
      </c>
      <c r="H212" s="40" t="s">
        <v>802</v>
      </c>
      <c r="I212" s="40" t="s">
        <v>1433</v>
      </c>
      <c r="J212" s="41">
        <v>278696829.60000002</v>
      </c>
      <c r="K212" s="41">
        <v>278696829.60000002</v>
      </c>
      <c r="L212" s="30">
        <f>K212</f>
        <v>278696829.60000002</v>
      </c>
      <c r="M212" s="30">
        <f t="shared" si="53"/>
        <v>278696829.60000002</v>
      </c>
      <c r="N212" s="40" t="s">
        <v>1434</v>
      </c>
      <c r="O212" s="40" t="s">
        <v>1435</v>
      </c>
      <c r="P212" s="40" t="s">
        <v>1436</v>
      </c>
      <c r="Q212" s="44">
        <v>0</v>
      </c>
      <c r="R212" s="37">
        <v>100</v>
      </c>
      <c r="S212" s="37" t="s">
        <v>200</v>
      </c>
      <c r="T212" s="48">
        <v>112</v>
      </c>
      <c r="U212" s="30">
        <f>M212/W212</f>
        <v>7899.5700000000006</v>
      </c>
      <c r="V212" s="41">
        <f t="shared" si="47"/>
        <v>884751.84000000008</v>
      </c>
      <c r="W212" s="41">
        <f t="shared" si="49"/>
        <v>35280</v>
      </c>
      <c r="X212" s="41">
        <v>35280</v>
      </c>
      <c r="Y212" s="41"/>
      <c r="Z212" s="41"/>
      <c r="AA212" s="41"/>
      <c r="AB212" s="41"/>
      <c r="AC212" s="41"/>
      <c r="AD212" s="41"/>
      <c r="AE212" s="41"/>
      <c r="AF212" s="41"/>
      <c r="AG212" s="41"/>
      <c r="AH212" s="41"/>
      <c r="AI212" s="41"/>
      <c r="AJ212" s="41"/>
      <c r="AK212" s="41"/>
      <c r="AL212" s="41"/>
      <c r="AM212" s="41"/>
      <c r="AN212" s="41">
        <f t="shared" si="48"/>
        <v>315</v>
      </c>
      <c r="AO212" s="41">
        <f t="shared" si="52"/>
        <v>315</v>
      </c>
      <c r="AP212" s="40" t="s">
        <v>1446</v>
      </c>
      <c r="AQ212" s="36">
        <v>45017</v>
      </c>
      <c r="AR212" s="36"/>
      <c r="AS212" s="36"/>
      <c r="AT212" s="36">
        <v>45031</v>
      </c>
      <c r="AU212" s="36"/>
      <c r="AV212" s="38"/>
      <c r="AW212" s="40" t="s">
        <v>87</v>
      </c>
    </row>
    <row r="213" spans="1:49" s="34" customFormat="1" ht="63" customHeight="1" x14ac:dyDescent="0.3">
      <c r="A213" s="39" t="s">
        <v>1447</v>
      </c>
      <c r="B213" s="36">
        <v>44894</v>
      </c>
      <c r="C213" s="37">
        <v>545</v>
      </c>
      <c r="D213" s="39" t="s">
        <v>1448</v>
      </c>
      <c r="E213" s="1" t="s">
        <v>1449</v>
      </c>
      <c r="F213" s="36">
        <v>44915</v>
      </c>
      <c r="G213" s="39" t="s">
        <v>1450</v>
      </c>
      <c r="H213" s="40" t="s">
        <v>802</v>
      </c>
      <c r="I213" s="40" t="s">
        <v>1433</v>
      </c>
      <c r="J213" s="41">
        <v>196414908.47999999</v>
      </c>
      <c r="K213" s="41">
        <v>196414908.47999999</v>
      </c>
      <c r="L213" s="30">
        <f>K213</f>
        <v>196414908.47999999</v>
      </c>
      <c r="M213" s="30">
        <f t="shared" si="53"/>
        <v>196414908.47999999</v>
      </c>
      <c r="N213" s="40" t="s">
        <v>1434</v>
      </c>
      <c r="O213" s="40" t="s">
        <v>1435</v>
      </c>
      <c r="P213" s="40" t="s">
        <v>1436</v>
      </c>
      <c r="Q213" s="44">
        <v>0</v>
      </c>
      <c r="R213" s="37">
        <v>100</v>
      </c>
      <c r="S213" s="37" t="s">
        <v>200</v>
      </c>
      <c r="T213" s="48">
        <v>112</v>
      </c>
      <c r="U213" s="30">
        <f>M213/W213</f>
        <v>7899.57</v>
      </c>
      <c r="V213" s="41">
        <f t="shared" si="47"/>
        <v>884751.84</v>
      </c>
      <c r="W213" s="41">
        <f t="shared" si="49"/>
        <v>24864</v>
      </c>
      <c r="X213" s="41">
        <v>24864</v>
      </c>
      <c r="Y213" s="41"/>
      <c r="Z213" s="41"/>
      <c r="AA213" s="41"/>
      <c r="AB213" s="41"/>
      <c r="AC213" s="41"/>
      <c r="AD213" s="41"/>
      <c r="AE213" s="41"/>
      <c r="AF213" s="41"/>
      <c r="AG213" s="41"/>
      <c r="AH213" s="41"/>
      <c r="AI213" s="41"/>
      <c r="AJ213" s="41"/>
      <c r="AK213" s="41"/>
      <c r="AL213" s="41"/>
      <c r="AM213" s="41"/>
      <c r="AN213" s="41">
        <f t="shared" si="48"/>
        <v>222</v>
      </c>
      <c r="AO213" s="41">
        <f t="shared" si="52"/>
        <v>222</v>
      </c>
      <c r="AP213" s="40" t="s">
        <v>1451</v>
      </c>
      <c r="AQ213" s="36">
        <v>45017</v>
      </c>
      <c r="AR213" s="36"/>
      <c r="AS213" s="36"/>
      <c r="AT213" s="36">
        <v>45031</v>
      </c>
      <c r="AU213" s="36"/>
      <c r="AV213" s="38"/>
      <c r="AW213" s="40" t="s">
        <v>87</v>
      </c>
    </row>
    <row r="214" spans="1:49" s="34" customFormat="1" ht="63" customHeight="1" x14ac:dyDescent="0.3">
      <c r="A214" s="39" t="s">
        <v>1452</v>
      </c>
      <c r="B214" s="36">
        <v>44894</v>
      </c>
      <c r="C214" s="37">
        <v>545</v>
      </c>
      <c r="D214" s="39" t="s">
        <v>1453</v>
      </c>
      <c r="E214" s="1" t="s">
        <v>1454</v>
      </c>
      <c r="F214" s="36">
        <v>44915</v>
      </c>
      <c r="G214" s="37" t="s">
        <v>1455</v>
      </c>
      <c r="H214" s="40" t="s">
        <v>802</v>
      </c>
      <c r="I214" s="40" t="s">
        <v>1456</v>
      </c>
      <c r="J214" s="41">
        <v>289313851.68000001</v>
      </c>
      <c r="K214" s="41">
        <v>289313851.68000001</v>
      </c>
      <c r="L214" s="30">
        <f>K214</f>
        <v>289313851.68000001</v>
      </c>
      <c r="M214" s="30">
        <f t="shared" si="53"/>
        <v>289313851.68000001</v>
      </c>
      <c r="N214" s="40" t="s">
        <v>1434</v>
      </c>
      <c r="O214" s="40" t="s">
        <v>1457</v>
      </c>
      <c r="P214" s="40" t="s">
        <v>1436</v>
      </c>
      <c r="Q214" s="44">
        <v>0</v>
      </c>
      <c r="R214" s="37">
        <v>100</v>
      </c>
      <c r="S214" s="37" t="s">
        <v>200</v>
      </c>
      <c r="T214" s="48">
        <v>112</v>
      </c>
      <c r="U214" s="30">
        <f>M214/W214</f>
        <v>7899.5700000000006</v>
      </c>
      <c r="V214" s="41">
        <f t="shared" si="47"/>
        <v>884751.84000000008</v>
      </c>
      <c r="W214" s="41">
        <f t="shared" si="49"/>
        <v>36624</v>
      </c>
      <c r="X214" s="41">
        <v>20496</v>
      </c>
      <c r="Y214" s="41"/>
      <c r="Z214" s="41"/>
      <c r="AA214" s="41"/>
      <c r="AB214" s="41"/>
      <c r="AC214" s="41">
        <v>16128</v>
      </c>
      <c r="AD214" s="41"/>
      <c r="AE214" s="41"/>
      <c r="AF214" s="41"/>
      <c r="AG214" s="41"/>
      <c r="AH214" s="41"/>
      <c r="AI214" s="41"/>
      <c r="AJ214" s="41"/>
      <c r="AK214" s="41"/>
      <c r="AL214" s="41"/>
      <c r="AM214" s="41"/>
      <c r="AN214" s="41">
        <f t="shared" si="48"/>
        <v>327</v>
      </c>
      <c r="AO214" s="41">
        <f t="shared" si="52"/>
        <v>327</v>
      </c>
      <c r="AP214" s="40" t="s">
        <v>1458</v>
      </c>
      <c r="AQ214" s="36">
        <v>45017</v>
      </c>
      <c r="AR214" s="36">
        <v>45108</v>
      </c>
      <c r="AS214" s="36"/>
      <c r="AT214" s="36">
        <v>45031</v>
      </c>
      <c r="AU214" s="36">
        <v>45122</v>
      </c>
      <c r="AV214" s="38"/>
      <c r="AW214" s="40" t="s">
        <v>87</v>
      </c>
    </row>
    <row r="215" spans="1:49" s="34" customFormat="1" ht="78" customHeight="1" x14ac:dyDescent="0.3">
      <c r="A215" s="39" t="s">
        <v>1459</v>
      </c>
      <c r="B215" s="36">
        <v>44894</v>
      </c>
      <c r="C215" s="37">
        <v>545</v>
      </c>
      <c r="D215" s="39" t="s">
        <v>1460</v>
      </c>
      <c r="E215" s="1" t="s">
        <v>1454</v>
      </c>
      <c r="F215" s="36">
        <v>44915</v>
      </c>
      <c r="G215" s="37" t="s">
        <v>1461</v>
      </c>
      <c r="H215" s="40" t="s">
        <v>802</v>
      </c>
      <c r="I215" s="40" t="s">
        <v>1456</v>
      </c>
      <c r="J215" s="41">
        <v>296391866.39999998</v>
      </c>
      <c r="K215" s="41">
        <v>296391866.39999998</v>
      </c>
      <c r="L215" s="30">
        <v>331781940</v>
      </c>
      <c r="M215" s="30">
        <f t="shared" si="53"/>
        <v>331781940</v>
      </c>
      <c r="N215" s="40" t="s">
        <v>1434</v>
      </c>
      <c r="O215" s="40" t="s">
        <v>1457</v>
      </c>
      <c r="P215" s="40" t="s">
        <v>1436</v>
      </c>
      <c r="Q215" s="44">
        <v>0</v>
      </c>
      <c r="R215" s="37">
        <v>100</v>
      </c>
      <c r="S215" s="37" t="s">
        <v>200</v>
      </c>
      <c r="T215" s="48">
        <v>112</v>
      </c>
      <c r="U215" s="30">
        <f>M215/W215</f>
        <v>7899.57</v>
      </c>
      <c r="V215" s="41">
        <f t="shared" si="47"/>
        <v>884751.84</v>
      </c>
      <c r="W215" s="41">
        <f t="shared" si="49"/>
        <v>42000</v>
      </c>
      <c r="X215" s="41">
        <v>20720</v>
      </c>
      <c r="Y215" s="41"/>
      <c r="Z215" s="41"/>
      <c r="AA215" s="41"/>
      <c r="AB215" s="41"/>
      <c r="AC215" s="41">
        <v>21280</v>
      </c>
      <c r="AD215" s="41"/>
      <c r="AE215" s="41"/>
      <c r="AF215" s="41"/>
      <c r="AG215" s="41"/>
      <c r="AH215" s="41"/>
      <c r="AI215" s="41"/>
      <c r="AJ215" s="41"/>
      <c r="AK215" s="41"/>
      <c r="AL215" s="41"/>
      <c r="AM215" s="41"/>
      <c r="AN215" s="41">
        <f t="shared" si="48"/>
        <v>375</v>
      </c>
      <c r="AO215" s="41">
        <f t="shared" si="52"/>
        <v>375</v>
      </c>
      <c r="AP215" s="40" t="s">
        <v>1462</v>
      </c>
      <c r="AQ215" s="36">
        <v>45017</v>
      </c>
      <c r="AR215" s="36">
        <v>45108</v>
      </c>
      <c r="AS215" s="36"/>
      <c r="AT215" s="36">
        <v>45031</v>
      </c>
      <c r="AU215" s="36">
        <v>45122</v>
      </c>
      <c r="AV215" s="38"/>
      <c r="AW215" s="40" t="s">
        <v>87</v>
      </c>
    </row>
    <row r="216" spans="1:49" s="34" customFormat="1" ht="68.25" customHeight="1" x14ac:dyDescent="0.3">
      <c r="A216" s="39" t="s">
        <v>1463</v>
      </c>
      <c r="B216" s="36">
        <v>44894</v>
      </c>
      <c r="C216" s="37">
        <v>545</v>
      </c>
      <c r="D216" s="39" t="s">
        <v>1464</v>
      </c>
      <c r="E216" s="1" t="s">
        <v>1465</v>
      </c>
      <c r="F216" s="36">
        <v>44915</v>
      </c>
      <c r="G216" s="39" t="s">
        <v>1466</v>
      </c>
      <c r="H216" s="40" t="s">
        <v>802</v>
      </c>
      <c r="I216" s="40" t="s">
        <v>1456</v>
      </c>
      <c r="J216" s="41">
        <v>284890092.48000002</v>
      </c>
      <c r="K216" s="41">
        <v>284890092.48000002</v>
      </c>
      <c r="L216" s="30">
        <v>306124136.63999999</v>
      </c>
      <c r="M216" s="30">
        <f t="shared" si="53"/>
        <v>306124136.63999999</v>
      </c>
      <c r="N216" s="40" t="s">
        <v>1434</v>
      </c>
      <c r="O216" s="40" t="s">
        <v>1457</v>
      </c>
      <c r="P216" s="40" t="s">
        <v>1436</v>
      </c>
      <c r="Q216" s="44">
        <v>0</v>
      </c>
      <c r="R216" s="37">
        <v>100</v>
      </c>
      <c r="S216" s="37" t="s">
        <v>200</v>
      </c>
      <c r="T216" s="48">
        <v>112</v>
      </c>
      <c r="U216" s="30">
        <f>M216/W216</f>
        <v>7899.57</v>
      </c>
      <c r="V216" s="41">
        <f t="shared" si="47"/>
        <v>884751.84</v>
      </c>
      <c r="W216" s="41">
        <f t="shared" si="49"/>
        <v>38752</v>
      </c>
      <c r="X216" s="41">
        <v>20272</v>
      </c>
      <c r="Y216" s="41"/>
      <c r="Z216" s="41"/>
      <c r="AA216" s="41"/>
      <c r="AB216" s="41"/>
      <c r="AC216" s="41">
        <f>17696+784</f>
        <v>18480</v>
      </c>
      <c r="AD216" s="41"/>
      <c r="AE216" s="41"/>
      <c r="AF216" s="41"/>
      <c r="AG216" s="41"/>
      <c r="AH216" s="41"/>
      <c r="AI216" s="41"/>
      <c r="AJ216" s="41"/>
      <c r="AK216" s="41"/>
      <c r="AL216" s="41"/>
      <c r="AM216" s="41"/>
      <c r="AN216" s="41">
        <f t="shared" si="48"/>
        <v>346</v>
      </c>
      <c r="AO216" s="41">
        <f t="shared" si="52"/>
        <v>346</v>
      </c>
      <c r="AP216" s="40" t="s">
        <v>1467</v>
      </c>
      <c r="AQ216" s="36">
        <v>45017</v>
      </c>
      <c r="AR216" s="36">
        <v>45108</v>
      </c>
      <c r="AS216" s="36"/>
      <c r="AT216" s="36">
        <v>45031</v>
      </c>
      <c r="AU216" s="36">
        <v>45122</v>
      </c>
      <c r="AV216" s="38"/>
      <c r="AW216" s="40" t="s">
        <v>87</v>
      </c>
    </row>
    <row r="217" spans="1:49" s="34" customFormat="1" ht="71.25" customHeight="1" x14ac:dyDescent="0.3">
      <c r="A217" s="39" t="s">
        <v>1468</v>
      </c>
      <c r="B217" s="36">
        <v>44894</v>
      </c>
      <c r="C217" s="37">
        <v>545</v>
      </c>
      <c r="D217" s="39" t="s">
        <v>1469</v>
      </c>
      <c r="E217" s="1" t="s">
        <v>1470</v>
      </c>
      <c r="F217" s="36">
        <v>44914</v>
      </c>
      <c r="G217" s="37" t="s">
        <v>1471</v>
      </c>
      <c r="H217" s="40" t="s">
        <v>224</v>
      </c>
      <c r="I217" s="40" t="s">
        <v>1472</v>
      </c>
      <c r="J217" s="41">
        <v>27005858.879999999</v>
      </c>
      <c r="K217" s="41">
        <v>27005858.879999999</v>
      </c>
      <c r="L217" s="30">
        <f>K217</f>
        <v>27005858.879999999</v>
      </c>
      <c r="M217" s="30">
        <f t="shared" si="53"/>
        <v>27005858.879999999</v>
      </c>
      <c r="N217" s="40" t="s">
        <v>1271</v>
      </c>
      <c r="O217" s="40" t="s">
        <v>1473</v>
      </c>
      <c r="P217" s="40" t="s">
        <v>1474</v>
      </c>
      <c r="Q217" s="44">
        <v>0</v>
      </c>
      <c r="R217" s="37">
        <v>100</v>
      </c>
      <c r="S217" s="37" t="s">
        <v>219</v>
      </c>
      <c r="T217" s="67">
        <v>8.4</v>
      </c>
      <c r="U217" s="30">
        <f>M217/W217</f>
        <v>247306.4</v>
      </c>
      <c r="V217" s="41">
        <f t="shared" si="47"/>
        <v>2077373.76</v>
      </c>
      <c r="W217" s="41">
        <f t="shared" si="49"/>
        <v>109.2</v>
      </c>
      <c r="X217" s="41">
        <v>109.2</v>
      </c>
      <c r="Y217" s="41"/>
      <c r="Z217" s="41"/>
      <c r="AA217" s="41"/>
      <c r="AB217" s="41"/>
      <c r="AC217" s="41"/>
      <c r="AD217" s="41"/>
      <c r="AE217" s="41"/>
      <c r="AF217" s="41"/>
      <c r="AG217" s="41"/>
      <c r="AH217" s="41"/>
      <c r="AI217" s="41"/>
      <c r="AJ217" s="41"/>
      <c r="AK217" s="41"/>
      <c r="AL217" s="41"/>
      <c r="AM217" s="41"/>
      <c r="AN217" s="41">
        <f t="shared" si="48"/>
        <v>13</v>
      </c>
      <c r="AO217" s="41">
        <f t="shared" si="52"/>
        <v>13</v>
      </c>
      <c r="AP217" s="40" t="s">
        <v>1353</v>
      </c>
      <c r="AQ217" s="36">
        <v>44972</v>
      </c>
      <c r="AR217" s="36"/>
      <c r="AS217" s="36"/>
      <c r="AT217" s="36">
        <v>44986</v>
      </c>
      <c r="AU217" s="36"/>
      <c r="AV217" s="38"/>
      <c r="AW217" s="40" t="s">
        <v>87</v>
      </c>
    </row>
    <row r="218" spans="1:49" s="34" customFormat="1" ht="86.25" customHeight="1" x14ac:dyDescent="0.3">
      <c r="A218" s="39" t="s">
        <v>1475</v>
      </c>
      <c r="B218" s="36">
        <v>44894</v>
      </c>
      <c r="C218" s="37">
        <v>545</v>
      </c>
      <c r="D218" s="39" t="s">
        <v>1476</v>
      </c>
      <c r="E218" s="1" t="s">
        <v>1477</v>
      </c>
      <c r="F218" s="36">
        <v>44914</v>
      </c>
      <c r="G218" s="39" t="s">
        <v>1478</v>
      </c>
      <c r="H218" s="40" t="s">
        <v>1392</v>
      </c>
      <c r="I218" s="40" t="s">
        <v>1479</v>
      </c>
      <c r="J218" s="41">
        <v>209514360</v>
      </c>
      <c r="K218" s="41">
        <v>209514360</v>
      </c>
      <c r="L218" s="30">
        <f>K218</f>
        <v>209514360</v>
      </c>
      <c r="M218" s="30">
        <f t="shared" si="53"/>
        <v>209514360</v>
      </c>
      <c r="N218" s="40" t="s">
        <v>1480</v>
      </c>
      <c r="O218" s="40" t="s">
        <v>1481</v>
      </c>
      <c r="P218" s="40" t="s">
        <v>1032</v>
      </c>
      <c r="Q218" s="44">
        <v>0</v>
      </c>
      <c r="R218" s="37">
        <v>100</v>
      </c>
      <c r="S218" s="37" t="s">
        <v>219</v>
      </c>
      <c r="T218" s="48">
        <v>2</v>
      </c>
      <c r="U218" s="30">
        <f>M218/W218</f>
        <v>521180</v>
      </c>
      <c r="V218" s="41">
        <f t="shared" si="47"/>
        <v>1042360</v>
      </c>
      <c r="W218" s="41">
        <f t="shared" si="49"/>
        <v>402</v>
      </c>
      <c r="X218" s="41">
        <v>402</v>
      </c>
      <c r="Y218" s="41"/>
      <c r="Z218" s="41"/>
      <c r="AA218" s="41"/>
      <c r="AB218" s="41"/>
      <c r="AC218" s="41"/>
      <c r="AD218" s="41"/>
      <c r="AE218" s="41"/>
      <c r="AF218" s="41"/>
      <c r="AG218" s="41"/>
      <c r="AH218" s="41"/>
      <c r="AI218" s="41"/>
      <c r="AJ218" s="41"/>
      <c r="AK218" s="41"/>
      <c r="AL218" s="41"/>
      <c r="AM218" s="41"/>
      <c r="AN218" s="41">
        <f t="shared" si="48"/>
        <v>201</v>
      </c>
      <c r="AO218" s="41">
        <f t="shared" si="52"/>
        <v>201</v>
      </c>
      <c r="AP218" s="40" t="s">
        <v>1353</v>
      </c>
      <c r="AQ218" s="36">
        <v>44946</v>
      </c>
      <c r="AR218" s="36"/>
      <c r="AS218" s="36"/>
      <c r="AT218" s="36">
        <v>44962</v>
      </c>
      <c r="AU218" s="36"/>
      <c r="AV218" s="38"/>
      <c r="AW218" s="40" t="s">
        <v>87</v>
      </c>
    </row>
    <row r="219" spans="1:49" s="34" customFormat="1" ht="82.5" customHeight="1" x14ac:dyDescent="0.3">
      <c r="A219" s="39" t="s">
        <v>1482</v>
      </c>
      <c r="B219" s="36">
        <v>44895</v>
      </c>
      <c r="C219" s="37">
        <v>545</v>
      </c>
      <c r="D219" s="39" t="s">
        <v>1483</v>
      </c>
      <c r="E219" s="1" t="s">
        <v>1484</v>
      </c>
      <c r="F219" s="36">
        <v>44915</v>
      </c>
      <c r="G219" s="37" t="s">
        <v>1485</v>
      </c>
      <c r="H219" s="40" t="s">
        <v>878</v>
      </c>
      <c r="I219" s="40" t="s">
        <v>1486</v>
      </c>
      <c r="J219" s="41">
        <v>295111316.5</v>
      </c>
      <c r="K219" s="41">
        <v>295111316.5</v>
      </c>
      <c r="L219" s="30">
        <f>K219</f>
        <v>295111316.5</v>
      </c>
      <c r="M219" s="30">
        <f t="shared" si="53"/>
        <v>295111316.5</v>
      </c>
      <c r="N219" s="40" t="s">
        <v>1487</v>
      </c>
      <c r="O219" s="40" t="s">
        <v>1488</v>
      </c>
      <c r="P219" s="40" t="s">
        <v>348</v>
      </c>
      <c r="Q219" s="44">
        <v>0</v>
      </c>
      <c r="R219" s="37">
        <v>100</v>
      </c>
      <c r="S219" s="37" t="s">
        <v>1489</v>
      </c>
      <c r="T219" s="48">
        <v>2</v>
      </c>
      <c r="U219" s="30">
        <f>M219/W219</f>
        <v>333082.75</v>
      </c>
      <c r="V219" s="41">
        <f t="shared" si="47"/>
        <v>666165.5</v>
      </c>
      <c r="W219" s="41">
        <f t="shared" si="49"/>
        <v>886</v>
      </c>
      <c r="X219" s="41">
        <v>326</v>
      </c>
      <c r="Y219" s="41"/>
      <c r="Z219" s="41"/>
      <c r="AA219" s="41"/>
      <c r="AB219" s="41"/>
      <c r="AC219" s="41">
        <v>560</v>
      </c>
      <c r="AD219" s="41"/>
      <c r="AE219" s="41"/>
      <c r="AF219" s="41"/>
      <c r="AG219" s="41"/>
      <c r="AH219" s="41"/>
      <c r="AI219" s="41"/>
      <c r="AJ219" s="41"/>
      <c r="AK219" s="41"/>
      <c r="AL219" s="41"/>
      <c r="AM219" s="41"/>
      <c r="AN219" s="41">
        <f t="shared" si="48"/>
        <v>443</v>
      </c>
      <c r="AO219" s="41">
        <f t="shared" si="52"/>
        <v>443</v>
      </c>
      <c r="AP219" s="40" t="s">
        <v>1490</v>
      </c>
      <c r="AQ219" s="36">
        <v>44986</v>
      </c>
      <c r="AR219" s="36">
        <v>45047</v>
      </c>
      <c r="AS219" s="36"/>
      <c r="AT219" s="36">
        <v>45000</v>
      </c>
      <c r="AU219" s="36">
        <v>45061</v>
      </c>
      <c r="AV219" s="38"/>
      <c r="AW219" s="40" t="s">
        <v>87</v>
      </c>
    </row>
    <row r="220" spans="1:49" s="34" customFormat="1" ht="91.2" customHeight="1" x14ac:dyDescent="0.3">
      <c r="A220" s="39" t="s">
        <v>1491</v>
      </c>
      <c r="B220" s="36">
        <v>44895</v>
      </c>
      <c r="C220" s="37">
        <v>545</v>
      </c>
      <c r="D220" s="39" t="s">
        <v>1492</v>
      </c>
      <c r="E220" s="1" t="s">
        <v>1493</v>
      </c>
      <c r="F220" s="36">
        <v>44918</v>
      </c>
      <c r="G220" s="37" t="s">
        <v>1494</v>
      </c>
      <c r="H220" s="40" t="s">
        <v>802</v>
      </c>
      <c r="I220" s="40" t="s">
        <v>1456</v>
      </c>
      <c r="J220" s="41">
        <v>292852859.04000002</v>
      </c>
      <c r="K220" s="41">
        <v>292852859.04000002</v>
      </c>
      <c r="L220" s="30">
        <v>303469881.12</v>
      </c>
      <c r="M220" s="30">
        <f t="shared" si="53"/>
        <v>303469881.12</v>
      </c>
      <c r="N220" s="40" t="s">
        <v>1434</v>
      </c>
      <c r="O220" s="40" t="s">
        <v>1457</v>
      </c>
      <c r="P220" s="40" t="s">
        <v>1436</v>
      </c>
      <c r="Q220" s="44">
        <v>0</v>
      </c>
      <c r="R220" s="37">
        <v>100</v>
      </c>
      <c r="S220" s="37" t="s">
        <v>200</v>
      </c>
      <c r="T220" s="48">
        <v>112</v>
      </c>
      <c r="U220" s="30">
        <f>M220/W220</f>
        <v>7899.57</v>
      </c>
      <c r="V220" s="41">
        <f t="shared" si="47"/>
        <v>884751.84</v>
      </c>
      <c r="W220" s="41">
        <f t="shared" si="49"/>
        <v>38416</v>
      </c>
      <c r="X220" s="41">
        <v>20720</v>
      </c>
      <c r="Y220" s="41"/>
      <c r="Z220" s="41"/>
      <c r="AA220" s="41"/>
      <c r="AB220" s="41"/>
      <c r="AC220" s="41">
        <v>17696</v>
      </c>
      <c r="AD220" s="41"/>
      <c r="AE220" s="41"/>
      <c r="AF220" s="41"/>
      <c r="AG220" s="41"/>
      <c r="AH220" s="41"/>
      <c r="AI220" s="41"/>
      <c r="AJ220" s="41"/>
      <c r="AK220" s="41"/>
      <c r="AL220" s="41"/>
      <c r="AM220" s="41"/>
      <c r="AN220" s="41">
        <f t="shared" si="48"/>
        <v>343</v>
      </c>
      <c r="AO220" s="41">
        <f t="shared" si="52"/>
        <v>343</v>
      </c>
      <c r="AP220" s="40" t="s">
        <v>1495</v>
      </c>
      <c r="AQ220" s="36">
        <v>45017</v>
      </c>
      <c r="AR220" s="36">
        <v>45108</v>
      </c>
      <c r="AS220" s="36"/>
      <c r="AT220" s="36">
        <v>45031</v>
      </c>
      <c r="AU220" s="36">
        <v>45122</v>
      </c>
      <c r="AV220" s="38"/>
      <c r="AW220" s="40" t="s">
        <v>87</v>
      </c>
    </row>
    <row r="221" spans="1:49" s="34" customFormat="1" ht="90" customHeight="1" x14ac:dyDescent="0.3">
      <c r="A221" s="39" t="s">
        <v>1496</v>
      </c>
      <c r="B221" s="36">
        <v>44895</v>
      </c>
      <c r="C221" s="37">
        <v>545</v>
      </c>
      <c r="D221" s="39" t="s">
        <v>1497</v>
      </c>
      <c r="E221" s="1" t="s">
        <v>1498</v>
      </c>
      <c r="F221" s="36">
        <v>44918</v>
      </c>
      <c r="G221" s="37" t="s">
        <v>1499</v>
      </c>
      <c r="H221" s="40" t="s">
        <v>802</v>
      </c>
      <c r="I221" s="40" t="s">
        <v>1456</v>
      </c>
      <c r="J221" s="41">
        <v>285774844.31999999</v>
      </c>
      <c r="K221" s="41">
        <v>285774844.31999999</v>
      </c>
      <c r="L221" s="30">
        <v>297276618.24000001</v>
      </c>
      <c r="M221" s="30">
        <f t="shared" si="53"/>
        <v>297276618.24000001</v>
      </c>
      <c r="N221" s="40" t="s">
        <v>1434</v>
      </c>
      <c r="O221" s="40" t="s">
        <v>1457</v>
      </c>
      <c r="P221" s="40" t="s">
        <v>1436</v>
      </c>
      <c r="Q221" s="44">
        <v>0</v>
      </c>
      <c r="R221" s="37">
        <v>100</v>
      </c>
      <c r="S221" s="37" t="s">
        <v>200</v>
      </c>
      <c r="T221" s="48">
        <v>112</v>
      </c>
      <c r="U221" s="30">
        <f>M221/W221</f>
        <v>7899.5700000000006</v>
      </c>
      <c r="V221" s="41">
        <f t="shared" si="47"/>
        <v>884751.84000000008</v>
      </c>
      <c r="W221" s="41">
        <f t="shared" si="49"/>
        <v>37632</v>
      </c>
      <c r="X221" s="41">
        <v>20272</v>
      </c>
      <c r="Y221" s="41"/>
      <c r="Z221" s="41"/>
      <c r="AA221" s="41"/>
      <c r="AB221" s="41"/>
      <c r="AC221" s="41">
        <f>16800+560</f>
        <v>17360</v>
      </c>
      <c r="AD221" s="41"/>
      <c r="AE221" s="41"/>
      <c r="AF221" s="41"/>
      <c r="AG221" s="41"/>
      <c r="AH221" s="41"/>
      <c r="AI221" s="41"/>
      <c r="AJ221" s="41"/>
      <c r="AK221" s="41"/>
      <c r="AL221" s="41"/>
      <c r="AM221" s="41"/>
      <c r="AN221" s="41">
        <f t="shared" si="48"/>
        <v>336</v>
      </c>
      <c r="AO221" s="41">
        <f t="shared" si="52"/>
        <v>336</v>
      </c>
      <c r="AP221" s="40" t="s">
        <v>1500</v>
      </c>
      <c r="AQ221" s="36">
        <v>45017</v>
      </c>
      <c r="AR221" s="36">
        <v>45108</v>
      </c>
      <c r="AS221" s="36"/>
      <c r="AT221" s="36">
        <v>45031</v>
      </c>
      <c r="AU221" s="36">
        <v>45122</v>
      </c>
      <c r="AV221" s="38"/>
      <c r="AW221" s="40" t="s">
        <v>87</v>
      </c>
    </row>
    <row r="222" spans="1:49" s="34" customFormat="1" ht="92.4" customHeight="1" x14ac:dyDescent="0.3">
      <c r="A222" s="39" t="s">
        <v>1501</v>
      </c>
      <c r="B222" s="36">
        <v>44895</v>
      </c>
      <c r="C222" s="37">
        <v>545</v>
      </c>
      <c r="D222" s="39" t="s">
        <v>1502</v>
      </c>
      <c r="E222" s="1" t="s">
        <v>1503</v>
      </c>
      <c r="F222" s="36">
        <v>44918</v>
      </c>
      <c r="G222" s="37" t="s">
        <v>1504</v>
      </c>
      <c r="H222" s="40" t="s">
        <v>802</v>
      </c>
      <c r="I222" s="40" t="s">
        <v>1456</v>
      </c>
      <c r="J222" s="41">
        <v>291083355.36000001</v>
      </c>
      <c r="K222" s="41">
        <v>291083355.36000001</v>
      </c>
      <c r="L222" s="30">
        <v>328242932.63999999</v>
      </c>
      <c r="M222" s="30">
        <f t="shared" si="53"/>
        <v>328242932.63999999</v>
      </c>
      <c r="N222" s="40" t="s">
        <v>1434</v>
      </c>
      <c r="O222" s="40" t="s">
        <v>1457</v>
      </c>
      <c r="P222" s="40" t="s">
        <v>1436</v>
      </c>
      <c r="Q222" s="44">
        <v>0</v>
      </c>
      <c r="R222" s="37">
        <v>100</v>
      </c>
      <c r="S222" s="37" t="s">
        <v>200</v>
      </c>
      <c r="T222" s="48">
        <v>112</v>
      </c>
      <c r="U222" s="30">
        <f>M222/W222</f>
        <v>7899.57</v>
      </c>
      <c r="V222" s="41">
        <f t="shared" si="47"/>
        <v>884751.84</v>
      </c>
      <c r="W222" s="41">
        <f t="shared" si="49"/>
        <v>41552</v>
      </c>
      <c r="X222" s="41">
        <v>20720</v>
      </c>
      <c r="Y222" s="41"/>
      <c r="Z222" s="41"/>
      <c r="AA222" s="41"/>
      <c r="AB222" s="41"/>
      <c r="AC222" s="41">
        <v>20832</v>
      </c>
      <c r="AD222" s="41"/>
      <c r="AE222" s="41"/>
      <c r="AF222" s="41"/>
      <c r="AG222" s="41"/>
      <c r="AH222" s="41"/>
      <c r="AI222" s="41"/>
      <c r="AJ222" s="41"/>
      <c r="AK222" s="41"/>
      <c r="AL222" s="41"/>
      <c r="AM222" s="41"/>
      <c r="AN222" s="41">
        <f t="shared" si="48"/>
        <v>371</v>
      </c>
      <c r="AO222" s="41">
        <f t="shared" si="52"/>
        <v>371</v>
      </c>
      <c r="AP222" s="40" t="s">
        <v>1505</v>
      </c>
      <c r="AQ222" s="36">
        <v>45017</v>
      </c>
      <c r="AR222" s="36">
        <v>45108</v>
      </c>
      <c r="AS222" s="36"/>
      <c r="AT222" s="36">
        <v>45031</v>
      </c>
      <c r="AU222" s="36">
        <v>45122</v>
      </c>
      <c r="AV222" s="38"/>
      <c r="AW222" s="40" t="s">
        <v>75</v>
      </c>
    </row>
    <row r="223" spans="1:49" s="34" customFormat="1" ht="93.6" x14ac:dyDescent="0.3">
      <c r="A223" s="39" t="s">
        <v>1506</v>
      </c>
      <c r="B223" s="36">
        <v>44895</v>
      </c>
      <c r="C223" s="37">
        <v>545</v>
      </c>
      <c r="D223" s="39" t="s">
        <v>1507</v>
      </c>
      <c r="E223" s="1" t="s">
        <v>1508</v>
      </c>
      <c r="F223" s="36">
        <v>44915</v>
      </c>
      <c r="G223" s="39" t="s">
        <v>1509</v>
      </c>
      <c r="H223" s="40" t="s">
        <v>878</v>
      </c>
      <c r="I223" s="40" t="s">
        <v>1486</v>
      </c>
      <c r="J223" s="41">
        <v>296443647.5</v>
      </c>
      <c r="K223" s="41">
        <v>296443647.5</v>
      </c>
      <c r="L223" s="30">
        <v>354400046</v>
      </c>
      <c r="M223" s="30">
        <f t="shared" si="53"/>
        <v>354400046</v>
      </c>
      <c r="N223" s="40" t="s">
        <v>1487</v>
      </c>
      <c r="O223" s="40" t="s">
        <v>1488</v>
      </c>
      <c r="P223" s="40" t="s">
        <v>348</v>
      </c>
      <c r="Q223" s="44">
        <v>0</v>
      </c>
      <c r="R223" s="37">
        <v>100</v>
      </c>
      <c r="S223" s="37" t="s">
        <v>1489</v>
      </c>
      <c r="T223" s="48">
        <v>2</v>
      </c>
      <c r="U223" s="30">
        <f>M223/W223</f>
        <v>333082.75</v>
      </c>
      <c r="V223" s="41">
        <f t="shared" si="47"/>
        <v>666165.5</v>
      </c>
      <c r="W223" s="41">
        <f t="shared" si="49"/>
        <v>1064</v>
      </c>
      <c r="X223" s="41">
        <v>332</v>
      </c>
      <c r="Y223" s="41"/>
      <c r="Z223" s="41"/>
      <c r="AA223" s="41"/>
      <c r="AB223" s="41"/>
      <c r="AC223" s="41">
        <f>558+174</f>
        <v>732</v>
      </c>
      <c r="AD223" s="41"/>
      <c r="AE223" s="41"/>
      <c r="AF223" s="41"/>
      <c r="AG223" s="41"/>
      <c r="AH223" s="41"/>
      <c r="AI223" s="41"/>
      <c r="AJ223" s="41"/>
      <c r="AK223" s="41"/>
      <c r="AL223" s="41"/>
      <c r="AM223" s="41"/>
      <c r="AN223" s="41">
        <f t="shared" si="48"/>
        <v>532</v>
      </c>
      <c r="AO223" s="41">
        <f t="shared" si="52"/>
        <v>532</v>
      </c>
      <c r="AP223" s="40" t="s">
        <v>1510</v>
      </c>
      <c r="AQ223" s="36">
        <v>44986</v>
      </c>
      <c r="AR223" s="36">
        <v>45047</v>
      </c>
      <c r="AS223" s="36"/>
      <c r="AT223" s="36">
        <v>45000</v>
      </c>
      <c r="AU223" s="36">
        <v>45061</v>
      </c>
      <c r="AV223" s="38"/>
      <c r="AW223" s="40" t="s">
        <v>87</v>
      </c>
    </row>
    <row r="224" spans="1:49" s="34" customFormat="1" ht="78" x14ac:dyDescent="0.3">
      <c r="A224" s="39" t="s">
        <v>1511</v>
      </c>
      <c r="B224" s="36">
        <v>44895</v>
      </c>
      <c r="C224" s="37">
        <v>545</v>
      </c>
      <c r="D224" s="39" t="s">
        <v>1512</v>
      </c>
      <c r="E224" s="1" t="s">
        <v>1513</v>
      </c>
      <c r="F224" s="36">
        <v>44915</v>
      </c>
      <c r="G224" s="39" t="s">
        <v>1514</v>
      </c>
      <c r="H224" s="40" t="s">
        <v>878</v>
      </c>
      <c r="I224" s="40" t="s">
        <v>1486</v>
      </c>
      <c r="J224" s="41">
        <v>276458682.5</v>
      </c>
      <c r="K224" s="41">
        <v>276458682.5</v>
      </c>
      <c r="L224" s="30">
        <f>K224</f>
        <v>276458682.5</v>
      </c>
      <c r="M224" s="30">
        <f t="shared" si="53"/>
        <v>276458682.5</v>
      </c>
      <c r="N224" s="40" t="s">
        <v>1487</v>
      </c>
      <c r="O224" s="40" t="s">
        <v>1488</v>
      </c>
      <c r="P224" s="40" t="s">
        <v>348</v>
      </c>
      <c r="Q224" s="44">
        <v>0</v>
      </c>
      <c r="R224" s="37">
        <v>100</v>
      </c>
      <c r="S224" s="37" t="s">
        <v>1489</v>
      </c>
      <c r="T224" s="48">
        <v>2</v>
      </c>
      <c r="U224" s="30">
        <f>M224/W224</f>
        <v>333082.75</v>
      </c>
      <c r="V224" s="41">
        <f t="shared" si="47"/>
        <v>666165.5</v>
      </c>
      <c r="W224" s="41">
        <f t="shared" si="49"/>
        <v>830</v>
      </c>
      <c r="X224" s="41">
        <v>306</v>
      </c>
      <c r="Y224" s="41"/>
      <c r="Z224" s="41"/>
      <c r="AA224" s="41"/>
      <c r="AB224" s="41"/>
      <c r="AC224" s="41">
        <v>524</v>
      </c>
      <c r="AD224" s="41"/>
      <c r="AE224" s="41"/>
      <c r="AF224" s="41"/>
      <c r="AG224" s="41"/>
      <c r="AH224" s="41"/>
      <c r="AI224" s="41"/>
      <c r="AJ224" s="41"/>
      <c r="AK224" s="41"/>
      <c r="AL224" s="41"/>
      <c r="AM224" s="41"/>
      <c r="AN224" s="41">
        <f t="shared" si="48"/>
        <v>415</v>
      </c>
      <c r="AO224" s="41">
        <f t="shared" si="52"/>
        <v>415</v>
      </c>
      <c r="AP224" s="40" t="s">
        <v>1515</v>
      </c>
      <c r="AQ224" s="36">
        <v>44986</v>
      </c>
      <c r="AR224" s="36">
        <v>45047</v>
      </c>
      <c r="AS224" s="36"/>
      <c r="AT224" s="36">
        <v>45000</v>
      </c>
      <c r="AU224" s="36">
        <v>45061</v>
      </c>
      <c r="AV224" s="38"/>
      <c r="AW224" s="40" t="s">
        <v>87</v>
      </c>
    </row>
    <row r="225" spans="1:49" s="34" customFormat="1" ht="72" x14ac:dyDescent="0.3">
      <c r="A225" s="39" t="s">
        <v>1516</v>
      </c>
      <c r="B225" s="36">
        <v>44895</v>
      </c>
      <c r="C225" s="37">
        <v>545</v>
      </c>
      <c r="D225" s="39" t="s">
        <v>1517</v>
      </c>
      <c r="E225" s="1" t="s">
        <v>1518</v>
      </c>
      <c r="F225" s="36">
        <v>44918</v>
      </c>
      <c r="G225" s="39" t="s">
        <v>1519</v>
      </c>
      <c r="H225" s="40" t="s">
        <v>802</v>
      </c>
      <c r="I225" s="40" t="s">
        <v>1520</v>
      </c>
      <c r="J225" s="41">
        <v>299107789.33999997</v>
      </c>
      <c r="K225" s="41">
        <v>299107789.33999997</v>
      </c>
      <c r="L225" s="30">
        <v>316806475.10000002</v>
      </c>
      <c r="M225" s="30">
        <f t="shared" si="53"/>
        <v>316806475.10000002</v>
      </c>
      <c r="N225" s="40" t="s">
        <v>1521</v>
      </c>
      <c r="O225" s="40" t="s">
        <v>1522</v>
      </c>
      <c r="P225" s="40" t="s">
        <v>1436</v>
      </c>
      <c r="Q225" s="44">
        <v>0</v>
      </c>
      <c r="R225" s="37">
        <v>100</v>
      </c>
      <c r="S225" s="37" t="s">
        <v>584</v>
      </c>
      <c r="T225" s="67">
        <v>27854.400000000001</v>
      </c>
      <c r="U225" s="30">
        <f>M225/W225</f>
        <v>31.769999999598877</v>
      </c>
      <c r="V225" s="41">
        <f t="shared" si="47"/>
        <v>884934.28798882698</v>
      </c>
      <c r="W225" s="41">
        <f t="shared" si="49"/>
        <v>9971875.1999999993</v>
      </c>
      <c r="X225" s="41">
        <v>5543025.5999999996</v>
      </c>
      <c r="Y225" s="41"/>
      <c r="Z225" s="41"/>
      <c r="AA225" s="41"/>
      <c r="AB225" s="41"/>
      <c r="AC225" s="41">
        <v>4428849.5999999996</v>
      </c>
      <c r="AD225" s="41"/>
      <c r="AE225" s="41"/>
      <c r="AF225" s="41"/>
      <c r="AG225" s="41"/>
      <c r="AH225" s="41"/>
      <c r="AI225" s="41"/>
      <c r="AJ225" s="41"/>
      <c r="AK225" s="41"/>
      <c r="AL225" s="41"/>
      <c r="AM225" s="41"/>
      <c r="AN225" s="41">
        <f t="shared" si="48"/>
        <v>357.99999999999994</v>
      </c>
      <c r="AO225" s="41">
        <f t="shared" si="52"/>
        <v>358</v>
      </c>
      <c r="AP225" s="40" t="s">
        <v>1437</v>
      </c>
      <c r="AQ225" s="36">
        <v>45017</v>
      </c>
      <c r="AR225" s="36">
        <v>45108</v>
      </c>
      <c r="AS225" s="36"/>
      <c r="AT225" s="36">
        <v>45031</v>
      </c>
      <c r="AU225" s="36">
        <v>45122</v>
      </c>
      <c r="AV225" s="38"/>
      <c r="AW225" s="40" t="s">
        <v>87</v>
      </c>
    </row>
    <row r="226" spans="1:49" s="34" customFormat="1" ht="72" x14ac:dyDescent="0.3">
      <c r="A226" s="39" t="s">
        <v>1523</v>
      </c>
      <c r="B226" s="36">
        <v>44895</v>
      </c>
      <c r="C226" s="37">
        <v>545</v>
      </c>
      <c r="D226" s="39" t="s">
        <v>459</v>
      </c>
      <c r="E226" s="1" t="s">
        <v>1524</v>
      </c>
      <c r="F226" s="36" t="s">
        <v>459</v>
      </c>
      <c r="G226" s="37" t="s">
        <v>459</v>
      </c>
      <c r="H226" s="40" t="s">
        <v>459</v>
      </c>
      <c r="I226" s="40" t="s">
        <v>1525</v>
      </c>
      <c r="J226" s="41">
        <v>170849698.80000001</v>
      </c>
      <c r="K226" s="41" t="s">
        <v>459</v>
      </c>
      <c r="L226" s="30" t="str">
        <f>K226</f>
        <v>нет заявок</v>
      </c>
      <c r="M226" s="30" t="str">
        <f t="shared" si="53"/>
        <v>нет заявок</v>
      </c>
      <c r="N226" s="40"/>
      <c r="O226" s="40"/>
      <c r="P226" s="40"/>
      <c r="Q226" s="44"/>
      <c r="R226" s="37"/>
      <c r="S226" s="37"/>
      <c r="T226" s="67"/>
      <c r="U226" s="30" t="e">
        <f>M226/W226</f>
        <v>#VALUE!</v>
      </c>
      <c r="V226" s="41" t="e">
        <f t="shared" si="47"/>
        <v>#VALUE!</v>
      </c>
      <c r="W226" s="41"/>
      <c r="X226" s="41"/>
      <c r="Y226" s="41"/>
      <c r="Z226" s="41"/>
      <c r="AA226" s="41"/>
      <c r="AB226" s="41"/>
      <c r="AC226" s="41"/>
      <c r="AD226" s="41"/>
      <c r="AE226" s="41"/>
      <c r="AF226" s="41"/>
      <c r="AG226" s="41"/>
      <c r="AH226" s="41"/>
      <c r="AI226" s="41"/>
      <c r="AJ226" s="41"/>
      <c r="AK226" s="41"/>
      <c r="AL226" s="41"/>
      <c r="AM226" s="41"/>
      <c r="AN226" s="41" t="e">
        <f t="shared" si="48"/>
        <v>#DIV/0!</v>
      </c>
      <c r="AO226" s="41" t="e">
        <f t="shared" si="52"/>
        <v>#DIV/0!</v>
      </c>
      <c r="AP226" s="40"/>
      <c r="AQ226" s="36"/>
      <c r="AR226" s="36"/>
      <c r="AS226" s="36"/>
      <c r="AT226" s="36"/>
      <c r="AU226" s="36"/>
      <c r="AV226" s="38"/>
      <c r="AW226" s="40"/>
    </row>
    <row r="227" spans="1:49" s="34" customFormat="1" ht="72" x14ac:dyDescent="0.3">
      <c r="A227" s="39" t="s">
        <v>1526</v>
      </c>
      <c r="B227" s="36">
        <v>44895</v>
      </c>
      <c r="C227" s="37">
        <v>545</v>
      </c>
      <c r="D227" s="39" t="s">
        <v>1527</v>
      </c>
      <c r="E227" s="1" t="s">
        <v>1528</v>
      </c>
      <c r="F227" s="36">
        <v>44918</v>
      </c>
      <c r="G227" s="37" t="s">
        <v>1529</v>
      </c>
      <c r="H227" s="40" t="s">
        <v>802</v>
      </c>
      <c r="I227" s="40" t="s">
        <v>1520</v>
      </c>
      <c r="J227" s="41">
        <v>282294037.87</v>
      </c>
      <c r="K227" s="41">
        <v>282294037.87</v>
      </c>
      <c r="L227" s="30">
        <v>352203846.62</v>
      </c>
      <c r="M227" s="30">
        <f t="shared" si="53"/>
        <v>352203846.62</v>
      </c>
      <c r="N227" s="40" t="s">
        <v>1521</v>
      </c>
      <c r="O227" s="40" t="s">
        <v>1522</v>
      </c>
      <c r="P227" s="40" t="s">
        <v>1436</v>
      </c>
      <c r="Q227" s="44">
        <v>0</v>
      </c>
      <c r="R227" s="37">
        <v>100</v>
      </c>
      <c r="S227" s="37" t="s">
        <v>584</v>
      </c>
      <c r="T227" s="67">
        <v>27854.400000000001</v>
      </c>
      <c r="U227" s="30">
        <f>M227/W227</f>
        <v>31.76999999963919</v>
      </c>
      <c r="V227" s="41">
        <f t="shared" si="47"/>
        <v>884934.28798994992</v>
      </c>
      <c r="W227" s="41">
        <f t="shared" ref="W227:W290" si="54">X227+AC227+AH227</f>
        <v>11086051.199999999</v>
      </c>
      <c r="X227" s="41">
        <v>5208772.8</v>
      </c>
      <c r="Y227" s="41"/>
      <c r="Z227" s="41"/>
      <c r="AA227" s="41"/>
      <c r="AB227" s="41"/>
      <c r="AC227" s="41">
        <v>5877278.4000000004</v>
      </c>
      <c r="AD227" s="41"/>
      <c r="AE227" s="41"/>
      <c r="AF227" s="41"/>
      <c r="AG227" s="41"/>
      <c r="AH227" s="41"/>
      <c r="AI227" s="41"/>
      <c r="AJ227" s="41"/>
      <c r="AK227" s="41"/>
      <c r="AL227" s="41"/>
      <c r="AM227" s="41"/>
      <c r="AN227" s="41">
        <f t="shared" si="48"/>
        <v>397.99999999999994</v>
      </c>
      <c r="AO227" s="41">
        <f t="shared" si="52"/>
        <v>398</v>
      </c>
      <c r="AP227" s="40" t="s">
        <v>1530</v>
      </c>
      <c r="AQ227" s="36">
        <v>45017</v>
      </c>
      <c r="AR227" s="36">
        <v>45108</v>
      </c>
      <c r="AS227" s="36"/>
      <c r="AT227" s="36">
        <v>45031</v>
      </c>
      <c r="AU227" s="36">
        <v>45122</v>
      </c>
      <c r="AV227" s="38"/>
      <c r="AW227" s="40" t="s">
        <v>87</v>
      </c>
    </row>
    <row r="228" spans="1:49" s="34" customFormat="1" ht="72" x14ac:dyDescent="0.3">
      <c r="A228" s="39" t="s">
        <v>1531</v>
      </c>
      <c r="B228" s="36">
        <v>44895</v>
      </c>
      <c r="C228" s="37">
        <v>545</v>
      </c>
      <c r="D228" s="39" t="s">
        <v>1532</v>
      </c>
      <c r="E228" s="1" t="s">
        <v>1533</v>
      </c>
      <c r="F228" s="36">
        <v>44915</v>
      </c>
      <c r="G228" s="37" t="s">
        <v>1534</v>
      </c>
      <c r="H228" s="40" t="s">
        <v>878</v>
      </c>
      <c r="I228" s="40" t="s">
        <v>1535</v>
      </c>
      <c r="J228" s="41">
        <v>23366039.399999999</v>
      </c>
      <c r="K228" s="41">
        <v>23366039.399999999</v>
      </c>
      <c r="L228" s="30">
        <f>K228</f>
        <v>23366039.399999999</v>
      </c>
      <c r="M228" s="30">
        <f t="shared" si="53"/>
        <v>23366039.399999999</v>
      </c>
      <c r="N228" s="40" t="s">
        <v>1536</v>
      </c>
      <c r="O228" s="40" t="s">
        <v>1537</v>
      </c>
      <c r="P228" s="40" t="s">
        <v>348</v>
      </c>
      <c r="Q228" s="44">
        <v>0</v>
      </c>
      <c r="R228" s="37">
        <v>100</v>
      </c>
      <c r="S228" s="37" t="s">
        <v>200</v>
      </c>
      <c r="T228" s="48">
        <v>30</v>
      </c>
      <c r="U228" s="30">
        <f>M228/W228</f>
        <v>2426.3799999999997</v>
      </c>
      <c r="V228" s="41">
        <f t="shared" si="47"/>
        <v>72791.399999999994</v>
      </c>
      <c r="W228" s="41">
        <f t="shared" si="54"/>
        <v>9630</v>
      </c>
      <c r="X228" s="41">
        <v>4500</v>
      </c>
      <c r="Y228" s="41"/>
      <c r="Z228" s="41"/>
      <c r="AA228" s="41"/>
      <c r="AB228" s="41"/>
      <c r="AC228" s="41">
        <v>5130</v>
      </c>
      <c r="AD228" s="41"/>
      <c r="AE228" s="41"/>
      <c r="AF228" s="41"/>
      <c r="AG228" s="41"/>
      <c r="AH228" s="41"/>
      <c r="AI228" s="41"/>
      <c r="AJ228" s="41"/>
      <c r="AK228" s="41"/>
      <c r="AL228" s="41"/>
      <c r="AM228" s="41"/>
      <c r="AN228" s="41">
        <f t="shared" si="48"/>
        <v>321</v>
      </c>
      <c r="AO228" s="41">
        <f t="shared" si="52"/>
        <v>321</v>
      </c>
      <c r="AP228" s="40" t="s">
        <v>1353</v>
      </c>
      <c r="AQ228" s="36">
        <v>44946</v>
      </c>
      <c r="AR228" s="36">
        <v>44986</v>
      </c>
      <c r="AS228" s="36"/>
      <c r="AT228" s="36">
        <v>44962</v>
      </c>
      <c r="AU228" s="36">
        <v>45000</v>
      </c>
      <c r="AV228" s="38"/>
      <c r="AW228" s="40" t="s">
        <v>87</v>
      </c>
    </row>
    <row r="229" spans="1:49" s="34" customFormat="1" ht="72" x14ac:dyDescent="0.3">
      <c r="A229" s="39" t="s">
        <v>1538</v>
      </c>
      <c r="B229" s="36">
        <v>44895</v>
      </c>
      <c r="C229" s="37">
        <v>545</v>
      </c>
      <c r="D229" s="39" t="s">
        <v>1539</v>
      </c>
      <c r="E229" s="1" t="s">
        <v>1540</v>
      </c>
      <c r="F229" s="36">
        <v>44915</v>
      </c>
      <c r="G229" s="37" t="s">
        <v>1541</v>
      </c>
      <c r="H229" s="40" t="s">
        <v>878</v>
      </c>
      <c r="I229" s="40" t="s">
        <v>1542</v>
      </c>
      <c r="J229" s="41">
        <v>28564169.399999999</v>
      </c>
      <c r="K229" s="41">
        <v>28563777</v>
      </c>
      <c r="L229" s="30">
        <v>31533711</v>
      </c>
      <c r="M229" s="30">
        <f t="shared" si="53"/>
        <v>31533711</v>
      </c>
      <c r="N229" s="40" t="s">
        <v>1536</v>
      </c>
      <c r="O229" s="40" t="s">
        <v>1543</v>
      </c>
      <c r="P229" s="40" t="s">
        <v>348</v>
      </c>
      <c r="Q229" s="44">
        <v>0</v>
      </c>
      <c r="R229" s="37">
        <v>100</v>
      </c>
      <c r="S229" s="37" t="s">
        <v>200</v>
      </c>
      <c r="T229" s="48">
        <v>30</v>
      </c>
      <c r="U229" s="30">
        <f>M229/W229</f>
        <v>1455.85</v>
      </c>
      <c r="V229" s="41">
        <f t="shared" si="47"/>
        <v>43675.5</v>
      </c>
      <c r="W229" s="41">
        <f t="shared" si="54"/>
        <v>21660</v>
      </c>
      <c r="X229" s="41">
        <v>7200</v>
      </c>
      <c r="Y229" s="41"/>
      <c r="Z229" s="41"/>
      <c r="AA229" s="41"/>
      <c r="AB229" s="41"/>
      <c r="AC229" s="41">
        <f>12420+2040</f>
        <v>14460</v>
      </c>
      <c r="AD229" s="41"/>
      <c r="AE229" s="41"/>
      <c r="AF229" s="41"/>
      <c r="AG229" s="41"/>
      <c r="AH229" s="41"/>
      <c r="AI229" s="41"/>
      <c r="AJ229" s="41"/>
      <c r="AK229" s="41"/>
      <c r="AL229" s="41"/>
      <c r="AM229" s="41"/>
      <c r="AN229" s="41">
        <f t="shared" si="48"/>
        <v>722</v>
      </c>
      <c r="AO229" s="41">
        <f t="shared" si="52"/>
        <v>722</v>
      </c>
      <c r="AP229" s="40" t="s">
        <v>1353</v>
      </c>
      <c r="AQ229" s="36">
        <v>44946</v>
      </c>
      <c r="AR229" s="36">
        <v>45108</v>
      </c>
      <c r="AS229" s="36"/>
      <c r="AT229" s="36">
        <v>44962</v>
      </c>
      <c r="AU229" s="36">
        <v>45122</v>
      </c>
      <c r="AV229" s="38"/>
      <c r="AW229" s="40" t="s">
        <v>87</v>
      </c>
    </row>
    <row r="230" spans="1:49" s="34" customFormat="1" ht="92.4" customHeight="1" x14ac:dyDescent="0.3">
      <c r="A230" s="39" t="s">
        <v>1544</v>
      </c>
      <c r="B230" s="36">
        <v>44895</v>
      </c>
      <c r="C230" s="37">
        <v>545</v>
      </c>
      <c r="D230" s="39" t="s">
        <v>1545</v>
      </c>
      <c r="E230" s="1" t="s">
        <v>1546</v>
      </c>
      <c r="F230" s="36">
        <v>44918</v>
      </c>
      <c r="G230" s="37" t="s">
        <v>1547</v>
      </c>
      <c r="H230" s="40" t="s">
        <v>802</v>
      </c>
      <c r="I230" s="40" t="s">
        <v>1520</v>
      </c>
      <c r="J230" s="41">
        <v>263710417.81999999</v>
      </c>
      <c r="K230" s="41">
        <v>263710417.81999999</v>
      </c>
      <c r="L230" s="30">
        <v>313266737.94999999</v>
      </c>
      <c r="M230" s="30">
        <f t="shared" si="53"/>
        <v>313266737.94999999</v>
      </c>
      <c r="N230" s="40" t="s">
        <v>1521</v>
      </c>
      <c r="O230" s="40" t="s">
        <v>1522</v>
      </c>
      <c r="P230" s="40" t="s">
        <v>1436</v>
      </c>
      <c r="Q230" s="44">
        <v>0</v>
      </c>
      <c r="R230" s="37">
        <v>100</v>
      </c>
      <c r="S230" s="37" t="s">
        <v>584</v>
      </c>
      <c r="T230" s="67">
        <v>27854.400000000001</v>
      </c>
      <c r="U230" s="30">
        <f>M230/W230</f>
        <v>31.769999999797168</v>
      </c>
      <c r="V230" s="41">
        <f t="shared" si="47"/>
        <v>884934.28799435031</v>
      </c>
      <c r="W230" s="41">
        <f t="shared" si="54"/>
        <v>9860457.5999999996</v>
      </c>
      <c r="X230" s="41">
        <v>4846665.5999999996</v>
      </c>
      <c r="Y230" s="41"/>
      <c r="Z230" s="41"/>
      <c r="AA230" s="41"/>
      <c r="AB230" s="41"/>
      <c r="AC230" s="41">
        <v>5013792</v>
      </c>
      <c r="AD230" s="41"/>
      <c r="AE230" s="41"/>
      <c r="AF230" s="41"/>
      <c r="AG230" s="41"/>
      <c r="AH230" s="41"/>
      <c r="AI230" s="41"/>
      <c r="AJ230" s="41"/>
      <c r="AK230" s="41"/>
      <c r="AL230" s="41"/>
      <c r="AM230" s="41"/>
      <c r="AN230" s="41">
        <f t="shared" si="48"/>
        <v>353.99999999999994</v>
      </c>
      <c r="AO230" s="41">
        <f t="shared" si="52"/>
        <v>354</v>
      </c>
      <c r="AP230" s="40" t="s">
        <v>1548</v>
      </c>
      <c r="AQ230" s="36">
        <v>45017</v>
      </c>
      <c r="AR230" s="36">
        <v>45108</v>
      </c>
      <c r="AS230" s="36"/>
      <c r="AT230" s="36">
        <v>45031</v>
      </c>
      <c r="AU230" s="36">
        <v>45122</v>
      </c>
      <c r="AV230" s="38"/>
      <c r="AW230" s="40" t="s">
        <v>75</v>
      </c>
    </row>
    <row r="231" spans="1:49" s="34" customFormat="1" ht="101.4" customHeight="1" x14ac:dyDescent="0.3">
      <c r="A231" s="39" t="s">
        <v>1549</v>
      </c>
      <c r="B231" s="36">
        <v>44896</v>
      </c>
      <c r="C231" s="37">
        <v>545</v>
      </c>
      <c r="D231" s="39" t="s">
        <v>1550</v>
      </c>
      <c r="E231" s="1" t="s">
        <v>1551</v>
      </c>
      <c r="F231" s="36">
        <v>44918</v>
      </c>
      <c r="G231" s="37" t="s">
        <v>1552</v>
      </c>
      <c r="H231" s="40" t="s">
        <v>878</v>
      </c>
      <c r="I231" s="40" t="s">
        <v>1486</v>
      </c>
      <c r="J231" s="41">
        <v>187858671</v>
      </c>
      <c r="K231" s="41">
        <v>187858671</v>
      </c>
      <c r="L231" s="30">
        <f>K231</f>
        <v>187858671</v>
      </c>
      <c r="M231" s="30">
        <f t="shared" si="53"/>
        <v>187858671</v>
      </c>
      <c r="N231" s="40" t="s">
        <v>1487</v>
      </c>
      <c r="O231" s="40" t="s">
        <v>1488</v>
      </c>
      <c r="P231" s="40" t="s">
        <v>348</v>
      </c>
      <c r="Q231" s="44">
        <v>0</v>
      </c>
      <c r="R231" s="37">
        <v>100</v>
      </c>
      <c r="S231" s="37" t="s">
        <v>1489</v>
      </c>
      <c r="T231" s="48">
        <v>2</v>
      </c>
      <c r="U231" s="30">
        <f>M231/W231</f>
        <v>333082.75</v>
      </c>
      <c r="V231" s="41">
        <f t="shared" si="47"/>
        <v>666165.5</v>
      </c>
      <c r="W231" s="41">
        <f t="shared" si="54"/>
        <v>564</v>
      </c>
      <c r="X231" s="41">
        <v>206</v>
      </c>
      <c r="Y231" s="41"/>
      <c r="Z231" s="41"/>
      <c r="AA231" s="41"/>
      <c r="AB231" s="41"/>
      <c r="AC231" s="41">
        <v>358</v>
      </c>
      <c r="AD231" s="41"/>
      <c r="AE231" s="41"/>
      <c r="AF231" s="41"/>
      <c r="AG231" s="41"/>
      <c r="AH231" s="41"/>
      <c r="AI231" s="41"/>
      <c r="AJ231" s="41"/>
      <c r="AK231" s="41"/>
      <c r="AL231" s="41"/>
      <c r="AM231" s="41"/>
      <c r="AN231" s="41">
        <f t="shared" si="48"/>
        <v>282</v>
      </c>
      <c r="AO231" s="41">
        <f t="shared" si="52"/>
        <v>282</v>
      </c>
      <c r="AP231" s="40" t="s">
        <v>1553</v>
      </c>
      <c r="AQ231" s="36">
        <v>44986</v>
      </c>
      <c r="AR231" s="36">
        <v>45047</v>
      </c>
      <c r="AS231" s="36"/>
      <c r="AT231" s="36">
        <v>45000</v>
      </c>
      <c r="AU231" s="36">
        <v>45061</v>
      </c>
      <c r="AV231" s="38"/>
      <c r="AW231" s="40" t="s">
        <v>87</v>
      </c>
    </row>
    <row r="232" spans="1:49" s="34" customFormat="1" ht="84" customHeight="1" x14ac:dyDescent="0.3">
      <c r="A232" s="39" t="s">
        <v>1554</v>
      </c>
      <c r="B232" s="36">
        <v>44896</v>
      </c>
      <c r="C232" s="37">
        <v>545</v>
      </c>
      <c r="D232" s="39" t="s">
        <v>1555</v>
      </c>
      <c r="E232" s="1" t="s">
        <v>1556</v>
      </c>
      <c r="F232" s="36">
        <v>44918</v>
      </c>
      <c r="G232" s="37" t="s">
        <v>1557</v>
      </c>
      <c r="H232" s="40" t="s">
        <v>878</v>
      </c>
      <c r="I232" s="40" t="s">
        <v>1486</v>
      </c>
      <c r="J232" s="41">
        <v>288449661.5</v>
      </c>
      <c r="K232" s="41">
        <v>288449661.5</v>
      </c>
      <c r="L232" s="30">
        <f>K232</f>
        <v>288449661.5</v>
      </c>
      <c r="M232" s="30">
        <f t="shared" si="53"/>
        <v>288449661.5</v>
      </c>
      <c r="N232" s="40" t="s">
        <v>1487</v>
      </c>
      <c r="O232" s="40" t="s">
        <v>1488</v>
      </c>
      <c r="P232" s="40" t="s">
        <v>348</v>
      </c>
      <c r="Q232" s="44">
        <v>0</v>
      </c>
      <c r="R232" s="37">
        <v>100</v>
      </c>
      <c r="S232" s="37" t="s">
        <v>1489</v>
      </c>
      <c r="T232" s="48">
        <v>2</v>
      </c>
      <c r="U232" s="30">
        <f>M232/W232</f>
        <v>333082.75</v>
      </c>
      <c r="V232" s="41">
        <f t="shared" si="47"/>
        <v>666165.5</v>
      </c>
      <c r="W232" s="41">
        <f t="shared" si="54"/>
        <v>866</v>
      </c>
      <c r="X232" s="41">
        <v>320</v>
      </c>
      <c r="Y232" s="41"/>
      <c r="Z232" s="41"/>
      <c r="AA232" s="41"/>
      <c r="AB232" s="41"/>
      <c r="AC232" s="41">
        <v>546</v>
      </c>
      <c r="AD232" s="41"/>
      <c r="AE232" s="41"/>
      <c r="AF232" s="41"/>
      <c r="AG232" s="41"/>
      <c r="AH232" s="41"/>
      <c r="AI232" s="41"/>
      <c r="AJ232" s="41"/>
      <c r="AK232" s="41"/>
      <c r="AL232" s="41"/>
      <c r="AM232" s="41"/>
      <c r="AN232" s="41">
        <f t="shared" si="48"/>
        <v>433</v>
      </c>
      <c r="AO232" s="41">
        <f t="shared" si="52"/>
        <v>433</v>
      </c>
      <c r="AP232" s="40" t="s">
        <v>1558</v>
      </c>
      <c r="AQ232" s="36">
        <v>44986</v>
      </c>
      <c r="AR232" s="36">
        <v>45047</v>
      </c>
      <c r="AS232" s="36"/>
      <c r="AT232" s="36">
        <v>45000</v>
      </c>
      <c r="AU232" s="36">
        <v>45061</v>
      </c>
      <c r="AV232" s="38"/>
      <c r="AW232" s="40" t="s">
        <v>87</v>
      </c>
    </row>
    <row r="233" spans="1:49" s="34" customFormat="1" ht="76.2" customHeight="1" x14ac:dyDescent="0.3">
      <c r="A233" s="39" t="s">
        <v>1559</v>
      </c>
      <c r="B233" s="36">
        <v>44896</v>
      </c>
      <c r="C233" s="37">
        <v>545</v>
      </c>
      <c r="D233" s="39" t="s">
        <v>1560</v>
      </c>
      <c r="E233" s="1" t="s">
        <v>1561</v>
      </c>
      <c r="F233" s="36">
        <v>44918</v>
      </c>
      <c r="G233" s="37" t="s">
        <v>1562</v>
      </c>
      <c r="H233" s="40" t="s">
        <v>878</v>
      </c>
      <c r="I233" s="40" t="s">
        <v>1486</v>
      </c>
      <c r="J233" s="41">
        <v>289781992.5</v>
      </c>
      <c r="K233" s="41">
        <v>289781992.5</v>
      </c>
      <c r="L233" s="30">
        <v>315096281.5</v>
      </c>
      <c r="M233" s="30">
        <f t="shared" si="53"/>
        <v>315096281.5</v>
      </c>
      <c r="N233" s="40" t="s">
        <v>1487</v>
      </c>
      <c r="O233" s="40" t="s">
        <v>1488</v>
      </c>
      <c r="P233" s="40" t="s">
        <v>348</v>
      </c>
      <c r="Q233" s="44">
        <v>0</v>
      </c>
      <c r="R233" s="37">
        <v>100</v>
      </c>
      <c r="S233" s="37" t="s">
        <v>1489</v>
      </c>
      <c r="T233" s="48">
        <v>2</v>
      </c>
      <c r="U233" s="30">
        <f>M233/W233</f>
        <v>333082.75</v>
      </c>
      <c r="V233" s="41">
        <f t="shared" si="47"/>
        <v>666165.5</v>
      </c>
      <c r="W233" s="41">
        <f t="shared" si="54"/>
        <v>946</v>
      </c>
      <c r="X233" s="41">
        <v>322</v>
      </c>
      <c r="Y233" s="41"/>
      <c r="Z233" s="41"/>
      <c r="AA233" s="41"/>
      <c r="AB233" s="41"/>
      <c r="AC233" s="41">
        <f>548+76</f>
        <v>624</v>
      </c>
      <c r="AD233" s="41"/>
      <c r="AE233" s="41"/>
      <c r="AF233" s="41"/>
      <c r="AG233" s="41"/>
      <c r="AH233" s="41"/>
      <c r="AI233" s="41"/>
      <c r="AJ233" s="41"/>
      <c r="AK233" s="41"/>
      <c r="AL233" s="41"/>
      <c r="AM233" s="41"/>
      <c r="AN233" s="41">
        <f t="shared" si="48"/>
        <v>473</v>
      </c>
      <c r="AO233" s="41">
        <f t="shared" si="52"/>
        <v>473</v>
      </c>
      <c r="AP233" s="40" t="s">
        <v>1563</v>
      </c>
      <c r="AQ233" s="36">
        <v>44986</v>
      </c>
      <c r="AR233" s="36">
        <v>45047</v>
      </c>
      <c r="AS233" s="36"/>
      <c r="AT233" s="36">
        <v>45000</v>
      </c>
      <c r="AU233" s="36">
        <v>45061</v>
      </c>
      <c r="AV233" s="38"/>
      <c r="AW233" s="40" t="s">
        <v>87</v>
      </c>
    </row>
    <row r="234" spans="1:49" s="34" customFormat="1" ht="78" x14ac:dyDescent="0.3">
      <c r="A234" s="39" t="s">
        <v>1564</v>
      </c>
      <c r="B234" s="36">
        <v>44896</v>
      </c>
      <c r="C234" s="37">
        <v>545</v>
      </c>
      <c r="D234" s="39" t="s">
        <v>1565</v>
      </c>
      <c r="E234" s="1" t="s">
        <v>1566</v>
      </c>
      <c r="F234" s="36">
        <v>44918</v>
      </c>
      <c r="G234" s="37" t="s">
        <v>1567</v>
      </c>
      <c r="H234" s="40" t="s">
        <v>878</v>
      </c>
      <c r="I234" s="40" t="s">
        <v>1486</v>
      </c>
      <c r="J234" s="41">
        <v>237154918</v>
      </c>
      <c r="K234" s="41">
        <v>237154918</v>
      </c>
      <c r="L234" s="30">
        <v>267798531</v>
      </c>
      <c r="M234" s="30">
        <f t="shared" si="53"/>
        <v>267798531</v>
      </c>
      <c r="N234" s="40" t="s">
        <v>1487</v>
      </c>
      <c r="O234" s="40" t="s">
        <v>1488</v>
      </c>
      <c r="P234" s="40" t="s">
        <v>348</v>
      </c>
      <c r="Q234" s="44">
        <v>0</v>
      </c>
      <c r="R234" s="37">
        <v>100</v>
      </c>
      <c r="S234" s="37" t="s">
        <v>1489</v>
      </c>
      <c r="T234" s="48">
        <v>2</v>
      </c>
      <c r="U234" s="30">
        <f>M234/W234</f>
        <v>333082.75</v>
      </c>
      <c r="V234" s="41">
        <f t="shared" si="47"/>
        <v>666165.5</v>
      </c>
      <c r="W234" s="41">
        <f t="shared" si="54"/>
        <v>804</v>
      </c>
      <c r="X234" s="41">
        <v>264</v>
      </c>
      <c r="Y234" s="41"/>
      <c r="Z234" s="41"/>
      <c r="AA234" s="41"/>
      <c r="AB234" s="41"/>
      <c r="AC234" s="41">
        <f>448+92</f>
        <v>540</v>
      </c>
      <c r="AD234" s="41"/>
      <c r="AE234" s="41"/>
      <c r="AF234" s="41"/>
      <c r="AG234" s="41"/>
      <c r="AH234" s="41"/>
      <c r="AI234" s="41"/>
      <c r="AJ234" s="41"/>
      <c r="AK234" s="41"/>
      <c r="AL234" s="41"/>
      <c r="AM234" s="41"/>
      <c r="AN234" s="41">
        <f t="shared" si="48"/>
        <v>402</v>
      </c>
      <c r="AO234" s="41">
        <f t="shared" si="52"/>
        <v>402</v>
      </c>
      <c r="AP234" s="40" t="s">
        <v>1568</v>
      </c>
      <c r="AQ234" s="36">
        <v>44986</v>
      </c>
      <c r="AR234" s="36">
        <v>45047</v>
      </c>
      <c r="AS234" s="36"/>
      <c r="AT234" s="36">
        <v>45000</v>
      </c>
      <c r="AU234" s="36">
        <v>45061</v>
      </c>
      <c r="AV234" s="38"/>
      <c r="AW234" s="40" t="s">
        <v>87</v>
      </c>
    </row>
    <row r="235" spans="1:49" s="34" customFormat="1" ht="78" x14ac:dyDescent="0.3">
      <c r="A235" s="39" t="s">
        <v>1569</v>
      </c>
      <c r="B235" s="36">
        <v>44896</v>
      </c>
      <c r="C235" s="37">
        <v>545</v>
      </c>
      <c r="D235" s="39" t="s">
        <v>1570</v>
      </c>
      <c r="E235" s="1" t="s">
        <v>1571</v>
      </c>
      <c r="F235" s="36">
        <v>44918</v>
      </c>
      <c r="G235" s="37" t="s">
        <v>1572</v>
      </c>
      <c r="H235" s="40" t="s">
        <v>878</v>
      </c>
      <c r="I235" s="40" t="s">
        <v>1486</v>
      </c>
      <c r="J235" s="41">
        <v>289115827</v>
      </c>
      <c r="K235" s="41">
        <v>289115827</v>
      </c>
      <c r="L235" s="30">
        <f>K235</f>
        <v>289115827</v>
      </c>
      <c r="M235" s="30">
        <f t="shared" si="53"/>
        <v>289115827</v>
      </c>
      <c r="N235" s="40" t="s">
        <v>1487</v>
      </c>
      <c r="O235" s="40" t="s">
        <v>1488</v>
      </c>
      <c r="P235" s="40" t="s">
        <v>348</v>
      </c>
      <c r="Q235" s="44">
        <v>0</v>
      </c>
      <c r="R235" s="37">
        <v>100</v>
      </c>
      <c r="S235" s="37" t="s">
        <v>1489</v>
      </c>
      <c r="T235" s="48">
        <v>2</v>
      </c>
      <c r="U235" s="30">
        <f>M235/W235</f>
        <v>333082.75</v>
      </c>
      <c r="V235" s="41">
        <f t="shared" si="47"/>
        <v>666165.5</v>
      </c>
      <c r="W235" s="41">
        <f t="shared" si="54"/>
        <v>868</v>
      </c>
      <c r="X235" s="41">
        <v>868</v>
      </c>
      <c r="Y235" s="41"/>
      <c r="Z235" s="41"/>
      <c r="AA235" s="41"/>
      <c r="AB235" s="41"/>
      <c r="AC235" s="41"/>
      <c r="AD235" s="41"/>
      <c r="AE235" s="41"/>
      <c r="AF235" s="41"/>
      <c r="AG235" s="41"/>
      <c r="AH235" s="41"/>
      <c r="AI235" s="41"/>
      <c r="AJ235" s="41"/>
      <c r="AK235" s="41"/>
      <c r="AL235" s="41"/>
      <c r="AM235" s="41"/>
      <c r="AN235" s="41">
        <f t="shared" si="48"/>
        <v>434</v>
      </c>
      <c r="AO235" s="41">
        <f t="shared" si="52"/>
        <v>434</v>
      </c>
      <c r="AP235" s="40" t="s">
        <v>1573</v>
      </c>
      <c r="AQ235" s="36">
        <v>44986</v>
      </c>
      <c r="AR235" s="36"/>
      <c r="AS235" s="36"/>
      <c r="AT235" s="36">
        <v>45000</v>
      </c>
      <c r="AU235" s="36"/>
      <c r="AV235" s="38"/>
      <c r="AW235" s="40" t="s">
        <v>87</v>
      </c>
    </row>
    <row r="236" spans="1:49" s="34" customFormat="1" ht="78" x14ac:dyDescent="0.3">
      <c r="A236" s="39" t="s">
        <v>1574</v>
      </c>
      <c r="B236" s="36">
        <v>44896</v>
      </c>
      <c r="C236" s="37">
        <v>545</v>
      </c>
      <c r="D236" s="39" t="s">
        <v>1575</v>
      </c>
      <c r="E236" s="1" t="s">
        <v>1576</v>
      </c>
      <c r="F236" s="36">
        <v>44921</v>
      </c>
      <c r="G236" s="37" t="s">
        <v>1577</v>
      </c>
      <c r="H236" s="40" t="s">
        <v>878</v>
      </c>
      <c r="I236" s="40" t="s">
        <v>1486</v>
      </c>
      <c r="J236" s="41">
        <v>269130862</v>
      </c>
      <c r="K236" s="41">
        <v>269130862</v>
      </c>
      <c r="L236" s="30">
        <f>K236</f>
        <v>269130862</v>
      </c>
      <c r="M236" s="30">
        <f t="shared" si="53"/>
        <v>269130862</v>
      </c>
      <c r="N236" s="40" t="s">
        <v>1487</v>
      </c>
      <c r="O236" s="40" t="s">
        <v>1488</v>
      </c>
      <c r="P236" s="40" t="s">
        <v>348</v>
      </c>
      <c r="Q236" s="44">
        <v>0</v>
      </c>
      <c r="R236" s="37">
        <v>100</v>
      </c>
      <c r="S236" s="37" t="s">
        <v>1489</v>
      </c>
      <c r="T236" s="48">
        <v>2</v>
      </c>
      <c r="U236" s="30">
        <f>M236/W236</f>
        <v>333082.75</v>
      </c>
      <c r="V236" s="41">
        <f t="shared" si="47"/>
        <v>666165.5</v>
      </c>
      <c r="W236" s="41">
        <f t="shared" si="54"/>
        <v>808</v>
      </c>
      <c r="X236" s="41">
        <v>808</v>
      </c>
      <c r="Y236" s="41"/>
      <c r="Z236" s="41"/>
      <c r="AA236" s="41"/>
      <c r="AB236" s="41"/>
      <c r="AC236" s="41"/>
      <c r="AD236" s="41"/>
      <c r="AE236" s="41"/>
      <c r="AF236" s="41"/>
      <c r="AG236" s="41"/>
      <c r="AH236" s="41"/>
      <c r="AI236" s="41"/>
      <c r="AJ236" s="41"/>
      <c r="AK236" s="41"/>
      <c r="AL236" s="41"/>
      <c r="AM236" s="41"/>
      <c r="AN236" s="41">
        <f t="shared" si="48"/>
        <v>404</v>
      </c>
      <c r="AO236" s="41">
        <f t="shared" si="52"/>
        <v>404</v>
      </c>
      <c r="AP236" s="40" t="s">
        <v>1578</v>
      </c>
      <c r="AQ236" s="36">
        <v>45047</v>
      </c>
      <c r="AR236" s="36"/>
      <c r="AS236" s="36"/>
      <c r="AT236" s="36">
        <v>45061</v>
      </c>
      <c r="AU236" s="36"/>
      <c r="AV236" s="38"/>
      <c r="AW236" s="40" t="s">
        <v>87</v>
      </c>
    </row>
    <row r="237" spans="1:49" s="34" customFormat="1" ht="79.2" customHeight="1" x14ac:dyDescent="0.3">
      <c r="A237" s="39" t="s">
        <v>1579</v>
      </c>
      <c r="B237" s="36">
        <v>44896</v>
      </c>
      <c r="C237" s="37">
        <v>545</v>
      </c>
      <c r="D237" s="39" t="s">
        <v>1580</v>
      </c>
      <c r="E237" s="1" t="s">
        <v>1581</v>
      </c>
      <c r="F237" s="36">
        <v>44921</v>
      </c>
      <c r="G237" s="37" t="s">
        <v>1582</v>
      </c>
      <c r="H237" s="40" t="s">
        <v>878</v>
      </c>
      <c r="I237" s="40" t="s">
        <v>1486</v>
      </c>
      <c r="J237" s="41">
        <v>293112820</v>
      </c>
      <c r="K237" s="41">
        <v>293112820</v>
      </c>
      <c r="L237" s="30">
        <f>K237</f>
        <v>293112820</v>
      </c>
      <c r="M237" s="30">
        <f t="shared" si="53"/>
        <v>293112820</v>
      </c>
      <c r="N237" s="40" t="s">
        <v>1487</v>
      </c>
      <c r="O237" s="40" t="s">
        <v>1488</v>
      </c>
      <c r="P237" s="40" t="s">
        <v>348</v>
      </c>
      <c r="Q237" s="44">
        <v>0</v>
      </c>
      <c r="R237" s="37">
        <v>100</v>
      </c>
      <c r="S237" s="37" t="s">
        <v>1489</v>
      </c>
      <c r="T237" s="48">
        <v>2</v>
      </c>
      <c r="U237" s="30">
        <f>M237/W237</f>
        <v>333082.75</v>
      </c>
      <c r="V237" s="41">
        <f t="shared" si="47"/>
        <v>666165.5</v>
      </c>
      <c r="W237" s="41">
        <f t="shared" si="54"/>
        <v>880</v>
      </c>
      <c r="X237" s="41">
        <v>326</v>
      </c>
      <c r="Y237" s="41"/>
      <c r="Z237" s="41"/>
      <c r="AA237" s="41"/>
      <c r="AB237" s="41"/>
      <c r="AC237" s="41">
        <v>554</v>
      </c>
      <c r="AD237" s="41"/>
      <c r="AE237" s="41"/>
      <c r="AF237" s="41"/>
      <c r="AG237" s="41"/>
      <c r="AH237" s="41"/>
      <c r="AI237" s="41"/>
      <c r="AJ237" s="41"/>
      <c r="AK237" s="41"/>
      <c r="AL237" s="41"/>
      <c r="AM237" s="41"/>
      <c r="AN237" s="41">
        <f t="shared" si="48"/>
        <v>440</v>
      </c>
      <c r="AO237" s="41">
        <f t="shared" si="52"/>
        <v>440</v>
      </c>
      <c r="AP237" s="40" t="s">
        <v>1583</v>
      </c>
      <c r="AQ237" s="36">
        <v>44986</v>
      </c>
      <c r="AR237" s="36">
        <v>45047</v>
      </c>
      <c r="AS237" s="36"/>
      <c r="AT237" s="36">
        <v>45000</v>
      </c>
      <c r="AU237" s="36">
        <v>45061</v>
      </c>
      <c r="AV237" s="38"/>
      <c r="AW237" s="40" t="s">
        <v>87</v>
      </c>
    </row>
    <row r="238" spans="1:49" s="34" customFormat="1" ht="111.6" customHeight="1" x14ac:dyDescent="0.3">
      <c r="A238" s="39" t="s">
        <v>1584</v>
      </c>
      <c r="B238" s="36">
        <v>44897</v>
      </c>
      <c r="C238" s="37">
        <v>545</v>
      </c>
      <c r="D238" s="39" t="s">
        <v>1585</v>
      </c>
      <c r="E238" s="1" t="s">
        <v>1586</v>
      </c>
      <c r="F238" s="36">
        <v>44921</v>
      </c>
      <c r="G238" s="37" t="s">
        <v>1587</v>
      </c>
      <c r="H238" s="40" t="s">
        <v>224</v>
      </c>
      <c r="I238" s="40" t="s">
        <v>1588</v>
      </c>
      <c r="J238" s="41">
        <v>233330000</v>
      </c>
      <c r="K238" s="41">
        <v>233330000</v>
      </c>
      <c r="L238" s="30">
        <v>243316524</v>
      </c>
      <c r="M238" s="30">
        <f t="shared" si="53"/>
        <v>243316524</v>
      </c>
      <c r="N238" s="40" t="s">
        <v>1589</v>
      </c>
      <c r="O238" s="40" t="s">
        <v>1590</v>
      </c>
      <c r="P238" s="40" t="s">
        <v>218</v>
      </c>
      <c r="Q238" s="44">
        <v>0</v>
      </c>
      <c r="R238" s="37">
        <v>100</v>
      </c>
      <c r="S238" s="37" t="s">
        <v>219</v>
      </c>
      <c r="T238" s="48">
        <v>5</v>
      </c>
      <c r="U238" s="30">
        <f>M238/W238</f>
        <v>18666.400000000001</v>
      </c>
      <c r="V238" s="41">
        <f t="shared" si="47"/>
        <v>93332</v>
      </c>
      <c r="W238" s="41">
        <f t="shared" si="54"/>
        <v>13035</v>
      </c>
      <c r="X238" s="41">
        <v>4715</v>
      </c>
      <c r="Y238" s="41"/>
      <c r="Z238" s="41"/>
      <c r="AA238" s="41"/>
      <c r="AB238" s="41"/>
      <c r="AC238" s="41">
        <v>1770</v>
      </c>
      <c r="AD238" s="41"/>
      <c r="AE238" s="41"/>
      <c r="AF238" s="41"/>
      <c r="AG238" s="41"/>
      <c r="AH238" s="41">
        <f>6015+110+425</f>
        <v>6550</v>
      </c>
      <c r="AI238" s="41"/>
      <c r="AJ238" s="41"/>
      <c r="AK238" s="41"/>
      <c r="AL238" s="41"/>
      <c r="AM238" s="41"/>
      <c r="AN238" s="41">
        <f t="shared" si="48"/>
        <v>2607</v>
      </c>
      <c r="AO238" s="41">
        <f t="shared" si="52"/>
        <v>2607</v>
      </c>
      <c r="AP238" s="40" t="s">
        <v>1414</v>
      </c>
      <c r="AQ238" s="36">
        <v>44972</v>
      </c>
      <c r="AR238" s="36">
        <v>45031</v>
      </c>
      <c r="AS238" s="36">
        <v>45184</v>
      </c>
      <c r="AT238" s="36">
        <v>44986</v>
      </c>
      <c r="AU238" s="36">
        <v>45046</v>
      </c>
      <c r="AV238" s="38">
        <v>45199</v>
      </c>
      <c r="AW238" s="40" t="s">
        <v>68</v>
      </c>
    </row>
    <row r="239" spans="1:49" s="34" customFormat="1" ht="78" x14ac:dyDescent="0.3">
      <c r="A239" s="39" t="s">
        <v>1591</v>
      </c>
      <c r="B239" s="36">
        <v>44897</v>
      </c>
      <c r="C239" s="37">
        <v>545</v>
      </c>
      <c r="D239" s="39" t="s">
        <v>1592</v>
      </c>
      <c r="E239" s="1" t="s">
        <v>1593</v>
      </c>
      <c r="F239" s="36">
        <v>44921</v>
      </c>
      <c r="G239" s="37" t="s">
        <v>1594</v>
      </c>
      <c r="H239" s="40" t="s">
        <v>878</v>
      </c>
      <c r="I239" s="40" t="s">
        <v>1486</v>
      </c>
      <c r="J239" s="41">
        <v>259138379.5</v>
      </c>
      <c r="K239" s="41">
        <v>259138379.5</v>
      </c>
      <c r="L239" s="30">
        <f>K239</f>
        <v>259138379.5</v>
      </c>
      <c r="M239" s="30">
        <f t="shared" si="53"/>
        <v>259138379.5</v>
      </c>
      <c r="N239" s="40" t="s">
        <v>1487</v>
      </c>
      <c r="O239" s="40" t="s">
        <v>1488</v>
      </c>
      <c r="P239" s="40" t="s">
        <v>348</v>
      </c>
      <c r="Q239" s="44">
        <v>0</v>
      </c>
      <c r="R239" s="37">
        <v>100</v>
      </c>
      <c r="S239" s="37" t="s">
        <v>1489</v>
      </c>
      <c r="T239" s="48">
        <v>2</v>
      </c>
      <c r="U239" s="30">
        <f>M239/W239</f>
        <v>333082.75</v>
      </c>
      <c r="V239" s="41">
        <f t="shared" si="47"/>
        <v>666165.5</v>
      </c>
      <c r="W239" s="41">
        <f t="shared" si="54"/>
        <v>778</v>
      </c>
      <c r="X239" s="41">
        <v>288</v>
      </c>
      <c r="Y239" s="41"/>
      <c r="Z239" s="41"/>
      <c r="AA239" s="41"/>
      <c r="AB239" s="41"/>
      <c r="AC239" s="41">
        <v>490</v>
      </c>
      <c r="AD239" s="41"/>
      <c r="AE239" s="41"/>
      <c r="AF239" s="41"/>
      <c r="AG239" s="41"/>
      <c r="AH239" s="41"/>
      <c r="AI239" s="41"/>
      <c r="AJ239" s="41"/>
      <c r="AK239" s="41"/>
      <c r="AL239" s="41"/>
      <c r="AM239" s="41"/>
      <c r="AN239" s="41">
        <f t="shared" si="48"/>
        <v>389</v>
      </c>
      <c r="AO239" s="41">
        <f t="shared" si="52"/>
        <v>389</v>
      </c>
      <c r="AP239" s="40" t="s">
        <v>1595</v>
      </c>
      <c r="AQ239" s="36">
        <v>44986</v>
      </c>
      <c r="AR239" s="36">
        <v>45047</v>
      </c>
      <c r="AS239" s="36"/>
      <c r="AT239" s="36">
        <v>45000</v>
      </c>
      <c r="AU239" s="36">
        <v>45061</v>
      </c>
      <c r="AV239" s="38"/>
      <c r="AW239" s="40" t="s">
        <v>87</v>
      </c>
    </row>
    <row r="240" spans="1:49" s="34" customFormat="1" ht="78" x14ac:dyDescent="0.3">
      <c r="A240" s="39" t="s">
        <v>1596</v>
      </c>
      <c r="B240" s="36">
        <v>44897</v>
      </c>
      <c r="C240" s="37">
        <v>545</v>
      </c>
      <c r="D240" s="39" t="s">
        <v>1597</v>
      </c>
      <c r="E240" s="1" t="s">
        <v>1598</v>
      </c>
      <c r="F240" s="36">
        <v>44921</v>
      </c>
      <c r="G240" s="37" t="s">
        <v>1599</v>
      </c>
      <c r="H240" s="40" t="s">
        <v>878</v>
      </c>
      <c r="I240" s="40" t="s">
        <v>1486</v>
      </c>
      <c r="J240" s="41">
        <v>285784999.5</v>
      </c>
      <c r="K240" s="41">
        <v>285784999.5</v>
      </c>
      <c r="L240" s="30">
        <v>322424102</v>
      </c>
      <c r="M240" s="30">
        <f t="shared" si="53"/>
        <v>322424102</v>
      </c>
      <c r="N240" s="40" t="s">
        <v>1487</v>
      </c>
      <c r="O240" s="40" t="s">
        <v>1488</v>
      </c>
      <c r="P240" s="40" t="s">
        <v>348</v>
      </c>
      <c r="Q240" s="44">
        <v>0</v>
      </c>
      <c r="R240" s="37">
        <v>100</v>
      </c>
      <c r="S240" s="37" t="s">
        <v>1489</v>
      </c>
      <c r="T240" s="48">
        <v>2</v>
      </c>
      <c r="U240" s="30">
        <f>M240/W240</f>
        <v>333082.75</v>
      </c>
      <c r="V240" s="41">
        <f t="shared" ref="V240:V303" si="55">U240*T240</f>
        <v>666165.5</v>
      </c>
      <c r="W240" s="41">
        <f t="shared" si="54"/>
        <v>968</v>
      </c>
      <c r="X240" s="41">
        <v>318</v>
      </c>
      <c r="Y240" s="41"/>
      <c r="Z240" s="41"/>
      <c r="AA240" s="41"/>
      <c r="AB240" s="41"/>
      <c r="AC240" s="41">
        <f>540+110</f>
        <v>650</v>
      </c>
      <c r="AD240" s="41"/>
      <c r="AE240" s="41"/>
      <c r="AF240" s="41"/>
      <c r="AG240" s="41"/>
      <c r="AH240" s="41"/>
      <c r="AI240" s="41"/>
      <c r="AJ240" s="41"/>
      <c r="AK240" s="41"/>
      <c r="AL240" s="41"/>
      <c r="AM240" s="41"/>
      <c r="AN240" s="41">
        <f t="shared" ref="AN240:AN303" si="56">W240/T240</f>
        <v>484</v>
      </c>
      <c r="AO240" s="41">
        <f t="shared" si="52"/>
        <v>484</v>
      </c>
      <c r="AP240" s="40" t="s">
        <v>1600</v>
      </c>
      <c r="AQ240" s="36">
        <v>44986</v>
      </c>
      <c r="AR240" s="36">
        <v>45047</v>
      </c>
      <c r="AS240" s="36"/>
      <c r="AT240" s="36">
        <v>45000</v>
      </c>
      <c r="AU240" s="36">
        <v>45061</v>
      </c>
      <c r="AV240" s="38"/>
      <c r="AW240" s="40" t="s">
        <v>87</v>
      </c>
    </row>
    <row r="241" spans="1:49" s="34" customFormat="1" ht="105.6" customHeight="1" x14ac:dyDescent="0.3">
      <c r="A241" s="39" t="s">
        <v>1601</v>
      </c>
      <c r="B241" s="36">
        <v>44897</v>
      </c>
      <c r="C241" s="37">
        <v>545</v>
      </c>
      <c r="D241" s="39" t="s">
        <v>1602</v>
      </c>
      <c r="E241" s="1" t="s">
        <v>1603</v>
      </c>
      <c r="F241" s="36">
        <v>44921</v>
      </c>
      <c r="G241" s="37" t="s">
        <v>1604</v>
      </c>
      <c r="H241" s="40" t="s">
        <v>224</v>
      </c>
      <c r="I241" s="40" t="s">
        <v>1588</v>
      </c>
      <c r="J241" s="41">
        <v>169864240</v>
      </c>
      <c r="K241" s="41">
        <v>169864240</v>
      </c>
      <c r="L241" s="30">
        <f t="shared" ref="L241:L257" si="57">K241</f>
        <v>169864240</v>
      </c>
      <c r="M241" s="30">
        <f t="shared" si="53"/>
        <v>169864240</v>
      </c>
      <c r="N241" s="40" t="s">
        <v>1589</v>
      </c>
      <c r="O241" s="40" t="s">
        <v>1590</v>
      </c>
      <c r="P241" s="40" t="s">
        <v>218</v>
      </c>
      <c r="Q241" s="44">
        <v>0</v>
      </c>
      <c r="R241" s="37">
        <v>100</v>
      </c>
      <c r="S241" s="37" t="s">
        <v>219</v>
      </c>
      <c r="T241" s="48">
        <v>5</v>
      </c>
      <c r="U241" s="30">
        <f>M241/W241</f>
        <v>18666.400000000001</v>
      </c>
      <c r="V241" s="41">
        <f t="shared" si="55"/>
        <v>93332</v>
      </c>
      <c r="W241" s="41">
        <f t="shared" si="54"/>
        <v>9100</v>
      </c>
      <c r="X241" s="41">
        <v>3435</v>
      </c>
      <c r="Y241" s="41"/>
      <c r="Z241" s="41"/>
      <c r="AA241" s="41"/>
      <c r="AB241" s="41"/>
      <c r="AC241" s="41">
        <v>1290</v>
      </c>
      <c r="AD241" s="41"/>
      <c r="AE241" s="41"/>
      <c r="AF241" s="41"/>
      <c r="AG241" s="41"/>
      <c r="AH241" s="41">
        <v>4375</v>
      </c>
      <c r="AI241" s="41"/>
      <c r="AJ241" s="41"/>
      <c r="AK241" s="41"/>
      <c r="AL241" s="41"/>
      <c r="AM241" s="41"/>
      <c r="AN241" s="41">
        <f t="shared" si="56"/>
        <v>1820</v>
      </c>
      <c r="AO241" s="41">
        <f t="shared" si="52"/>
        <v>1820</v>
      </c>
      <c r="AP241" s="40" t="s">
        <v>1605</v>
      </c>
      <c r="AQ241" s="36">
        <v>44972</v>
      </c>
      <c r="AR241" s="36">
        <v>45031</v>
      </c>
      <c r="AS241" s="36">
        <v>45184</v>
      </c>
      <c r="AT241" s="36">
        <v>44986</v>
      </c>
      <c r="AU241" s="36">
        <v>45046</v>
      </c>
      <c r="AV241" s="38">
        <v>45199</v>
      </c>
      <c r="AW241" s="40" t="s">
        <v>68</v>
      </c>
    </row>
    <row r="242" spans="1:49" s="34" customFormat="1" ht="139.94999999999999" customHeight="1" x14ac:dyDescent="0.3">
      <c r="A242" s="39" t="s">
        <v>1606</v>
      </c>
      <c r="B242" s="36">
        <v>44897</v>
      </c>
      <c r="C242" s="37">
        <v>545</v>
      </c>
      <c r="D242" s="39" t="s">
        <v>1607</v>
      </c>
      <c r="E242" s="1" t="s">
        <v>1608</v>
      </c>
      <c r="F242" s="36">
        <v>44921</v>
      </c>
      <c r="G242" s="37" t="s">
        <v>1609</v>
      </c>
      <c r="H242" s="40" t="s">
        <v>224</v>
      </c>
      <c r="I242" s="40" t="s">
        <v>1588</v>
      </c>
      <c r="J242" s="41">
        <v>217090232</v>
      </c>
      <c r="K242" s="41">
        <v>217090232</v>
      </c>
      <c r="L242" s="30">
        <v>239489912</v>
      </c>
      <c r="M242" s="30">
        <f t="shared" si="53"/>
        <v>239489912</v>
      </c>
      <c r="N242" s="40" t="s">
        <v>1589</v>
      </c>
      <c r="O242" s="40" t="s">
        <v>1590</v>
      </c>
      <c r="P242" s="40" t="s">
        <v>218</v>
      </c>
      <c r="Q242" s="44">
        <v>0</v>
      </c>
      <c r="R242" s="37">
        <v>100</v>
      </c>
      <c r="S242" s="37" t="s">
        <v>219</v>
      </c>
      <c r="T242" s="48">
        <v>5</v>
      </c>
      <c r="U242" s="30">
        <f>M242/W242</f>
        <v>18666.400000000001</v>
      </c>
      <c r="V242" s="41">
        <f t="shared" si="55"/>
        <v>93332</v>
      </c>
      <c r="W242" s="41">
        <f t="shared" si="54"/>
        <v>12830</v>
      </c>
      <c r="X242" s="41">
        <v>4390</v>
      </c>
      <c r="Y242" s="41"/>
      <c r="Z242" s="41"/>
      <c r="AA242" s="41"/>
      <c r="AB242" s="41"/>
      <c r="AC242" s="41">
        <v>1650</v>
      </c>
      <c r="AD242" s="41"/>
      <c r="AE242" s="41"/>
      <c r="AF242" s="41"/>
      <c r="AG242" s="41"/>
      <c r="AH242" s="41">
        <f>5590+1200</f>
        <v>6790</v>
      </c>
      <c r="AI242" s="41"/>
      <c r="AJ242" s="41"/>
      <c r="AK242" s="41"/>
      <c r="AL242" s="41"/>
      <c r="AM242" s="41"/>
      <c r="AN242" s="41">
        <f t="shared" si="56"/>
        <v>2566</v>
      </c>
      <c r="AO242" s="41">
        <f t="shared" si="52"/>
        <v>2566</v>
      </c>
      <c r="AP242" s="40" t="s">
        <v>1610</v>
      </c>
      <c r="AQ242" s="36">
        <v>44972</v>
      </c>
      <c r="AR242" s="36">
        <v>45031</v>
      </c>
      <c r="AS242" s="36">
        <v>45184</v>
      </c>
      <c r="AT242" s="36">
        <v>44986</v>
      </c>
      <c r="AU242" s="36">
        <v>45046</v>
      </c>
      <c r="AV242" s="38">
        <v>45199</v>
      </c>
      <c r="AW242" s="40" t="s">
        <v>87</v>
      </c>
    </row>
    <row r="243" spans="1:49" s="34" customFormat="1" ht="78" x14ac:dyDescent="0.3">
      <c r="A243" s="39" t="s">
        <v>1611</v>
      </c>
      <c r="B243" s="36">
        <v>44897</v>
      </c>
      <c r="C243" s="37">
        <v>545</v>
      </c>
      <c r="D243" s="39" t="s">
        <v>1612</v>
      </c>
      <c r="E243" s="1" t="s">
        <v>1613</v>
      </c>
      <c r="F243" s="36">
        <v>44921</v>
      </c>
      <c r="G243" s="37" t="s">
        <v>1614</v>
      </c>
      <c r="H243" s="40" t="s">
        <v>878</v>
      </c>
      <c r="I243" s="40" t="s">
        <v>1486</v>
      </c>
      <c r="J243" s="41">
        <v>294445151</v>
      </c>
      <c r="K243" s="41">
        <v>294445151</v>
      </c>
      <c r="L243" s="30">
        <f t="shared" si="57"/>
        <v>294445151</v>
      </c>
      <c r="M243" s="30">
        <f t="shared" si="53"/>
        <v>294445151</v>
      </c>
      <c r="N243" s="40" t="s">
        <v>1487</v>
      </c>
      <c r="O243" s="40" t="s">
        <v>1488</v>
      </c>
      <c r="P243" s="40" t="s">
        <v>348</v>
      </c>
      <c r="Q243" s="44">
        <v>0</v>
      </c>
      <c r="R243" s="37">
        <v>100</v>
      </c>
      <c r="S243" s="37" t="s">
        <v>1489</v>
      </c>
      <c r="T243" s="48">
        <v>2</v>
      </c>
      <c r="U243" s="30">
        <f>M243/W243</f>
        <v>333082.75</v>
      </c>
      <c r="V243" s="41">
        <f t="shared" si="55"/>
        <v>666165.5</v>
      </c>
      <c r="W243" s="41">
        <f t="shared" si="54"/>
        <v>884</v>
      </c>
      <c r="X243" s="41">
        <v>328</v>
      </c>
      <c r="Y243" s="41"/>
      <c r="Z243" s="41"/>
      <c r="AA243" s="41"/>
      <c r="AB243" s="41"/>
      <c r="AC243" s="41">
        <v>556</v>
      </c>
      <c r="AD243" s="41"/>
      <c r="AE243" s="41"/>
      <c r="AF243" s="41"/>
      <c r="AG243" s="41"/>
      <c r="AH243" s="41"/>
      <c r="AI243" s="41"/>
      <c r="AJ243" s="41"/>
      <c r="AK243" s="41"/>
      <c r="AL243" s="41"/>
      <c r="AM243" s="41"/>
      <c r="AN243" s="41">
        <f t="shared" si="56"/>
        <v>442</v>
      </c>
      <c r="AO243" s="41">
        <f t="shared" si="52"/>
        <v>442</v>
      </c>
      <c r="AP243" s="40" t="s">
        <v>1615</v>
      </c>
      <c r="AQ243" s="36">
        <v>44986</v>
      </c>
      <c r="AR243" s="36">
        <v>45047</v>
      </c>
      <c r="AS243" s="36"/>
      <c r="AT243" s="36">
        <v>45000</v>
      </c>
      <c r="AU243" s="36">
        <v>45061</v>
      </c>
      <c r="AV243" s="38"/>
      <c r="AW243" s="40" t="s">
        <v>87</v>
      </c>
    </row>
    <row r="244" spans="1:49" s="34" customFormat="1" ht="111.6" customHeight="1" x14ac:dyDescent="0.3">
      <c r="A244" s="39" t="s">
        <v>1616</v>
      </c>
      <c r="B244" s="36">
        <v>44897</v>
      </c>
      <c r="C244" s="37">
        <v>545</v>
      </c>
      <c r="D244" s="39" t="s">
        <v>1617</v>
      </c>
      <c r="E244" s="1" t="s">
        <v>1618</v>
      </c>
      <c r="F244" s="36">
        <v>44921</v>
      </c>
      <c r="G244" s="37" t="s">
        <v>1619</v>
      </c>
      <c r="H244" s="40" t="s">
        <v>224</v>
      </c>
      <c r="I244" s="40" t="s">
        <v>1588</v>
      </c>
      <c r="J244" s="41">
        <v>184424032</v>
      </c>
      <c r="K244" s="41">
        <v>184424032</v>
      </c>
      <c r="L244" s="30">
        <f t="shared" si="57"/>
        <v>184424032</v>
      </c>
      <c r="M244" s="30">
        <f t="shared" si="53"/>
        <v>184424032</v>
      </c>
      <c r="N244" s="40" t="s">
        <v>1589</v>
      </c>
      <c r="O244" s="40" t="s">
        <v>1590</v>
      </c>
      <c r="P244" s="40" t="s">
        <v>218</v>
      </c>
      <c r="Q244" s="44">
        <v>0</v>
      </c>
      <c r="R244" s="37">
        <v>100</v>
      </c>
      <c r="S244" s="37" t="s">
        <v>219</v>
      </c>
      <c r="T244" s="48">
        <v>5</v>
      </c>
      <c r="U244" s="30">
        <f>M244/W244</f>
        <v>18666.400000000001</v>
      </c>
      <c r="V244" s="41">
        <f t="shared" si="55"/>
        <v>93332</v>
      </c>
      <c r="W244" s="41">
        <f t="shared" si="54"/>
        <v>9880</v>
      </c>
      <c r="X244" s="41">
        <v>3730</v>
      </c>
      <c r="Y244" s="41"/>
      <c r="Z244" s="41"/>
      <c r="AA244" s="41"/>
      <c r="AB244" s="41"/>
      <c r="AC244" s="41">
        <v>1400</v>
      </c>
      <c r="AD244" s="41"/>
      <c r="AE244" s="41"/>
      <c r="AF244" s="41"/>
      <c r="AG244" s="41"/>
      <c r="AH244" s="41">
        <v>4750</v>
      </c>
      <c r="AI244" s="41"/>
      <c r="AJ244" s="41"/>
      <c r="AK244" s="41"/>
      <c r="AL244" s="41"/>
      <c r="AM244" s="41"/>
      <c r="AN244" s="41">
        <f t="shared" si="56"/>
        <v>1976</v>
      </c>
      <c r="AO244" s="41">
        <f t="shared" si="52"/>
        <v>1976</v>
      </c>
      <c r="AP244" s="40" t="s">
        <v>1578</v>
      </c>
      <c r="AQ244" s="36">
        <v>44972</v>
      </c>
      <c r="AR244" s="36">
        <v>45031</v>
      </c>
      <c r="AS244" s="36">
        <v>45184</v>
      </c>
      <c r="AT244" s="36">
        <v>44986</v>
      </c>
      <c r="AU244" s="36">
        <v>45046</v>
      </c>
      <c r="AV244" s="38">
        <v>45199</v>
      </c>
      <c r="AW244" s="40" t="s">
        <v>68</v>
      </c>
    </row>
    <row r="245" spans="1:49" s="34" customFormat="1" ht="109.5" customHeight="1" x14ac:dyDescent="0.3">
      <c r="A245" s="39" t="s">
        <v>1620</v>
      </c>
      <c r="B245" s="36">
        <v>44897</v>
      </c>
      <c r="C245" s="37">
        <v>545</v>
      </c>
      <c r="D245" s="39" t="s">
        <v>1621</v>
      </c>
      <c r="E245" s="1" t="s">
        <v>1622</v>
      </c>
      <c r="F245" s="36">
        <v>44921</v>
      </c>
      <c r="G245" s="37" t="s">
        <v>1623</v>
      </c>
      <c r="H245" s="40" t="s">
        <v>224</v>
      </c>
      <c r="I245" s="40" t="s">
        <v>1588</v>
      </c>
      <c r="J245" s="41">
        <v>193757232</v>
      </c>
      <c r="K245" s="41">
        <v>193757232</v>
      </c>
      <c r="L245" s="30">
        <f t="shared" si="57"/>
        <v>193757232</v>
      </c>
      <c r="M245" s="30">
        <f t="shared" si="53"/>
        <v>193757232</v>
      </c>
      <c r="N245" s="40" t="s">
        <v>1589</v>
      </c>
      <c r="O245" s="40" t="s">
        <v>1590</v>
      </c>
      <c r="P245" s="40" t="s">
        <v>218</v>
      </c>
      <c r="Q245" s="44">
        <v>0</v>
      </c>
      <c r="R245" s="37">
        <v>100</v>
      </c>
      <c r="S245" s="37" t="s">
        <v>219</v>
      </c>
      <c r="T245" s="48">
        <v>5</v>
      </c>
      <c r="U245" s="30">
        <f>M245/W245</f>
        <v>18666.400000000001</v>
      </c>
      <c r="V245" s="41">
        <f t="shared" si="55"/>
        <v>93332</v>
      </c>
      <c r="W245" s="41">
        <f t="shared" si="54"/>
        <v>10380</v>
      </c>
      <c r="X245" s="41">
        <v>10380</v>
      </c>
      <c r="Y245" s="41"/>
      <c r="Z245" s="41"/>
      <c r="AA245" s="41"/>
      <c r="AB245" s="41"/>
      <c r="AC245" s="41"/>
      <c r="AD245" s="41"/>
      <c r="AE245" s="41"/>
      <c r="AF245" s="41"/>
      <c r="AG245" s="41"/>
      <c r="AH245" s="41"/>
      <c r="AI245" s="41"/>
      <c r="AJ245" s="41"/>
      <c r="AK245" s="41"/>
      <c r="AL245" s="41"/>
      <c r="AM245" s="41"/>
      <c r="AN245" s="41">
        <f t="shared" si="56"/>
        <v>2076</v>
      </c>
      <c r="AO245" s="41">
        <f t="shared" si="52"/>
        <v>2076</v>
      </c>
      <c r="AP245" s="40" t="s">
        <v>1624</v>
      </c>
      <c r="AQ245" s="36">
        <v>45184</v>
      </c>
      <c r="AR245" s="36"/>
      <c r="AS245" s="36"/>
      <c r="AT245" s="38">
        <v>45199</v>
      </c>
      <c r="AU245" s="36"/>
      <c r="AV245" s="38"/>
      <c r="AW245" s="40" t="s">
        <v>49</v>
      </c>
    </row>
    <row r="246" spans="1:49" s="34" customFormat="1" ht="78" x14ac:dyDescent="0.3">
      <c r="A246" s="39" t="s">
        <v>1625</v>
      </c>
      <c r="B246" s="36">
        <v>44897</v>
      </c>
      <c r="C246" s="37">
        <v>545</v>
      </c>
      <c r="D246" s="39" t="s">
        <v>1626</v>
      </c>
      <c r="E246" s="1" t="s">
        <v>1627</v>
      </c>
      <c r="F246" s="36">
        <v>44925</v>
      </c>
      <c r="G246" s="37" t="s">
        <v>1628</v>
      </c>
      <c r="H246" s="40" t="s">
        <v>878</v>
      </c>
      <c r="I246" s="40" t="s">
        <v>1486</v>
      </c>
      <c r="J246" s="41">
        <v>333082750</v>
      </c>
      <c r="K246" s="41">
        <v>333082750</v>
      </c>
      <c r="L246" s="30">
        <f t="shared" si="57"/>
        <v>333082750</v>
      </c>
      <c r="M246" s="30">
        <f t="shared" si="53"/>
        <v>333082750</v>
      </c>
      <c r="N246" s="40" t="s">
        <v>1487</v>
      </c>
      <c r="O246" s="40" t="s">
        <v>1488</v>
      </c>
      <c r="P246" s="40" t="s">
        <v>348</v>
      </c>
      <c r="Q246" s="44">
        <v>0</v>
      </c>
      <c r="R246" s="37">
        <v>100</v>
      </c>
      <c r="S246" s="37" t="s">
        <v>1489</v>
      </c>
      <c r="T246" s="48">
        <v>2</v>
      </c>
      <c r="U246" s="30">
        <f>M246/W246</f>
        <v>333082.75</v>
      </c>
      <c r="V246" s="41">
        <f t="shared" si="55"/>
        <v>666165.5</v>
      </c>
      <c r="W246" s="41">
        <f t="shared" si="54"/>
        <v>1000</v>
      </c>
      <c r="X246" s="41">
        <v>1000</v>
      </c>
      <c r="Y246" s="41"/>
      <c r="Z246" s="41"/>
      <c r="AA246" s="41"/>
      <c r="AB246" s="41"/>
      <c r="AC246" s="41"/>
      <c r="AD246" s="41"/>
      <c r="AE246" s="41"/>
      <c r="AF246" s="41"/>
      <c r="AG246" s="41"/>
      <c r="AH246" s="41"/>
      <c r="AI246" s="41"/>
      <c r="AJ246" s="41"/>
      <c r="AK246" s="41"/>
      <c r="AL246" s="41"/>
      <c r="AM246" s="41"/>
      <c r="AN246" s="41">
        <f t="shared" si="56"/>
        <v>500</v>
      </c>
      <c r="AO246" s="41">
        <f t="shared" si="52"/>
        <v>500</v>
      </c>
      <c r="AP246" s="40" t="s">
        <v>1265</v>
      </c>
      <c r="AQ246" s="36">
        <v>45047</v>
      </c>
      <c r="AR246" s="36"/>
      <c r="AS246" s="36"/>
      <c r="AT246" s="36">
        <v>45061</v>
      </c>
      <c r="AU246" s="36"/>
      <c r="AV246" s="38"/>
      <c r="AW246" s="40" t="s">
        <v>87</v>
      </c>
    </row>
    <row r="247" spans="1:49" s="34" customFormat="1" ht="78" x14ac:dyDescent="0.3">
      <c r="A247" s="39" t="s">
        <v>1629</v>
      </c>
      <c r="B247" s="36">
        <v>44897</v>
      </c>
      <c r="C247" s="37">
        <v>545</v>
      </c>
      <c r="D247" s="39" t="s">
        <v>1630</v>
      </c>
      <c r="E247" s="1" t="s">
        <v>1631</v>
      </c>
      <c r="F247" s="36">
        <v>44925</v>
      </c>
      <c r="G247" s="37" t="s">
        <v>1632</v>
      </c>
      <c r="H247" s="40" t="s">
        <v>878</v>
      </c>
      <c r="I247" s="40" t="s">
        <v>1486</v>
      </c>
      <c r="J247" s="41">
        <v>442333892</v>
      </c>
      <c r="K247" s="41">
        <v>442333892</v>
      </c>
      <c r="L247" s="30">
        <f t="shared" si="57"/>
        <v>442333892</v>
      </c>
      <c r="M247" s="30">
        <f t="shared" si="53"/>
        <v>442333892</v>
      </c>
      <c r="N247" s="40" t="s">
        <v>1487</v>
      </c>
      <c r="O247" s="40" t="s">
        <v>1488</v>
      </c>
      <c r="P247" s="40" t="s">
        <v>348</v>
      </c>
      <c r="Q247" s="44">
        <v>0</v>
      </c>
      <c r="R247" s="37">
        <v>100</v>
      </c>
      <c r="S247" s="37" t="s">
        <v>1489</v>
      </c>
      <c r="T247" s="48">
        <v>2</v>
      </c>
      <c r="U247" s="30">
        <f>M247/W247</f>
        <v>333082.75</v>
      </c>
      <c r="V247" s="41">
        <f t="shared" si="55"/>
        <v>666165.5</v>
      </c>
      <c r="W247" s="41">
        <f t="shared" si="54"/>
        <v>1328</v>
      </c>
      <c r="X247" s="41">
        <v>1328</v>
      </c>
      <c r="Y247" s="41"/>
      <c r="Z247" s="41"/>
      <c r="AA247" s="41"/>
      <c r="AB247" s="41"/>
      <c r="AC247" s="41"/>
      <c r="AD247" s="41"/>
      <c r="AE247" s="41"/>
      <c r="AF247" s="41"/>
      <c r="AG247" s="41"/>
      <c r="AH247" s="41"/>
      <c r="AI247" s="41"/>
      <c r="AJ247" s="41"/>
      <c r="AK247" s="41"/>
      <c r="AL247" s="41"/>
      <c r="AM247" s="41"/>
      <c r="AN247" s="41">
        <f t="shared" si="56"/>
        <v>664</v>
      </c>
      <c r="AO247" s="41">
        <f t="shared" si="52"/>
        <v>664</v>
      </c>
      <c r="AP247" s="40" t="s">
        <v>1265</v>
      </c>
      <c r="AQ247" s="36">
        <v>44986</v>
      </c>
      <c r="AR247" s="36"/>
      <c r="AS247" s="36"/>
      <c r="AT247" s="36">
        <v>45000</v>
      </c>
      <c r="AU247" s="36"/>
      <c r="AV247" s="38"/>
      <c r="AW247" s="40" t="s">
        <v>87</v>
      </c>
    </row>
    <row r="248" spans="1:49" s="34" customFormat="1" ht="78" x14ac:dyDescent="0.3">
      <c r="A248" s="39" t="s">
        <v>1633</v>
      </c>
      <c r="B248" s="36">
        <v>44897</v>
      </c>
      <c r="C248" s="37">
        <v>545</v>
      </c>
      <c r="D248" s="39" t="s">
        <v>1634</v>
      </c>
      <c r="E248" s="1" t="s">
        <v>1635</v>
      </c>
      <c r="F248" s="36">
        <v>44925</v>
      </c>
      <c r="G248" s="37" t="s">
        <v>1636</v>
      </c>
      <c r="H248" s="40" t="s">
        <v>878</v>
      </c>
      <c r="I248" s="40" t="s">
        <v>1486</v>
      </c>
      <c r="J248" s="41">
        <v>399699300</v>
      </c>
      <c r="K248" s="41">
        <v>399699300</v>
      </c>
      <c r="L248" s="30">
        <f t="shared" si="57"/>
        <v>399699300</v>
      </c>
      <c r="M248" s="30">
        <f t="shared" si="53"/>
        <v>399699300</v>
      </c>
      <c r="N248" s="40" t="s">
        <v>1487</v>
      </c>
      <c r="O248" s="40" t="s">
        <v>1488</v>
      </c>
      <c r="P248" s="40" t="s">
        <v>348</v>
      </c>
      <c r="Q248" s="44">
        <v>0</v>
      </c>
      <c r="R248" s="37">
        <v>100</v>
      </c>
      <c r="S248" s="37" t="s">
        <v>1489</v>
      </c>
      <c r="T248" s="48">
        <v>2</v>
      </c>
      <c r="U248" s="30">
        <f>M248/W248</f>
        <v>333082.75</v>
      </c>
      <c r="V248" s="41">
        <f t="shared" si="55"/>
        <v>666165.5</v>
      </c>
      <c r="W248" s="41">
        <f t="shared" si="54"/>
        <v>1200</v>
      </c>
      <c r="X248" s="41">
        <v>1200</v>
      </c>
      <c r="Y248" s="41"/>
      <c r="Z248" s="41"/>
      <c r="AA248" s="41"/>
      <c r="AB248" s="41"/>
      <c r="AC248" s="41"/>
      <c r="AD248" s="41"/>
      <c r="AE248" s="41"/>
      <c r="AF248" s="41"/>
      <c r="AG248" s="41"/>
      <c r="AH248" s="41"/>
      <c r="AI248" s="41"/>
      <c r="AJ248" s="41"/>
      <c r="AK248" s="41"/>
      <c r="AL248" s="41"/>
      <c r="AM248" s="41"/>
      <c r="AN248" s="41">
        <f t="shared" si="56"/>
        <v>600</v>
      </c>
      <c r="AO248" s="41">
        <f t="shared" si="52"/>
        <v>600</v>
      </c>
      <c r="AP248" s="40" t="s">
        <v>1578</v>
      </c>
      <c r="AQ248" s="36">
        <v>44986</v>
      </c>
      <c r="AR248" s="36"/>
      <c r="AS248" s="36"/>
      <c r="AT248" s="36">
        <v>45000</v>
      </c>
      <c r="AU248" s="36"/>
      <c r="AV248" s="38"/>
      <c r="AW248" s="40" t="s">
        <v>87</v>
      </c>
    </row>
    <row r="249" spans="1:49" s="34" customFormat="1" ht="121.95" customHeight="1" x14ac:dyDescent="0.3">
      <c r="A249" s="39" t="s">
        <v>1637</v>
      </c>
      <c r="B249" s="36">
        <v>44897</v>
      </c>
      <c r="C249" s="37">
        <v>545</v>
      </c>
      <c r="D249" s="39" t="s">
        <v>1638</v>
      </c>
      <c r="E249" s="1" t="s">
        <v>1639</v>
      </c>
      <c r="F249" s="36">
        <v>44921</v>
      </c>
      <c r="G249" s="37" t="s">
        <v>1640</v>
      </c>
      <c r="H249" s="40" t="s">
        <v>224</v>
      </c>
      <c r="I249" s="40" t="s">
        <v>1588</v>
      </c>
      <c r="J249" s="41">
        <v>144291272</v>
      </c>
      <c r="K249" s="41">
        <v>144291272</v>
      </c>
      <c r="L249" s="30">
        <f t="shared" si="57"/>
        <v>144291272</v>
      </c>
      <c r="M249" s="30">
        <f t="shared" si="53"/>
        <v>144291272</v>
      </c>
      <c r="N249" s="40" t="s">
        <v>1589</v>
      </c>
      <c r="O249" s="40" t="s">
        <v>1590</v>
      </c>
      <c r="P249" s="40" t="s">
        <v>218</v>
      </c>
      <c r="Q249" s="44">
        <v>0</v>
      </c>
      <c r="R249" s="37">
        <v>100</v>
      </c>
      <c r="S249" s="37" t="s">
        <v>219</v>
      </c>
      <c r="T249" s="48">
        <v>5</v>
      </c>
      <c r="U249" s="30">
        <f>M249/W249</f>
        <v>18666.400000000001</v>
      </c>
      <c r="V249" s="41">
        <f t="shared" si="55"/>
        <v>93332</v>
      </c>
      <c r="W249" s="41">
        <f t="shared" si="54"/>
        <v>7730</v>
      </c>
      <c r="X249" s="41">
        <v>2915</v>
      </c>
      <c r="Y249" s="41"/>
      <c r="Z249" s="41"/>
      <c r="AA249" s="41"/>
      <c r="AB249" s="41"/>
      <c r="AC249" s="41">
        <v>1095</v>
      </c>
      <c r="AD249" s="41"/>
      <c r="AE249" s="41"/>
      <c r="AF249" s="41"/>
      <c r="AG249" s="41"/>
      <c r="AH249" s="41">
        <v>3720</v>
      </c>
      <c r="AI249" s="41"/>
      <c r="AJ249" s="41"/>
      <c r="AK249" s="41"/>
      <c r="AL249" s="41"/>
      <c r="AM249" s="41"/>
      <c r="AN249" s="41">
        <f t="shared" si="56"/>
        <v>1546</v>
      </c>
      <c r="AO249" s="41">
        <f t="shared" si="52"/>
        <v>1546</v>
      </c>
      <c r="AP249" s="40" t="s">
        <v>1641</v>
      </c>
      <c r="AQ249" s="36">
        <v>44972</v>
      </c>
      <c r="AR249" s="36">
        <v>45031</v>
      </c>
      <c r="AS249" s="36">
        <v>45184</v>
      </c>
      <c r="AT249" s="36">
        <v>44986</v>
      </c>
      <c r="AU249" s="36">
        <v>45046</v>
      </c>
      <c r="AV249" s="38">
        <v>45199</v>
      </c>
      <c r="AW249" s="40" t="s">
        <v>68</v>
      </c>
    </row>
    <row r="250" spans="1:49" s="34" customFormat="1" ht="78" x14ac:dyDescent="0.3">
      <c r="A250" s="39" t="s">
        <v>1642</v>
      </c>
      <c r="B250" s="36">
        <v>44900</v>
      </c>
      <c r="C250" s="37">
        <v>545</v>
      </c>
      <c r="D250" s="39" t="s">
        <v>1643</v>
      </c>
      <c r="E250" s="1" t="s">
        <v>1644</v>
      </c>
      <c r="F250" s="36">
        <v>44922</v>
      </c>
      <c r="G250" s="37" t="s">
        <v>1645</v>
      </c>
      <c r="H250" s="40" t="s">
        <v>878</v>
      </c>
      <c r="I250" s="40" t="s">
        <v>1486</v>
      </c>
      <c r="J250" s="41">
        <v>283786503</v>
      </c>
      <c r="K250" s="41">
        <v>283786503</v>
      </c>
      <c r="L250" s="30">
        <f t="shared" si="57"/>
        <v>283786503</v>
      </c>
      <c r="M250" s="30">
        <f t="shared" si="53"/>
        <v>283786503</v>
      </c>
      <c r="N250" s="40" t="s">
        <v>1487</v>
      </c>
      <c r="O250" s="40" t="s">
        <v>1488</v>
      </c>
      <c r="P250" s="40" t="s">
        <v>348</v>
      </c>
      <c r="Q250" s="44">
        <v>0</v>
      </c>
      <c r="R250" s="37">
        <v>100</v>
      </c>
      <c r="S250" s="37" t="s">
        <v>1489</v>
      </c>
      <c r="T250" s="48">
        <v>2</v>
      </c>
      <c r="U250" s="30">
        <f>M250/W250</f>
        <v>333082.75</v>
      </c>
      <c r="V250" s="41">
        <f t="shared" si="55"/>
        <v>666165.5</v>
      </c>
      <c r="W250" s="41">
        <f t="shared" si="54"/>
        <v>852</v>
      </c>
      <c r="X250" s="41">
        <v>316</v>
      </c>
      <c r="Y250" s="41"/>
      <c r="Z250" s="41"/>
      <c r="AA250" s="41"/>
      <c r="AB250" s="41"/>
      <c r="AC250" s="41">
        <v>536</v>
      </c>
      <c r="AD250" s="41"/>
      <c r="AE250" s="41"/>
      <c r="AF250" s="41"/>
      <c r="AG250" s="41"/>
      <c r="AH250" s="41"/>
      <c r="AI250" s="41"/>
      <c r="AJ250" s="41"/>
      <c r="AK250" s="41"/>
      <c r="AL250" s="41"/>
      <c r="AM250" s="41"/>
      <c r="AN250" s="41">
        <f t="shared" si="56"/>
        <v>426</v>
      </c>
      <c r="AO250" s="41">
        <f t="shared" si="52"/>
        <v>426</v>
      </c>
      <c r="AP250" s="40" t="s">
        <v>1646</v>
      </c>
      <c r="AQ250" s="36">
        <v>44986</v>
      </c>
      <c r="AR250" s="36">
        <v>45047</v>
      </c>
      <c r="AS250" s="36"/>
      <c r="AT250" s="36">
        <v>45000</v>
      </c>
      <c r="AU250" s="36">
        <v>45061</v>
      </c>
      <c r="AV250" s="38"/>
      <c r="AW250" s="40" t="s">
        <v>87</v>
      </c>
    </row>
    <row r="251" spans="1:49" s="34" customFormat="1" ht="78" x14ac:dyDescent="0.3">
      <c r="A251" s="39" t="s">
        <v>1647</v>
      </c>
      <c r="B251" s="36">
        <v>44900</v>
      </c>
      <c r="C251" s="37">
        <v>545</v>
      </c>
      <c r="D251" s="39" t="s">
        <v>1648</v>
      </c>
      <c r="E251" s="1" t="s">
        <v>1649</v>
      </c>
      <c r="F251" s="36">
        <v>44922</v>
      </c>
      <c r="G251" s="37" t="s">
        <v>1650</v>
      </c>
      <c r="H251" s="40" t="s">
        <v>878</v>
      </c>
      <c r="I251" s="40" t="s">
        <v>1486</v>
      </c>
      <c r="J251" s="41">
        <v>279789510</v>
      </c>
      <c r="K251" s="41">
        <v>279789510</v>
      </c>
      <c r="L251" s="30">
        <f t="shared" si="57"/>
        <v>279789510</v>
      </c>
      <c r="M251" s="30">
        <f t="shared" si="53"/>
        <v>279789510</v>
      </c>
      <c r="N251" s="40" t="s">
        <v>1487</v>
      </c>
      <c r="O251" s="40" t="s">
        <v>1488</v>
      </c>
      <c r="P251" s="40" t="s">
        <v>348</v>
      </c>
      <c r="Q251" s="44">
        <v>0</v>
      </c>
      <c r="R251" s="37">
        <v>100</v>
      </c>
      <c r="S251" s="37" t="s">
        <v>1489</v>
      </c>
      <c r="T251" s="48">
        <v>2</v>
      </c>
      <c r="U251" s="30">
        <f>M251/W251</f>
        <v>333082.75</v>
      </c>
      <c r="V251" s="41">
        <f t="shared" si="55"/>
        <v>666165.5</v>
      </c>
      <c r="W251" s="41">
        <f t="shared" si="54"/>
        <v>840</v>
      </c>
      <c r="X251" s="41">
        <v>840</v>
      </c>
      <c r="Y251" s="41">
        <v>0</v>
      </c>
      <c r="Z251" s="41">
        <v>0</v>
      </c>
      <c r="AA251" s="41">
        <v>0</v>
      </c>
      <c r="AB251" s="41">
        <v>0</v>
      </c>
      <c r="AC251" s="41">
        <v>0</v>
      </c>
      <c r="AD251" s="41">
        <v>0</v>
      </c>
      <c r="AE251" s="41">
        <v>0</v>
      </c>
      <c r="AF251" s="41">
        <v>0</v>
      </c>
      <c r="AG251" s="41">
        <v>0</v>
      </c>
      <c r="AH251" s="41">
        <v>0</v>
      </c>
      <c r="AI251" s="41">
        <v>0</v>
      </c>
      <c r="AJ251" s="41">
        <v>0</v>
      </c>
      <c r="AK251" s="41">
        <v>0</v>
      </c>
      <c r="AL251" s="41">
        <v>0</v>
      </c>
      <c r="AM251" s="41"/>
      <c r="AN251" s="41">
        <f t="shared" si="56"/>
        <v>420</v>
      </c>
      <c r="AO251" s="41">
        <f t="shared" si="52"/>
        <v>420</v>
      </c>
      <c r="AP251" s="40" t="s">
        <v>1573</v>
      </c>
      <c r="AQ251" s="36">
        <v>45047</v>
      </c>
      <c r="AR251" s="36"/>
      <c r="AS251" s="36"/>
      <c r="AT251" s="36">
        <v>45061</v>
      </c>
      <c r="AU251" s="36"/>
      <c r="AV251" s="38"/>
      <c r="AW251" s="40" t="s">
        <v>87</v>
      </c>
    </row>
    <row r="252" spans="1:49" s="34" customFormat="1" ht="78" x14ac:dyDescent="0.3">
      <c r="A252" s="39" t="s">
        <v>1651</v>
      </c>
      <c r="B252" s="36">
        <v>44900</v>
      </c>
      <c r="C252" s="37">
        <v>545</v>
      </c>
      <c r="D252" s="39" t="s">
        <v>1652</v>
      </c>
      <c r="E252" s="1" t="s">
        <v>1653</v>
      </c>
      <c r="F252" s="36">
        <v>44922</v>
      </c>
      <c r="G252" s="37" t="s">
        <v>1654</v>
      </c>
      <c r="H252" s="40" t="s">
        <v>878</v>
      </c>
      <c r="I252" s="40" t="s">
        <v>1655</v>
      </c>
      <c r="J252" s="41">
        <v>266466200</v>
      </c>
      <c r="K252" s="41">
        <v>266466200</v>
      </c>
      <c r="L252" s="30">
        <f t="shared" si="57"/>
        <v>266466200</v>
      </c>
      <c r="M252" s="30">
        <f t="shared" si="53"/>
        <v>266466200</v>
      </c>
      <c r="N252" s="40" t="s">
        <v>1487</v>
      </c>
      <c r="O252" s="40" t="s">
        <v>1488</v>
      </c>
      <c r="P252" s="40" t="s">
        <v>348</v>
      </c>
      <c r="Q252" s="44">
        <v>0</v>
      </c>
      <c r="R252" s="37">
        <v>100</v>
      </c>
      <c r="S252" s="37" t="s">
        <v>1489</v>
      </c>
      <c r="T252" s="48">
        <v>2</v>
      </c>
      <c r="U252" s="30">
        <f>M252/W252</f>
        <v>333082.75</v>
      </c>
      <c r="V252" s="41">
        <f t="shared" si="55"/>
        <v>666165.5</v>
      </c>
      <c r="W252" s="41">
        <f t="shared" si="54"/>
        <v>800</v>
      </c>
      <c r="X252" s="41">
        <v>800</v>
      </c>
      <c r="Y252" s="41">
        <v>0</v>
      </c>
      <c r="Z252" s="41">
        <v>0</v>
      </c>
      <c r="AA252" s="41">
        <v>0</v>
      </c>
      <c r="AB252" s="41">
        <v>0</v>
      </c>
      <c r="AC252" s="41">
        <v>0</v>
      </c>
      <c r="AD252" s="41">
        <v>0</v>
      </c>
      <c r="AE252" s="41">
        <v>0</v>
      </c>
      <c r="AF252" s="41">
        <v>0</v>
      </c>
      <c r="AG252" s="41">
        <v>0</v>
      </c>
      <c r="AH252" s="41">
        <v>0</v>
      </c>
      <c r="AI252" s="41">
        <v>0</v>
      </c>
      <c r="AJ252" s="41">
        <v>0</v>
      </c>
      <c r="AK252" s="41">
        <v>0</v>
      </c>
      <c r="AL252" s="41">
        <v>0</v>
      </c>
      <c r="AM252" s="41"/>
      <c r="AN252" s="41">
        <f t="shared" si="56"/>
        <v>400</v>
      </c>
      <c r="AO252" s="41">
        <f t="shared" si="52"/>
        <v>400</v>
      </c>
      <c r="AP252" s="40" t="s">
        <v>1377</v>
      </c>
      <c r="AQ252" s="36">
        <v>44986</v>
      </c>
      <c r="AR252" s="36"/>
      <c r="AS252" s="36"/>
      <c r="AT252" s="36">
        <v>45000</v>
      </c>
      <c r="AU252" s="36"/>
      <c r="AV252" s="38"/>
      <c r="AW252" s="40" t="s">
        <v>87</v>
      </c>
    </row>
    <row r="253" spans="1:49" s="34" customFormat="1" ht="93.6" x14ac:dyDescent="0.3">
      <c r="A253" s="39" t="s">
        <v>1656</v>
      </c>
      <c r="B253" s="36">
        <v>44900</v>
      </c>
      <c r="C253" s="37">
        <v>545</v>
      </c>
      <c r="D253" s="39" t="s">
        <v>1657</v>
      </c>
      <c r="E253" s="1" t="s">
        <v>1658</v>
      </c>
      <c r="F253" s="36">
        <v>44922</v>
      </c>
      <c r="G253" s="37" t="s">
        <v>1659</v>
      </c>
      <c r="H253" s="40" t="s">
        <v>224</v>
      </c>
      <c r="I253" s="40" t="s">
        <v>1660</v>
      </c>
      <c r="J253" s="41">
        <v>164173033.19999999</v>
      </c>
      <c r="K253" s="41">
        <v>164173033.19999999</v>
      </c>
      <c r="L253" s="30">
        <f t="shared" si="57"/>
        <v>164173033.19999999</v>
      </c>
      <c r="M253" s="30">
        <f t="shared" si="53"/>
        <v>164173033.19999999</v>
      </c>
      <c r="N253" s="40" t="s">
        <v>1661</v>
      </c>
      <c r="O253" s="40" t="s">
        <v>1662</v>
      </c>
      <c r="P253" s="40" t="s">
        <v>1032</v>
      </c>
      <c r="Q253" s="44">
        <v>0</v>
      </c>
      <c r="R253" s="37">
        <v>100</v>
      </c>
      <c r="S253" s="37" t="s">
        <v>1489</v>
      </c>
      <c r="T253" s="48">
        <v>15</v>
      </c>
      <c r="U253" s="30">
        <f>M253/W253</f>
        <v>25813.37</v>
      </c>
      <c r="V253" s="41">
        <f t="shared" si="55"/>
        <v>387200.55</v>
      </c>
      <c r="W253" s="41">
        <f t="shared" si="54"/>
        <v>6360</v>
      </c>
      <c r="X253" s="41">
        <v>6360</v>
      </c>
      <c r="Y253" s="41">
        <v>0</v>
      </c>
      <c r="Z253" s="41">
        <v>0</v>
      </c>
      <c r="AA253" s="41">
        <v>0</v>
      </c>
      <c r="AB253" s="41">
        <v>0</v>
      </c>
      <c r="AC253" s="41">
        <v>0</v>
      </c>
      <c r="AD253" s="41">
        <v>0</v>
      </c>
      <c r="AE253" s="41">
        <v>0</v>
      </c>
      <c r="AF253" s="41">
        <v>0</v>
      </c>
      <c r="AG253" s="41">
        <v>0</v>
      </c>
      <c r="AH253" s="41">
        <v>0</v>
      </c>
      <c r="AI253" s="41">
        <v>0</v>
      </c>
      <c r="AJ253" s="41">
        <v>0</v>
      </c>
      <c r="AK253" s="41">
        <v>0</v>
      </c>
      <c r="AL253" s="41">
        <v>0</v>
      </c>
      <c r="AM253" s="41"/>
      <c r="AN253" s="41">
        <f t="shared" si="56"/>
        <v>424</v>
      </c>
      <c r="AO253" s="41">
        <f t="shared" si="52"/>
        <v>424</v>
      </c>
      <c r="AP253" s="40" t="s">
        <v>1409</v>
      </c>
      <c r="AQ253" s="36">
        <v>44972</v>
      </c>
      <c r="AR253" s="36"/>
      <c r="AS253" s="36"/>
      <c r="AT253" s="36">
        <v>44986</v>
      </c>
      <c r="AU253" s="36"/>
      <c r="AV253" s="38"/>
      <c r="AW253" s="40" t="s">
        <v>87</v>
      </c>
    </row>
    <row r="254" spans="1:49" s="34" customFormat="1" ht="78" x14ac:dyDescent="0.3">
      <c r="A254" s="39" t="s">
        <v>1663</v>
      </c>
      <c r="B254" s="36">
        <v>44900</v>
      </c>
      <c r="C254" s="37">
        <v>545</v>
      </c>
      <c r="D254" s="39" t="s">
        <v>1664</v>
      </c>
      <c r="E254" s="1" t="s">
        <v>1665</v>
      </c>
      <c r="F254" s="36">
        <v>44922</v>
      </c>
      <c r="G254" s="37" t="s">
        <v>1666</v>
      </c>
      <c r="H254" s="40" t="s">
        <v>878</v>
      </c>
      <c r="I254" s="40" t="s">
        <v>1486</v>
      </c>
      <c r="J254" s="41">
        <v>145224079</v>
      </c>
      <c r="K254" s="41">
        <v>145224079</v>
      </c>
      <c r="L254" s="30">
        <f t="shared" si="57"/>
        <v>145224079</v>
      </c>
      <c r="M254" s="30">
        <f t="shared" si="53"/>
        <v>145224079</v>
      </c>
      <c r="N254" s="40" t="s">
        <v>1487</v>
      </c>
      <c r="O254" s="40" t="s">
        <v>1488</v>
      </c>
      <c r="P254" s="40" t="s">
        <v>348</v>
      </c>
      <c r="Q254" s="44">
        <v>0</v>
      </c>
      <c r="R254" s="37">
        <v>100</v>
      </c>
      <c r="S254" s="37" t="s">
        <v>1489</v>
      </c>
      <c r="T254" s="48">
        <v>2</v>
      </c>
      <c r="U254" s="30">
        <f>M254/W254</f>
        <v>333082.75</v>
      </c>
      <c r="V254" s="41">
        <f t="shared" si="55"/>
        <v>666165.5</v>
      </c>
      <c r="W254" s="41">
        <f t="shared" si="54"/>
        <v>436</v>
      </c>
      <c r="X254" s="41">
        <v>436</v>
      </c>
      <c r="Y254" s="41">
        <v>0</v>
      </c>
      <c r="Z254" s="41">
        <v>0</v>
      </c>
      <c r="AA254" s="41">
        <v>0</v>
      </c>
      <c r="AB254" s="41">
        <v>0</v>
      </c>
      <c r="AC254" s="41">
        <v>0</v>
      </c>
      <c r="AD254" s="41">
        <v>0</v>
      </c>
      <c r="AE254" s="41">
        <v>0</v>
      </c>
      <c r="AF254" s="41">
        <v>0</v>
      </c>
      <c r="AG254" s="41">
        <v>0</v>
      </c>
      <c r="AH254" s="41">
        <v>0</v>
      </c>
      <c r="AI254" s="41">
        <v>0</v>
      </c>
      <c r="AJ254" s="41">
        <v>0</v>
      </c>
      <c r="AK254" s="41">
        <v>0</v>
      </c>
      <c r="AL254" s="41">
        <v>0</v>
      </c>
      <c r="AM254" s="41"/>
      <c r="AN254" s="41">
        <f t="shared" si="56"/>
        <v>218</v>
      </c>
      <c r="AO254" s="41">
        <f t="shared" ref="AO254:AO317" si="58">_xlfn.CEILING.MATH(AN254)</f>
        <v>218</v>
      </c>
      <c r="AP254" s="40" t="s">
        <v>1377</v>
      </c>
      <c r="AQ254" s="36">
        <v>45047</v>
      </c>
      <c r="AR254" s="36"/>
      <c r="AS254" s="36"/>
      <c r="AT254" s="36">
        <v>45061</v>
      </c>
      <c r="AU254" s="36"/>
      <c r="AV254" s="38"/>
      <c r="AW254" s="40" t="s">
        <v>87</v>
      </c>
    </row>
    <row r="255" spans="1:49" s="34" customFormat="1" ht="103.5" customHeight="1" x14ac:dyDescent="0.3">
      <c r="A255" s="39" t="s">
        <v>1667</v>
      </c>
      <c r="B255" s="36">
        <v>44900</v>
      </c>
      <c r="C255" s="37">
        <v>545</v>
      </c>
      <c r="D255" s="39" t="s">
        <v>1668</v>
      </c>
      <c r="E255" s="1" t="s">
        <v>1669</v>
      </c>
      <c r="F255" s="36">
        <v>44922</v>
      </c>
      <c r="G255" s="37" t="s">
        <v>1670</v>
      </c>
      <c r="H255" s="40" t="s">
        <v>224</v>
      </c>
      <c r="I255" s="40" t="s">
        <v>1588</v>
      </c>
      <c r="J255" s="41">
        <v>203837088</v>
      </c>
      <c r="K255" s="41">
        <v>203837088</v>
      </c>
      <c r="L255" s="30">
        <v>215503588</v>
      </c>
      <c r="M255" s="30">
        <f t="shared" si="53"/>
        <v>215503588</v>
      </c>
      <c r="N255" s="40" t="s">
        <v>1589</v>
      </c>
      <c r="O255" s="40" t="s">
        <v>1671</v>
      </c>
      <c r="P255" s="40" t="s">
        <v>218</v>
      </c>
      <c r="Q255" s="44">
        <v>0</v>
      </c>
      <c r="R255" s="37">
        <v>100</v>
      </c>
      <c r="S255" s="37" t="s">
        <v>219</v>
      </c>
      <c r="T255" s="48">
        <v>5</v>
      </c>
      <c r="U255" s="30">
        <f>M255/W255</f>
        <v>18666.400000000001</v>
      </c>
      <c r="V255" s="41">
        <f t="shared" si="55"/>
        <v>93332</v>
      </c>
      <c r="W255" s="41">
        <f t="shared" si="54"/>
        <v>11545</v>
      </c>
      <c r="X255" s="41">
        <v>4120</v>
      </c>
      <c r="Y255" s="41">
        <v>0</v>
      </c>
      <c r="Z255" s="41">
        <v>0</v>
      </c>
      <c r="AA255" s="41">
        <v>0</v>
      </c>
      <c r="AB255" s="41">
        <v>0</v>
      </c>
      <c r="AC255" s="41">
        <v>1550</v>
      </c>
      <c r="AD255" s="41">
        <v>0</v>
      </c>
      <c r="AE255" s="41">
        <v>0</v>
      </c>
      <c r="AF255" s="41">
        <v>0</v>
      </c>
      <c r="AG255" s="41">
        <v>0</v>
      </c>
      <c r="AH255" s="41">
        <f>5250+625</f>
        <v>5875</v>
      </c>
      <c r="AI255" s="41">
        <v>0</v>
      </c>
      <c r="AJ255" s="41">
        <v>0</v>
      </c>
      <c r="AK255" s="41">
        <v>0</v>
      </c>
      <c r="AL255" s="41">
        <v>0</v>
      </c>
      <c r="AM255" s="41"/>
      <c r="AN255" s="41">
        <f t="shared" si="56"/>
        <v>2309</v>
      </c>
      <c r="AO255" s="41">
        <f t="shared" si="58"/>
        <v>2309</v>
      </c>
      <c r="AP255" s="40" t="s">
        <v>1672</v>
      </c>
      <c r="AQ255" s="36">
        <v>44972</v>
      </c>
      <c r="AR255" s="36">
        <v>45031</v>
      </c>
      <c r="AS255" s="36">
        <v>45184</v>
      </c>
      <c r="AT255" s="36">
        <v>44986</v>
      </c>
      <c r="AU255" s="36">
        <v>45046</v>
      </c>
      <c r="AV255" s="38">
        <v>45199</v>
      </c>
      <c r="AW255" s="40" t="s">
        <v>68</v>
      </c>
    </row>
    <row r="256" spans="1:49" s="34" customFormat="1" ht="123.75" customHeight="1" x14ac:dyDescent="0.3">
      <c r="A256" s="39" t="s">
        <v>1673</v>
      </c>
      <c r="B256" s="36">
        <v>44900</v>
      </c>
      <c r="C256" s="37">
        <v>545</v>
      </c>
      <c r="D256" s="39" t="s">
        <v>1674</v>
      </c>
      <c r="E256" s="1" t="s">
        <v>1675</v>
      </c>
      <c r="F256" s="36">
        <v>44922</v>
      </c>
      <c r="G256" s="37" t="s">
        <v>1676</v>
      </c>
      <c r="H256" s="40" t="s">
        <v>224</v>
      </c>
      <c r="I256" s="40" t="s">
        <v>1588</v>
      </c>
      <c r="J256" s="41">
        <v>209063680</v>
      </c>
      <c r="K256" s="41">
        <v>209063680</v>
      </c>
      <c r="L256" s="30">
        <f t="shared" si="57"/>
        <v>209063680</v>
      </c>
      <c r="M256" s="30">
        <f t="shared" si="53"/>
        <v>209063680</v>
      </c>
      <c r="N256" s="40" t="s">
        <v>1589</v>
      </c>
      <c r="O256" s="40" t="s">
        <v>1671</v>
      </c>
      <c r="P256" s="40" t="s">
        <v>218</v>
      </c>
      <c r="Q256" s="44">
        <v>0</v>
      </c>
      <c r="R256" s="37">
        <v>100</v>
      </c>
      <c r="S256" s="37" t="s">
        <v>219</v>
      </c>
      <c r="T256" s="48">
        <v>5</v>
      </c>
      <c r="U256" s="30">
        <f>M256/W256</f>
        <v>18666.400000000001</v>
      </c>
      <c r="V256" s="41">
        <f t="shared" si="55"/>
        <v>93332</v>
      </c>
      <c r="W256" s="41">
        <f t="shared" si="54"/>
        <v>11200</v>
      </c>
      <c r="X256" s="41">
        <v>8160</v>
      </c>
      <c r="Y256" s="41">
        <v>0</v>
      </c>
      <c r="Z256" s="41">
        <v>0</v>
      </c>
      <c r="AA256" s="41">
        <v>0</v>
      </c>
      <c r="AB256" s="41">
        <v>0</v>
      </c>
      <c r="AC256" s="41">
        <v>3040</v>
      </c>
      <c r="AD256" s="41">
        <v>0</v>
      </c>
      <c r="AE256" s="41">
        <v>0</v>
      </c>
      <c r="AF256" s="41">
        <v>0</v>
      </c>
      <c r="AG256" s="41">
        <v>0</v>
      </c>
      <c r="AH256" s="41">
        <v>0</v>
      </c>
      <c r="AI256" s="41">
        <v>0</v>
      </c>
      <c r="AJ256" s="41">
        <v>0</v>
      </c>
      <c r="AK256" s="41">
        <v>0</v>
      </c>
      <c r="AL256" s="41">
        <v>0</v>
      </c>
      <c r="AM256" s="41"/>
      <c r="AN256" s="41">
        <f t="shared" si="56"/>
        <v>2240</v>
      </c>
      <c r="AO256" s="41">
        <f t="shared" si="58"/>
        <v>2240</v>
      </c>
      <c r="AP256" s="40" t="s">
        <v>1624</v>
      </c>
      <c r="AQ256" s="36">
        <v>44972</v>
      </c>
      <c r="AR256" s="36">
        <v>45031</v>
      </c>
      <c r="AS256" s="36"/>
      <c r="AT256" s="36">
        <v>44986</v>
      </c>
      <c r="AU256" s="36">
        <v>45046</v>
      </c>
      <c r="AV256" s="38"/>
      <c r="AW256" s="40" t="s">
        <v>87</v>
      </c>
    </row>
    <row r="257" spans="1:49" s="34" customFormat="1" ht="61.5" customHeight="1" x14ac:dyDescent="0.3">
      <c r="A257" s="39" t="s">
        <v>1677</v>
      </c>
      <c r="B257" s="36">
        <v>44900</v>
      </c>
      <c r="C257" s="37">
        <v>545</v>
      </c>
      <c r="D257" s="39" t="s">
        <v>1678</v>
      </c>
      <c r="E257" s="1" t="s">
        <v>1679</v>
      </c>
      <c r="F257" s="36">
        <v>44922</v>
      </c>
      <c r="G257" s="37" t="s">
        <v>1680</v>
      </c>
      <c r="H257" s="40" t="s">
        <v>224</v>
      </c>
      <c r="I257" s="40" t="s">
        <v>1588</v>
      </c>
      <c r="J257" s="41">
        <v>223250144</v>
      </c>
      <c r="K257" s="41">
        <v>223250144</v>
      </c>
      <c r="L257" s="30">
        <f t="shared" si="57"/>
        <v>223250144</v>
      </c>
      <c r="M257" s="30">
        <f t="shared" si="53"/>
        <v>223250144</v>
      </c>
      <c r="N257" s="40" t="s">
        <v>1589</v>
      </c>
      <c r="O257" s="40" t="s">
        <v>1671</v>
      </c>
      <c r="P257" s="40" t="s">
        <v>218</v>
      </c>
      <c r="Q257" s="44">
        <v>0</v>
      </c>
      <c r="R257" s="37">
        <v>100</v>
      </c>
      <c r="S257" s="37" t="s">
        <v>219</v>
      </c>
      <c r="T257" s="48">
        <v>5</v>
      </c>
      <c r="U257" s="30">
        <f>M257/W257</f>
        <v>18666.400000000001</v>
      </c>
      <c r="V257" s="41">
        <f t="shared" si="55"/>
        <v>93332</v>
      </c>
      <c r="W257" s="41">
        <f t="shared" si="54"/>
        <v>11960</v>
      </c>
      <c r="X257" s="41">
        <v>4510</v>
      </c>
      <c r="Y257" s="41">
        <v>0</v>
      </c>
      <c r="Z257" s="41">
        <v>0</v>
      </c>
      <c r="AA257" s="41">
        <v>0</v>
      </c>
      <c r="AB257" s="41">
        <v>0</v>
      </c>
      <c r="AC257" s="41">
        <v>1695</v>
      </c>
      <c r="AD257" s="41">
        <v>0</v>
      </c>
      <c r="AE257" s="41">
        <v>0</v>
      </c>
      <c r="AF257" s="41">
        <v>0</v>
      </c>
      <c r="AG257" s="41">
        <v>0</v>
      </c>
      <c r="AH257" s="41">
        <v>5755</v>
      </c>
      <c r="AI257" s="41">
        <v>0</v>
      </c>
      <c r="AJ257" s="41">
        <v>0</v>
      </c>
      <c r="AK257" s="41">
        <v>0</v>
      </c>
      <c r="AL257" s="41">
        <v>0</v>
      </c>
      <c r="AM257" s="41"/>
      <c r="AN257" s="41">
        <f t="shared" si="56"/>
        <v>2392</v>
      </c>
      <c r="AO257" s="41">
        <f t="shared" si="58"/>
        <v>2392</v>
      </c>
      <c r="AP257" s="40" t="s">
        <v>1681</v>
      </c>
      <c r="AQ257" s="36">
        <v>44972</v>
      </c>
      <c r="AR257" s="36">
        <v>45031</v>
      </c>
      <c r="AS257" s="36">
        <v>45184</v>
      </c>
      <c r="AT257" s="36">
        <v>44986</v>
      </c>
      <c r="AU257" s="36">
        <v>45046</v>
      </c>
      <c r="AV257" s="38">
        <v>45199</v>
      </c>
      <c r="AW257" s="40" t="s">
        <v>68</v>
      </c>
    </row>
    <row r="258" spans="1:49" s="34" customFormat="1" ht="78" x14ac:dyDescent="0.3">
      <c r="A258" s="39" t="s">
        <v>1682</v>
      </c>
      <c r="B258" s="36">
        <v>44900</v>
      </c>
      <c r="C258" s="37">
        <v>545</v>
      </c>
      <c r="D258" s="39" t="s">
        <v>1683</v>
      </c>
      <c r="E258" s="1" t="s">
        <v>1684</v>
      </c>
      <c r="F258" s="36">
        <v>44922</v>
      </c>
      <c r="G258" s="37" t="s">
        <v>1685</v>
      </c>
      <c r="H258" s="40" t="s">
        <v>878</v>
      </c>
      <c r="I258" s="40" t="s">
        <v>1486</v>
      </c>
      <c r="J258" s="41">
        <v>287783496</v>
      </c>
      <c r="K258" s="41">
        <v>287783496</v>
      </c>
      <c r="L258" s="30">
        <v>297775978.5</v>
      </c>
      <c r="M258" s="30">
        <f t="shared" si="53"/>
        <v>297775978.5</v>
      </c>
      <c r="N258" s="40" t="s">
        <v>1487</v>
      </c>
      <c r="O258" s="40" t="s">
        <v>1488</v>
      </c>
      <c r="P258" s="40" t="s">
        <v>348</v>
      </c>
      <c r="Q258" s="44">
        <v>0</v>
      </c>
      <c r="R258" s="37">
        <v>100</v>
      </c>
      <c r="S258" s="37" t="s">
        <v>1489</v>
      </c>
      <c r="T258" s="48">
        <v>2</v>
      </c>
      <c r="U258" s="30">
        <f>M258/W258</f>
        <v>333082.75</v>
      </c>
      <c r="V258" s="41">
        <f t="shared" si="55"/>
        <v>666165.5</v>
      </c>
      <c r="W258" s="41">
        <f t="shared" si="54"/>
        <v>894</v>
      </c>
      <c r="X258" s="41">
        <v>318</v>
      </c>
      <c r="Y258" s="41">
        <v>0</v>
      </c>
      <c r="Z258" s="41">
        <v>0</v>
      </c>
      <c r="AA258" s="41">
        <v>0</v>
      </c>
      <c r="AB258" s="41">
        <v>0</v>
      </c>
      <c r="AC258" s="41">
        <f>546+30</f>
        <v>576</v>
      </c>
      <c r="AD258" s="41">
        <v>0</v>
      </c>
      <c r="AE258" s="41">
        <v>0</v>
      </c>
      <c r="AF258" s="41">
        <v>0</v>
      </c>
      <c r="AG258" s="41">
        <v>0</v>
      </c>
      <c r="AH258" s="41">
        <v>0</v>
      </c>
      <c r="AI258" s="41">
        <v>0</v>
      </c>
      <c r="AJ258" s="41">
        <v>0</v>
      </c>
      <c r="AK258" s="41">
        <v>0</v>
      </c>
      <c r="AL258" s="41">
        <v>0</v>
      </c>
      <c r="AM258" s="41"/>
      <c r="AN258" s="41">
        <f t="shared" si="56"/>
        <v>447</v>
      </c>
      <c r="AO258" s="41">
        <f t="shared" si="58"/>
        <v>447</v>
      </c>
      <c r="AP258" s="40" t="s">
        <v>1686</v>
      </c>
      <c r="AQ258" s="36">
        <v>44986</v>
      </c>
      <c r="AR258" s="36">
        <v>45047</v>
      </c>
      <c r="AS258" s="36"/>
      <c r="AT258" s="36">
        <v>45000</v>
      </c>
      <c r="AU258" s="36">
        <v>45061</v>
      </c>
      <c r="AV258" s="38"/>
      <c r="AW258" s="40" t="s">
        <v>87</v>
      </c>
    </row>
    <row r="259" spans="1:49" s="34" customFormat="1" ht="99.75" customHeight="1" x14ac:dyDescent="0.3">
      <c r="A259" s="39" t="s">
        <v>1687</v>
      </c>
      <c r="B259" s="36">
        <v>44900</v>
      </c>
      <c r="C259" s="37">
        <v>545</v>
      </c>
      <c r="D259" s="39" t="s">
        <v>1688</v>
      </c>
      <c r="E259" s="1" t="s">
        <v>1689</v>
      </c>
      <c r="F259" s="36">
        <v>44922</v>
      </c>
      <c r="G259" s="37" t="s">
        <v>1690</v>
      </c>
      <c r="H259" s="40" t="s">
        <v>878</v>
      </c>
      <c r="I259" s="40" t="s">
        <v>1486</v>
      </c>
      <c r="J259" s="41">
        <v>250478228</v>
      </c>
      <c r="K259" s="41">
        <v>250478228</v>
      </c>
      <c r="L259" s="30">
        <v>287783496</v>
      </c>
      <c r="M259" s="30">
        <f t="shared" si="53"/>
        <v>287783496</v>
      </c>
      <c r="N259" s="40" t="s">
        <v>1487</v>
      </c>
      <c r="O259" s="40" t="s">
        <v>1488</v>
      </c>
      <c r="P259" s="40" t="s">
        <v>348</v>
      </c>
      <c r="Q259" s="44">
        <v>0</v>
      </c>
      <c r="R259" s="37">
        <v>100</v>
      </c>
      <c r="S259" s="37" t="s">
        <v>1489</v>
      </c>
      <c r="T259" s="48">
        <v>2</v>
      </c>
      <c r="U259" s="30">
        <f>M259/W259</f>
        <v>333082.75</v>
      </c>
      <c r="V259" s="41">
        <f t="shared" si="55"/>
        <v>666165.5</v>
      </c>
      <c r="W259" s="41">
        <f t="shared" si="54"/>
        <v>864</v>
      </c>
      <c r="X259" s="41">
        <v>278</v>
      </c>
      <c r="Y259" s="41">
        <v>0</v>
      </c>
      <c r="Z259" s="41">
        <v>0</v>
      </c>
      <c r="AA259" s="41">
        <v>0</v>
      </c>
      <c r="AB259" s="41">
        <v>0</v>
      </c>
      <c r="AC259" s="41">
        <f>474+112</f>
        <v>586</v>
      </c>
      <c r="AD259" s="41">
        <v>0</v>
      </c>
      <c r="AE259" s="41">
        <v>0</v>
      </c>
      <c r="AF259" s="41">
        <v>0</v>
      </c>
      <c r="AG259" s="41">
        <v>0</v>
      </c>
      <c r="AH259" s="41">
        <v>0</v>
      </c>
      <c r="AI259" s="41">
        <v>0</v>
      </c>
      <c r="AJ259" s="41">
        <v>0</v>
      </c>
      <c r="AK259" s="41">
        <v>0</v>
      </c>
      <c r="AL259" s="41">
        <v>0</v>
      </c>
      <c r="AM259" s="41"/>
      <c r="AN259" s="41">
        <f t="shared" si="56"/>
        <v>432</v>
      </c>
      <c r="AO259" s="41">
        <f t="shared" si="58"/>
        <v>432</v>
      </c>
      <c r="AP259" s="40" t="s">
        <v>1691</v>
      </c>
      <c r="AQ259" s="36">
        <v>44986</v>
      </c>
      <c r="AR259" s="36">
        <v>45047</v>
      </c>
      <c r="AS259" s="36"/>
      <c r="AT259" s="36">
        <v>45000</v>
      </c>
      <c r="AU259" s="36">
        <v>45061</v>
      </c>
      <c r="AV259" s="38"/>
      <c r="AW259" s="40" t="s">
        <v>87</v>
      </c>
    </row>
    <row r="260" spans="1:49" s="34" customFormat="1" ht="93.6" x14ac:dyDescent="0.3">
      <c r="A260" s="39" t="s">
        <v>1692</v>
      </c>
      <c r="B260" s="36">
        <v>44900</v>
      </c>
      <c r="C260" s="37">
        <v>545</v>
      </c>
      <c r="D260" s="39" t="s">
        <v>1693</v>
      </c>
      <c r="E260" s="1" t="s">
        <v>1694</v>
      </c>
      <c r="F260" s="36">
        <v>44922</v>
      </c>
      <c r="G260" s="37" t="s">
        <v>1695</v>
      </c>
      <c r="H260" s="40" t="s">
        <v>878</v>
      </c>
      <c r="I260" s="40" t="s">
        <v>1486</v>
      </c>
      <c r="J260" s="41">
        <v>289781992.5</v>
      </c>
      <c r="K260" s="41">
        <v>289781992.5</v>
      </c>
      <c r="L260" s="30">
        <f t="shared" ref="L260:M275" si="59">K260</f>
        <v>289781992.5</v>
      </c>
      <c r="M260" s="30">
        <f t="shared" si="53"/>
        <v>289781992.5</v>
      </c>
      <c r="N260" s="40" t="s">
        <v>1487</v>
      </c>
      <c r="O260" s="40" t="s">
        <v>1488</v>
      </c>
      <c r="P260" s="40" t="s">
        <v>348</v>
      </c>
      <c r="Q260" s="44">
        <v>0</v>
      </c>
      <c r="R260" s="37">
        <v>100</v>
      </c>
      <c r="S260" s="37" t="s">
        <v>1489</v>
      </c>
      <c r="T260" s="48">
        <v>2</v>
      </c>
      <c r="U260" s="30">
        <f>M260/W260</f>
        <v>333082.75</v>
      </c>
      <c r="V260" s="41">
        <f t="shared" si="55"/>
        <v>666165.5</v>
      </c>
      <c r="W260" s="41">
        <f t="shared" si="54"/>
        <v>870</v>
      </c>
      <c r="X260" s="41">
        <v>322</v>
      </c>
      <c r="Y260" s="41">
        <v>0</v>
      </c>
      <c r="Z260" s="41">
        <v>0</v>
      </c>
      <c r="AA260" s="41">
        <v>0</v>
      </c>
      <c r="AB260" s="41">
        <v>0</v>
      </c>
      <c r="AC260" s="41">
        <v>548</v>
      </c>
      <c r="AD260" s="41">
        <v>0</v>
      </c>
      <c r="AE260" s="41">
        <v>0</v>
      </c>
      <c r="AF260" s="41">
        <v>0</v>
      </c>
      <c r="AG260" s="41">
        <v>0</v>
      </c>
      <c r="AH260" s="41">
        <v>0</v>
      </c>
      <c r="AI260" s="41">
        <v>0</v>
      </c>
      <c r="AJ260" s="41">
        <v>0</v>
      </c>
      <c r="AK260" s="41">
        <v>0</v>
      </c>
      <c r="AL260" s="41">
        <v>0</v>
      </c>
      <c r="AM260" s="41"/>
      <c r="AN260" s="41">
        <f t="shared" si="56"/>
        <v>435</v>
      </c>
      <c r="AO260" s="41">
        <f t="shared" si="58"/>
        <v>435</v>
      </c>
      <c r="AP260" s="40" t="s">
        <v>1696</v>
      </c>
      <c r="AQ260" s="36">
        <v>44986</v>
      </c>
      <c r="AR260" s="36">
        <v>45047</v>
      </c>
      <c r="AS260" s="36"/>
      <c r="AT260" s="36">
        <v>45000</v>
      </c>
      <c r="AU260" s="36">
        <v>45061</v>
      </c>
      <c r="AV260" s="38"/>
      <c r="AW260" s="40" t="s">
        <v>87</v>
      </c>
    </row>
    <row r="261" spans="1:49" s="34" customFormat="1" ht="78" x14ac:dyDescent="0.3">
      <c r="A261" s="39" t="s">
        <v>1697</v>
      </c>
      <c r="B261" s="36">
        <v>44900</v>
      </c>
      <c r="C261" s="37">
        <v>545</v>
      </c>
      <c r="D261" s="39" t="s">
        <v>1698</v>
      </c>
      <c r="E261" s="1" t="s">
        <v>1699</v>
      </c>
      <c r="F261" s="36">
        <v>44922</v>
      </c>
      <c r="G261" s="37" t="s">
        <v>1700</v>
      </c>
      <c r="H261" s="40" t="s">
        <v>878</v>
      </c>
      <c r="I261" s="40" t="s">
        <v>1486</v>
      </c>
      <c r="J261" s="41">
        <v>249145897</v>
      </c>
      <c r="K261" s="41">
        <v>249145897</v>
      </c>
      <c r="L261" s="30">
        <f t="shared" si="59"/>
        <v>249145897</v>
      </c>
      <c r="M261" s="30">
        <f t="shared" si="53"/>
        <v>249145897</v>
      </c>
      <c r="N261" s="40" t="s">
        <v>1487</v>
      </c>
      <c r="O261" s="40" t="s">
        <v>1488</v>
      </c>
      <c r="P261" s="40" t="s">
        <v>348</v>
      </c>
      <c r="Q261" s="44">
        <v>0</v>
      </c>
      <c r="R261" s="37">
        <v>100</v>
      </c>
      <c r="S261" s="37" t="s">
        <v>1489</v>
      </c>
      <c r="T261" s="48">
        <v>2</v>
      </c>
      <c r="U261" s="30">
        <f>M261/W261</f>
        <v>333082.75</v>
      </c>
      <c r="V261" s="41">
        <f t="shared" si="55"/>
        <v>666165.5</v>
      </c>
      <c r="W261" s="41">
        <f t="shared" si="54"/>
        <v>748</v>
      </c>
      <c r="X261" s="41">
        <v>276</v>
      </c>
      <c r="Y261" s="41">
        <v>0</v>
      </c>
      <c r="Z261" s="41">
        <v>0</v>
      </c>
      <c r="AA261" s="41">
        <v>0</v>
      </c>
      <c r="AB261" s="41">
        <v>0</v>
      </c>
      <c r="AC261" s="41">
        <v>472</v>
      </c>
      <c r="AD261" s="41">
        <v>0</v>
      </c>
      <c r="AE261" s="41">
        <v>0</v>
      </c>
      <c r="AF261" s="41">
        <v>0</v>
      </c>
      <c r="AG261" s="41">
        <v>0</v>
      </c>
      <c r="AH261" s="41">
        <v>0</v>
      </c>
      <c r="AI261" s="41">
        <v>0</v>
      </c>
      <c r="AJ261" s="41">
        <v>0</v>
      </c>
      <c r="AK261" s="41">
        <v>0</v>
      </c>
      <c r="AL261" s="41">
        <v>0</v>
      </c>
      <c r="AM261" s="41"/>
      <c r="AN261" s="41">
        <f t="shared" si="56"/>
        <v>374</v>
      </c>
      <c r="AO261" s="41">
        <f t="shared" si="58"/>
        <v>374</v>
      </c>
      <c r="AP261" s="40" t="s">
        <v>1701</v>
      </c>
      <c r="AQ261" s="36">
        <v>44986</v>
      </c>
      <c r="AR261" s="36">
        <v>45047</v>
      </c>
      <c r="AS261" s="36"/>
      <c r="AT261" s="36">
        <v>45000</v>
      </c>
      <c r="AU261" s="36">
        <v>45061</v>
      </c>
      <c r="AV261" s="38"/>
      <c r="AW261" s="40" t="s">
        <v>87</v>
      </c>
    </row>
    <row r="262" spans="1:49" s="34" customFormat="1" ht="93.6" x14ac:dyDescent="0.3">
      <c r="A262" s="39" t="s">
        <v>1702</v>
      </c>
      <c r="B262" s="36">
        <v>44901</v>
      </c>
      <c r="C262" s="37">
        <v>545</v>
      </c>
      <c r="D262" s="39" t="s">
        <v>1703</v>
      </c>
      <c r="E262" s="1" t="s">
        <v>1704</v>
      </c>
      <c r="F262" s="36">
        <v>44925</v>
      </c>
      <c r="G262" s="37" t="s">
        <v>1705</v>
      </c>
      <c r="H262" s="40" t="s">
        <v>224</v>
      </c>
      <c r="I262" s="40" t="s">
        <v>1706</v>
      </c>
      <c r="J262" s="41">
        <v>298918361.39999998</v>
      </c>
      <c r="K262" s="41">
        <v>298918361.39999998</v>
      </c>
      <c r="L262" s="30">
        <f t="shared" si="59"/>
        <v>298918361.39999998</v>
      </c>
      <c r="M262" s="82">
        <f t="shared" si="53"/>
        <v>298918361.39999998</v>
      </c>
      <c r="N262" s="40" t="s">
        <v>1661</v>
      </c>
      <c r="O262" s="40" t="s">
        <v>1707</v>
      </c>
      <c r="P262" s="40" t="s">
        <v>1032</v>
      </c>
      <c r="Q262" s="44">
        <v>0</v>
      </c>
      <c r="R262" s="37">
        <v>100</v>
      </c>
      <c r="S262" s="37" t="s">
        <v>1489</v>
      </c>
      <c r="T262" s="48">
        <v>30</v>
      </c>
      <c r="U262" s="30">
        <f>M262/W262</f>
        <v>25813.329999999998</v>
      </c>
      <c r="V262" s="41">
        <f t="shared" si="55"/>
        <v>774399.89999999991</v>
      </c>
      <c r="W262" s="41">
        <f t="shared" si="54"/>
        <v>11580</v>
      </c>
      <c r="X262" s="41">
        <v>11580</v>
      </c>
      <c r="Y262" s="41">
        <v>0</v>
      </c>
      <c r="Z262" s="41">
        <v>0</v>
      </c>
      <c r="AA262" s="41">
        <v>0</v>
      </c>
      <c r="AB262" s="41">
        <v>0</v>
      </c>
      <c r="AC262" s="41">
        <v>0</v>
      </c>
      <c r="AD262" s="41">
        <v>0</v>
      </c>
      <c r="AE262" s="41">
        <v>0</v>
      </c>
      <c r="AF262" s="41">
        <v>0</v>
      </c>
      <c r="AG262" s="41">
        <v>0</v>
      </c>
      <c r="AH262" s="41">
        <v>0</v>
      </c>
      <c r="AI262" s="41">
        <v>0</v>
      </c>
      <c r="AJ262" s="41">
        <v>0</v>
      </c>
      <c r="AK262" s="41">
        <v>0</v>
      </c>
      <c r="AL262" s="41">
        <v>0</v>
      </c>
      <c r="AM262" s="41"/>
      <c r="AN262" s="41">
        <f t="shared" si="56"/>
        <v>386</v>
      </c>
      <c r="AO262" s="41">
        <f t="shared" si="58"/>
        <v>386</v>
      </c>
      <c r="AP262" s="40" t="s">
        <v>1708</v>
      </c>
      <c r="AQ262" s="36">
        <v>44972</v>
      </c>
      <c r="AR262" s="36"/>
      <c r="AS262" s="36"/>
      <c r="AT262" s="36">
        <v>44986</v>
      </c>
      <c r="AU262" s="36"/>
      <c r="AV262" s="38"/>
      <c r="AW262" s="40" t="s">
        <v>87</v>
      </c>
    </row>
    <row r="263" spans="1:49" s="34" customFormat="1" ht="93.6" x14ac:dyDescent="0.3">
      <c r="A263" s="39" t="s">
        <v>1709</v>
      </c>
      <c r="B263" s="36">
        <v>44901</v>
      </c>
      <c r="C263" s="37">
        <v>545</v>
      </c>
      <c r="D263" s="39" t="s">
        <v>1710</v>
      </c>
      <c r="E263" s="1" t="s">
        <v>1711</v>
      </c>
      <c r="F263" s="36">
        <v>44925</v>
      </c>
      <c r="G263" s="37" t="s">
        <v>1712</v>
      </c>
      <c r="H263" s="40" t="s">
        <v>224</v>
      </c>
      <c r="I263" s="40" t="s">
        <v>1706</v>
      </c>
      <c r="J263" s="41">
        <v>293497562.10000002</v>
      </c>
      <c r="K263" s="41">
        <v>293497562.10000002</v>
      </c>
      <c r="L263" s="30">
        <f t="shared" si="59"/>
        <v>293497562.10000002</v>
      </c>
      <c r="M263" s="30">
        <f t="shared" si="53"/>
        <v>293497562.10000002</v>
      </c>
      <c r="N263" s="40" t="s">
        <v>1661</v>
      </c>
      <c r="O263" s="40" t="s">
        <v>1707</v>
      </c>
      <c r="P263" s="40" t="s">
        <v>1032</v>
      </c>
      <c r="Q263" s="44">
        <v>0</v>
      </c>
      <c r="R263" s="37">
        <v>100</v>
      </c>
      <c r="S263" s="37" t="s">
        <v>1489</v>
      </c>
      <c r="T263" s="48">
        <v>30</v>
      </c>
      <c r="U263" s="30">
        <f>M263/W263</f>
        <v>25813.33</v>
      </c>
      <c r="V263" s="41">
        <f t="shared" si="55"/>
        <v>774399.9</v>
      </c>
      <c r="W263" s="41">
        <f t="shared" si="54"/>
        <v>11370</v>
      </c>
      <c r="X263" s="41">
        <v>11370</v>
      </c>
      <c r="Y263" s="41">
        <v>0</v>
      </c>
      <c r="Z263" s="41">
        <v>0</v>
      </c>
      <c r="AA263" s="41">
        <v>0</v>
      </c>
      <c r="AB263" s="41">
        <v>0</v>
      </c>
      <c r="AC263" s="41">
        <v>0</v>
      </c>
      <c r="AD263" s="41">
        <v>0</v>
      </c>
      <c r="AE263" s="41">
        <v>0</v>
      </c>
      <c r="AF263" s="41">
        <v>0</v>
      </c>
      <c r="AG263" s="41">
        <v>0</v>
      </c>
      <c r="AH263" s="41">
        <v>0</v>
      </c>
      <c r="AI263" s="41">
        <v>0</v>
      </c>
      <c r="AJ263" s="41">
        <v>0</v>
      </c>
      <c r="AK263" s="41">
        <v>0</v>
      </c>
      <c r="AL263" s="41">
        <v>0</v>
      </c>
      <c r="AM263" s="41"/>
      <c r="AN263" s="41">
        <f t="shared" si="56"/>
        <v>379</v>
      </c>
      <c r="AO263" s="41">
        <f t="shared" si="58"/>
        <v>379</v>
      </c>
      <c r="AP263" s="40" t="s">
        <v>1713</v>
      </c>
      <c r="AQ263" s="36">
        <v>44972</v>
      </c>
      <c r="AR263" s="36"/>
      <c r="AS263" s="36"/>
      <c r="AT263" s="36">
        <v>44986</v>
      </c>
      <c r="AU263" s="36"/>
      <c r="AV263" s="38"/>
      <c r="AW263" s="40" t="s">
        <v>87</v>
      </c>
    </row>
    <row r="264" spans="1:49" s="34" customFormat="1" ht="93.6" x14ac:dyDescent="0.3">
      <c r="A264" s="39" t="s">
        <v>1714</v>
      </c>
      <c r="B264" s="36">
        <v>44901</v>
      </c>
      <c r="C264" s="37">
        <v>545</v>
      </c>
      <c r="D264" s="39" t="s">
        <v>1715</v>
      </c>
      <c r="E264" s="1" t="s">
        <v>1716</v>
      </c>
      <c r="F264" s="36">
        <v>44925</v>
      </c>
      <c r="G264" s="37" t="s">
        <v>1717</v>
      </c>
      <c r="H264" s="40" t="s">
        <v>224</v>
      </c>
      <c r="I264" s="40" t="s">
        <v>1706</v>
      </c>
      <c r="J264" s="41">
        <v>285753563.10000002</v>
      </c>
      <c r="K264" s="41">
        <v>285753563.10000002</v>
      </c>
      <c r="L264" s="30">
        <f t="shared" si="59"/>
        <v>285753563.10000002</v>
      </c>
      <c r="M264" s="30">
        <f t="shared" si="53"/>
        <v>285753563.10000002</v>
      </c>
      <c r="N264" s="40" t="s">
        <v>1661</v>
      </c>
      <c r="O264" s="40" t="s">
        <v>1707</v>
      </c>
      <c r="P264" s="40" t="s">
        <v>1032</v>
      </c>
      <c r="Q264" s="44">
        <v>0</v>
      </c>
      <c r="R264" s="37">
        <v>100</v>
      </c>
      <c r="S264" s="37" t="s">
        <v>1489</v>
      </c>
      <c r="T264" s="48">
        <v>30</v>
      </c>
      <c r="U264" s="30">
        <f>M264/W264</f>
        <v>25813.33</v>
      </c>
      <c r="V264" s="41">
        <f t="shared" si="55"/>
        <v>774399.9</v>
      </c>
      <c r="W264" s="41">
        <f t="shared" si="54"/>
        <v>11070</v>
      </c>
      <c r="X264" s="41">
        <v>11070</v>
      </c>
      <c r="Y264" s="41">
        <v>0</v>
      </c>
      <c r="Z264" s="41">
        <v>0</v>
      </c>
      <c r="AA264" s="41">
        <v>0</v>
      </c>
      <c r="AB264" s="41">
        <v>0</v>
      </c>
      <c r="AC264" s="41">
        <v>0</v>
      </c>
      <c r="AD264" s="41">
        <v>0</v>
      </c>
      <c r="AE264" s="41">
        <v>0</v>
      </c>
      <c r="AF264" s="41">
        <v>0</v>
      </c>
      <c r="AG264" s="41">
        <v>0</v>
      </c>
      <c r="AH264" s="41">
        <v>0</v>
      </c>
      <c r="AI264" s="41">
        <v>0</v>
      </c>
      <c r="AJ264" s="41">
        <v>0</v>
      </c>
      <c r="AK264" s="41">
        <v>0</v>
      </c>
      <c r="AL264" s="41">
        <v>0</v>
      </c>
      <c r="AM264" s="41"/>
      <c r="AN264" s="41">
        <f t="shared" si="56"/>
        <v>369</v>
      </c>
      <c r="AO264" s="41">
        <f t="shared" si="58"/>
        <v>369</v>
      </c>
      <c r="AP264" s="40" t="s">
        <v>1718</v>
      </c>
      <c r="AQ264" s="36">
        <v>44972</v>
      </c>
      <c r="AR264" s="36"/>
      <c r="AS264" s="36"/>
      <c r="AT264" s="36">
        <v>44986</v>
      </c>
      <c r="AU264" s="36"/>
      <c r="AV264" s="38"/>
      <c r="AW264" s="40" t="s">
        <v>87</v>
      </c>
    </row>
    <row r="265" spans="1:49" s="34" customFormat="1" ht="96.75" customHeight="1" x14ac:dyDescent="0.3">
      <c r="A265" s="39" t="s">
        <v>1719</v>
      </c>
      <c r="B265" s="36">
        <v>44901</v>
      </c>
      <c r="C265" s="37">
        <v>545</v>
      </c>
      <c r="D265" s="39" t="s">
        <v>1720</v>
      </c>
      <c r="E265" s="1" t="s">
        <v>1721</v>
      </c>
      <c r="F265" s="36">
        <v>44925</v>
      </c>
      <c r="G265" s="37" t="s">
        <v>1722</v>
      </c>
      <c r="H265" s="40" t="s">
        <v>224</v>
      </c>
      <c r="I265" s="40" t="s">
        <v>1706</v>
      </c>
      <c r="J265" s="41">
        <v>104543986.5</v>
      </c>
      <c r="K265" s="41">
        <v>104543986.5</v>
      </c>
      <c r="L265" s="30">
        <f t="shared" si="59"/>
        <v>104543986.5</v>
      </c>
      <c r="M265" s="30">
        <f t="shared" si="53"/>
        <v>104543986.5</v>
      </c>
      <c r="N265" s="40" t="s">
        <v>1661</v>
      </c>
      <c r="O265" s="40" t="s">
        <v>1707</v>
      </c>
      <c r="P265" s="40" t="s">
        <v>1032</v>
      </c>
      <c r="Q265" s="44">
        <v>0</v>
      </c>
      <c r="R265" s="37">
        <v>100</v>
      </c>
      <c r="S265" s="37" t="s">
        <v>1489</v>
      </c>
      <c r="T265" s="48">
        <v>30</v>
      </c>
      <c r="U265" s="30">
        <f>M265/W265</f>
        <v>25813.33</v>
      </c>
      <c r="V265" s="41">
        <f t="shared" si="55"/>
        <v>774399.9</v>
      </c>
      <c r="W265" s="41">
        <f t="shared" si="54"/>
        <v>4050</v>
      </c>
      <c r="X265" s="41">
        <v>4050</v>
      </c>
      <c r="Y265" s="41">
        <v>0</v>
      </c>
      <c r="Z265" s="41">
        <v>0</v>
      </c>
      <c r="AA265" s="41">
        <v>0</v>
      </c>
      <c r="AB265" s="41">
        <v>0</v>
      </c>
      <c r="AC265" s="41">
        <v>0</v>
      </c>
      <c r="AD265" s="41">
        <v>0</v>
      </c>
      <c r="AE265" s="41">
        <v>0</v>
      </c>
      <c r="AF265" s="41">
        <v>0</v>
      </c>
      <c r="AG265" s="41">
        <v>0</v>
      </c>
      <c r="AH265" s="41">
        <v>0</v>
      </c>
      <c r="AI265" s="41">
        <v>0</v>
      </c>
      <c r="AJ265" s="41">
        <v>0</v>
      </c>
      <c r="AK265" s="41">
        <v>0</v>
      </c>
      <c r="AL265" s="41">
        <v>0</v>
      </c>
      <c r="AM265" s="41"/>
      <c r="AN265" s="41">
        <f t="shared" si="56"/>
        <v>135</v>
      </c>
      <c r="AO265" s="41">
        <f t="shared" si="58"/>
        <v>135</v>
      </c>
      <c r="AP265" s="40" t="s">
        <v>1723</v>
      </c>
      <c r="AQ265" s="36">
        <v>44972</v>
      </c>
      <c r="AR265" s="36"/>
      <c r="AS265" s="36"/>
      <c r="AT265" s="36">
        <v>44986</v>
      </c>
      <c r="AU265" s="36"/>
      <c r="AV265" s="38"/>
      <c r="AW265" s="40" t="s">
        <v>87</v>
      </c>
    </row>
    <row r="266" spans="1:49" s="34" customFormat="1" ht="108" customHeight="1" x14ac:dyDescent="0.3">
      <c r="A266" s="39" t="s">
        <v>1724</v>
      </c>
      <c r="B266" s="36">
        <v>44901</v>
      </c>
      <c r="C266" s="37">
        <v>545</v>
      </c>
      <c r="D266" s="39" t="s">
        <v>1725</v>
      </c>
      <c r="E266" s="1" t="s">
        <v>1726</v>
      </c>
      <c r="F266" s="36">
        <v>44925</v>
      </c>
      <c r="G266" s="37" t="s">
        <v>1727</v>
      </c>
      <c r="H266" s="40" t="s">
        <v>224</v>
      </c>
      <c r="I266" s="40" t="s">
        <v>1706</v>
      </c>
      <c r="J266" s="41">
        <v>128550383.40000001</v>
      </c>
      <c r="K266" s="41">
        <v>128550383.40000001</v>
      </c>
      <c r="L266" s="30">
        <f t="shared" si="59"/>
        <v>128550383.40000001</v>
      </c>
      <c r="M266" s="30">
        <f t="shared" si="53"/>
        <v>128550383.40000001</v>
      </c>
      <c r="N266" s="40" t="s">
        <v>1661</v>
      </c>
      <c r="O266" s="40" t="s">
        <v>1707</v>
      </c>
      <c r="P266" s="40" t="s">
        <v>1032</v>
      </c>
      <c r="Q266" s="44">
        <v>0</v>
      </c>
      <c r="R266" s="37">
        <v>100</v>
      </c>
      <c r="S266" s="37" t="s">
        <v>1489</v>
      </c>
      <c r="T266" s="48">
        <v>30</v>
      </c>
      <c r="U266" s="30">
        <f>M266/W266</f>
        <v>25813.33</v>
      </c>
      <c r="V266" s="41">
        <f t="shared" si="55"/>
        <v>774399.9</v>
      </c>
      <c r="W266" s="41">
        <f t="shared" si="54"/>
        <v>4980</v>
      </c>
      <c r="X266" s="41">
        <v>4980</v>
      </c>
      <c r="Y266" s="41">
        <v>0</v>
      </c>
      <c r="Z266" s="41">
        <v>0</v>
      </c>
      <c r="AA266" s="41">
        <v>0</v>
      </c>
      <c r="AB266" s="41">
        <v>0</v>
      </c>
      <c r="AC266" s="41">
        <v>0</v>
      </c>
      <c r="AD266" s="41">
        <v>0</v>
      </c>
      <c r="AE266" s="41">
        <v>0</v>
      </c>
      <c r="AF266" s="41">
        <v>0</v>
      </c>
      <c r="AG266" s="41">
        <v>0</v>
      </c>
      <c r="AH266" s="41">
        <v>0</v>
      </c>
      <c r="AI266" s="41">
        <v>0</v>
      </c>
      <c r="AJ266" s="41">
        <v>0</v>
      </c>
      <c r="AK266" s="41">
        <v>0</v>
      </c>
      <c r="AL266" s="41">
        <v>0</v>
      </c>
      <c r="AM266" s="41"/>
      <c r="AN266" s="41">
        <f t="shared" si="56"/>
        <v>166</v>
      </c>
      <c r="AO266" s="41">
        <f t="shared" si="58"/>
        <v>166</v>
      </c>
      <c r="AP266" s="40" t="s">
        <v>1728</v>
      </c>
      <c r="AQ266" s="36">
        <v>44972</v>
      </c>
      <c r="AR266" s="36"/>
      <c r="AS266" s="36"/>
      <c r="AT266" s="36">
        <v>44986</v>
      </c>
      <c r="AU266" s="36"/>
      <c r="AV266" s="38"/>
      <c r="AW266" s="40" t="s">
        <v>87</v>
      </c>
    </row>
    <row r="267" spans="1:49" s="34" customFormat="1" ht="72.75" customHeight="1" x14ac:dyDescent="0.3">
      <c r="A267" s="39" t="s">
        <v>1729</v>
      </c>
      <c r="B267" s="36">
        <v>44901</v>
      </c>
      <c r="C267" s="37">
        <v>545</v>
      </c>
      <c r="D267" s="39" t="s">
        <v>1730</v>
      </c>
      <c r="E267" s="1" t="s">
        <v>1731</v>
      </c>
      <c r="F267" s="36">
        <v>44925</v>
      </c>
      <c r="G267" s="37" t="s">
        <v>1732</v>
      </c>
      <c r="H267" s="40" t="s">
        <v>224</v>
      </c>
      <c r="I267" s="40" t="s">
        <v>1706</v>
      </c>
      <c r="J267" s="41">
        <v>219929571.59999999</v>
      </c>
      <c r="K267" s="41">
        <v>219929571.59999999</v>
      </c>
      <c r="L267" s="30">
        <f t="shared" si="59"/>
        <v>219929571.59999999</v>
      </c>
      <c r="M267" s="30">
        <f t="shared" si="59"/>
        <v>219929571.59999999</v>
      </c>
      <c r="N267" s="40" t="s">
        <v>1661</v>
      </c>
      <c r="O267" s="40" t="s">
        <v>1707</v>
      </c>
      <c r="P267" s="40" t="s">
        <v>1032</v>
      </c>
      <c r="Q267" s="44">
        <v>0</v>
      </c>
      <c r="R267" s="37">
        <v>100</v>
      </c>
      <c r="S267" s="37" t="s">
        <v>1489</v>
      </c>
      <c r="T267" s="48">
        <v>30</v>
      </c>
      <c r="U267" s="30">
        <f>M267/W267</f>
        <v>25813.329999999998</v>
      </c>
      <c r="V267" s="41">
        <f t="shared" si="55"/>
        <v>774399.89999999991</v>
      </c>
      <c r="W267" s="41">
        <f t="shared" si="54"/>
        <v>8520</v>
      </c>
      <c r="X267" s="41">
        <v>8520</v>
      </c>
      <c r="Y267" s="41">
        <v>0</v>
      </c>
      <c r="Z267" s="41">
        <v>0</v>
      </c>
      <c r="AA267" s="41">
        <v>0</v>
      </c>
      <c r="AB267" s="41">
        <v>0</v>
      </c>
      <c r="AC267" s="41">
        <v>0</v>
      </c>
      <c r="AD267" s="41">
        <v>0</v>
      </c>
      <c r="AE267" s="41">
        <v>0</v>
      </c>
      <c r="AF267" s="41">
        <v>0</v>
      </c>
      <c r="AG267" s="41">
        <v>0</v>
      </c>
      <c r="AH267" s="41">
        <v>0</v>
      </c>
      <c r="AI267" s="41">
        <v>0</v>
      </c>
      <c r="AJ267" s="41">
        <v>0</v>
      </c>
      <c r="AK267" s="41">
        <v>0</v>
      </c>
      <c r="AL267" s="41">
        <v>0</v>
      </c>
      <c r="AM267" s="41"/>
      <c r="AN267" s="41">
        <f t="shared" si="56"/>
        <v>284</v>
      </c>
      <c r="AO267" s="41">
        <f t="shared" si="58"/>
        <v>284</v>
      </c>
      <c r="AP267" s="40" t="s">
        <v>1578</v>
      </c>
      <c r="AQ267" s="36">
        <v>45005</v>
      </c>
      <c r="AR267" s="36"/>
      <c r="AS267" s="36"/>
      <c r="AT267" s="36">
        <v>45021</v>
      </c>
      <c r="AU267" s="36"/>
      <c r="AV267" s="38"/>
      <c r="AW267" s="40" t="s">
        <v>87</v>
      </c>
    </row>
    <row r="268" spans="1:49" s="34" customFormat="1" ht="135.75" customHeight="1" x14ac:dyDescent="0.3">
      <c r="A268" s="39" t="s">
        <v>1733</v>
      </c>
      <c r="B268" s="36">
        <v>44901</v>
      </c>
      <c r="C268" s="37">
        <v>545</v>
      </c>
      <c r="D268" s="39" t="s">
        <v>1734</v>
      </c>
      <c r="E268" s="1" t="s">
        <v>1735</v>
      </c>
      <c r="F268" s="36">
        <v>44925</v>
      </c>
      <c r="G268" s="37" t="s">
        <v>1736</v>
      </c>
      <c r="H268" s="40" t="s">
        <v>224</v>
      </c>
      <c r="I268" s="40" t="s">
        <v>1588</v>
      </c>
      <c r="J268" s="41">
        <v>198983824</v>
      </c>
      <c r="K268" s="41">
        <v>198983824</v>
      </c>
      <c r="L268" s="30">
        <f t="shared" si="59"/>
        <v>198983824</v>
      </c>
      <c r="M268" s="30">
        <f t="shared" si="59"/>
        <v>198983824</v>
      </c>
      <c r="N268" s="40" t="s">
        <v>1589</v>
      </c>
      <c r="O268" s="40" t="s">
        <v>1590</v>
      </c>
      <c r="P268" s="40" t="s">
        <v>218</v>
      </c>
      <c r="Q268" s="44">
        <v>0</v>
      </c>
      <c r="R268" s="37">
        <v>100</v>
      </c>
      <c r="S268" s="37" t="s">
        <v>219</v>
      </c>
      <c r="T268" s="48">
        <v>5</v>
      </c>
      <c r="U268" s="30">
        <f>M268/W268</f>
        <v>18666.400000000001</v>
      </c>
      <c r="V268" s="41">
        <f t="shared" si="55"/>
        <v>93332</v>
      </c>
      <c r="W268" s="41">
        <f t="shared" si="54"/>
        <v>10660</v>
      </c>
      <c r="X268" s="41">
        <v>5535</v>
      </c>
      <c r="Y268" s="41">
        <v>0</v>
      </c>
      <c r="Z268" s="41">
        <v>0</v>
      </c>
      <c r="AA268" s="41">
        <v>0</v>
      </c>
      <c r="AB268" s="41">
        <v>0</v>
      </c>
      <c r="AC268" s="41">
        <v>5125</v>
      </c>
      <c r="AD268" s="41">
        <v>0</v>
      </c>
      <c r="AE268" s="41">
        <v>0</v>
      </c>
      <c r="AF268" s="41">
        <v>0</v>
      </c>
      <c r="AG268" s="41">
        <v>0</v>
      </c>
      <c r="AH268" s="41">
        <v>0</v>
      </c>
      <c r="AI268" s="41">
        <v>0</v>
      </c>
      <c r="AJ268" s="41">
        <v>0</v>
      </c>
      <c r="AK268" s="41">
        <v>0</v>
      </c>
      <c r="AL268" s="41">
        <v>0</v>
      </c>
      <c r="AM268" s="41"/>
      <c r="AN268" s="41">
        <f t="shared" si="56"/>
        <v>2132</v>
      </c>
      <c r="AO268" s="41">
        <f t="shared" si="58"/>
        <v>2132</v>
      </c>
      <c r="AP268" s="40" t="s">
        <v>1737</v>
      </c>
      <c r="AQ268" s="36">
        <v>45031</v>
      </c>
      <c r="AR268" s="36">
        <v>45184</v>
      </c>
      <c r="AS268" s="36"/>
      <c r="AT268" s="36">
        <v>45046</v>
      </c>
      <c r="AU268" s="36">
        <v>45199</v>
      </c>
      <c r="AV268" s="38"/>
      <c r="AW268" s="40" t="s">
        <v>87</v>
      </c>
    </row>
    <row r="269" spans="1:49" s="34" customFormat="1" ht="93.6" x14ac:dyDescent="0.3">
      <c r="A269" s="39" t="s">
        <v>1738</v>
      </c>
      <c r="B269" s="36">
        <v>44901</v>
      </c>
      <c r="C269" s="37">
        <v>545</v>
      </c>
      <c r="D269" s="39" t="s">
        <v>1739</v>
      </c>
      <c r="E269" s="1" t="s">
        <v>1740</v>
      </c>
      <c r="F269" s="36">
        <v>44925</v>
      </c>
      <c r="G269" s="37" t="s">
        <v>1741</v>
      </c>
      <c r="H269" s="40" t="s">
        <v>878</v>
      </c>
      <c r="I269" s="40" t="s">
        <v>1486</v>
      </c>
      <c r="J269" s="41">
        <v>294445151</v>
      </c>
      <c r="K269" s="41">
        <v>294445151</v>
      </c>
      <c r="L269" s="30">
        <f t="shared" si="59"/>
        <v>294445151</v>
      </c>
      <c r="M269" s="30">
        <f t="shared" si="59"/>
        <v>294445151</v>
      </c>
      <c r="N269" s="40" t="s">
        <v>1487</v>
      </c>
      <c r="O269" s="40" t="s">
        <v>1488</v>
      </c>
      <c r="P269" s="40" t="s">
        <v>348</v>
      </c>
      <c r="Q269" s="44">
        <v>0</v>
      </c>
      <c r="R269" s="37">
        <v>100</v>
      </c>
      <c r="S269" s="37" t="s">
        <v>1489</v>
      </c>
      <c r="T269" s="48">
        <v>2</v>
      </c>
      <c r="U269" s="30">
        <f>M269/W269</f>
        <v>333082.75</v>
      </c>
      <c r="V269" s="41">
        <f t="shared" si="55"/>
        <v>666165.5</v>
      </c>
      <c r="W269" s="41">
        <f t="shared" si="54"/>
        <v>884</v>
      </c>
      <c r="X269" s="41">
        <v>328</v>
      </c>
      <c r="Y269" s="41">
        <v>0</v>
      </c>
      <c r="Z269" s="41">
        <v>0</v>
      </c>
      <c r="AA269" s="41">
        <v>0</v>
      </c>
      <c r="AB269" s="41">
        <v>0</v>
      </c>
      <c r="AC269" s="41">
        <v>556</v>
      </c>
      <c r="AD269" s="41">
        <v>0</v>
      </c>
      <c r="AE269" s="41">
        <v>0</v>
      </c>
      <c r="AF269" s="41">
        <v>0</v>
      </c>
      <c r="AG269" s="41">
        <v>0</v>
      </c>
      <c r="AH269" s="41">
        <v>0</v>
      </c>
      <c r="AI269" s="41">
        <v>0</v>
      </c>
      <c r="AJ269" s="41">
        <v>0</v>
      </c>
      <c r="AK269" s="41">
        <v>0</v>
      </c>
      <c r="AL269" s="41">
        <v>0</v>
      </c>
      <c r="AM269" s="41"/>
      <c r="AN269" s="41">
        <f t="shared" si="56"/>
        <v>442</v>
      </c>
      <c r="AO269" s="41">
        <f t="shared" si="58"/>
        <v>442</v>
      </c>
      <c r="AP269" s="40" t="s">
        <v>1742</v>
      </c>
      <c r="AQ269" s="36">
        <v>44958</v>
      </c>
      <c r="AR269" s="36">
        <v>45047</v>
      </c>
      <c r="AS269" s="36"/>
      <c r="AT269" s="36">
        <v>44972</v>
      </c>
      <c r="AU269" s="36">
        <v>45061</v>
      </c>
      <c r="AV269" s="38"/>
      <c r="AW269" s="40" t="s">
        <v>87</v>
      </c>
    </row>
    <row r="270" spans="1:49" s="34" customFormat="1" ht="72" x14ac:dyDescent="0.3">
      <c r="A270" s="39" t="s">
        <v>1743</v>
      </c>
      <c r="B270" s="36">
        <v>44901</v>
      </c>
      <c r="C270" s="37">
        <v>545</v>
      </c>
      <c r="D270" s="39" t="s">
        <v>1744</v>
      </c>
      <c r="E270" s="1" t="s">
        <v>1745</v>
      </c>
      <c r="F270" s="36">
        <v>44925</v>
      </c>
      <c r="G270" s="37" t="s">
        <v>1746</v>
      </c>
      <c r="H270" s="40" t="s">
        <v>186</v>
      </c>
      <c r="I270" s="40" t="s">
        <v>1747</v>
      </c>
      <c r="J270" s="41">
        <v>257756727.44999999</v>
      </c>
      <c r="K270" s="41">
        <v>257756727.44999999</v>
      </c>
      <c r="L270" s="30">
        <f t="shared" si="59"/>
        <v>257756727.44999999</v>
      </c>
      <c r="M270" s="30">
        <f t="shared" si="59"/>
        <v>257756727.44999999</v>
      </c>
      <c r="N270" s="40" t="s">
        <v>1748</v>
      </c>
      <c r="O270" s="40" t="s">
        <v>1749</v>
      </c>
      <c r="P270" s="40" t="s">
        <v>190</v>
      </c>
      <c r="Q270" s="44">
        <v>0</v>
      </c>
      <c r="R270" s="37">
        <v>100</v>
      </c>
      <c r="S270" s="37" t="s">
        <v>219</v>
      </c>
      <c r="T270" s="48">
        <v>5</v>
      </c>
      <c r="U270" s="30">
        <f>M270/W270</f>
        <v>904409.57</v>
      </c>
      <c r="V270" s="41">
        <f t="shared" si="55"/>
        <v>4522047.8499999996</v>
      </c>
      <c r="W270" s="41">
        <f t="shared" si="54"/>
        <v>285</v>
      </c>
      <c r="X270" s="41">
        <v>200</v>
      </c>
      <c r="Y270" s="41">
        <v>0</v>
      </c>
      <c r="Z270" s="41">
        <v>0</v>
      </c>
      <c r="AA270" s="41">
        <v>0</v>
      </c>
      <c r="AB270" s="41">
        <v>0</v>
      </c>
      <c r="AC270" s="41">
        <v>85</v>
      </c>
      <c r="AD270" s="41">
        <v>0</v>
      </c>
      <c r="AE270" s="41">
        <v>0</v>
      </c>
      <c r="AF270" s="41">
        <v>0</v>
      </c>
      <c r="AG270" s="41">
        <v>0</v>
      </c>
      <c r="AH270" s="41">
        <v>0</v>
      </c>
      <c r="AI270" s="41">
        <v>0</v>
      </c>
      <c r="AJ270" s="41">
        <v>0</v>
      </c>
      <c r="AK270" s="41">
        <v>0</v>
      </c>
      <c r="AL270" s="41">
        <v>0</v>
      </c>
      <c r="AM270" s="41"/>
      <c r="AN270" s="41">
        <f t="shared" si="56"/>
        <v>57</v>
      </c>
      <c r="AO270" s="41">
        <f t="shared" si="58"/>
        <v>57</v>
      </c>
      <c r="AP270" s="40" t="s">
        <v>1750</v>
      </c>
      <c r="AQ270" s="36">
        <v>44946</v>
      </c>
      <c r="AR270" s="36">
        <v>45108</v>
      </c>
      <c r="AS270" s="36"/>
      <c r="AT270" s="36">
        <v>44962</v>
      </c>
      <c r="AU270" s="36">
        <v>45122</v>
      </c>
      <c r="AV270" s="38"/>
      <c r="AW270" s="40" t="s">
        <v>87</v>
      </c>
    </row>
    <row r="271" spans="1:49" s="34" customFormat="1" ht="72" x14ac:dyDescent="0.3">
      <c r="A271" s="39" t="s">
        <v>1751</v>
      </c>
      <c r="B271" s="36">
        <v>44901</v>
      </c>
      <c r="C271" s="37">
        <v>545</v>
      </c>
      <c r="D271" s="39" t="s">
        <v>1752</v>
      </c>
      <c r="E271" s="1" t="s">
        <v>1753</v>
      </c>
      <c r="F271" s="36">
        <v>44925</v>
      </c>
      <c r="G271" s="37" t="s">
        <v>1754</v>
      </c>
      <c r="H271" s="40" t="s">
        <v>186</v>
      </c>
      <c r="I271" s="40" t="s">
        <v>1747</v>
      </c>
      <c r="J271" s="41">
        <v>117573244.09999999</v>
      </c>
      <c r="K271" s="41">
        <v>117573244.09999999</v>
      </c>
      <c r="L271" s="30">
        <f t="shared" si="59"/>
        <v>117573244.09999999</v>
      </c>
      <c r="M271" s="30">
        <f t="shared" si="59"/>
        <v>117573244.09999999</v>
      </c>
      <c r="N271" s="40" t="s">
        <v>1748</v>
      </c>
      <c r="O271" s="40" t="s">
        <v>1749</v>
      </c>
      <c r="P271" s="40" t="s">
        <v>190</v>
      </c>
      <c r="Q271" s="44">
        <v>0</v>
      </c>
      <c r="R271" s="37">
        <v>100</v>
      </c>
      <c r="S271" s="37" t="s">
        <v>219</v>
      </c>
      <c r="T271" s="48">
        <v>5</v>
      </c>
      <c r="U271" s="30">
        <f>M271/W271</f>
        <v>904409.57</v>
      </c>
      <c r="V271" s="41">
        <f t="shared" si="55"/>
        <v>4522047.8499999996</v>
      </c>
      <c r="W271" s="41">
        <f t="shared" si="54"/>
        <v>130</v>
      </c>
      <c r="X271" s="41">
        <v>90</v>
      </c>
      <c r="Y271" s="41">
        <v>0</v>
      </c>
      <c r="Z271" s="41">
        <v>0</v>
      </c>
      <c r="AA271" s="41">
        <v>0</v>
      </c>
      <c r="AB271" s="41">
        <v>0</v>
      </c>
      <c r="AC271" s="41">
        <v>40</v>
      </c>
      <c r="AD271" s="41">
        <v>0</v>
      </c>
      <c r="AE271" s="41">
        <v>0</v>
      </c>
      <c r="AF271" s="41">
        <v>0</v>
      </c>
      <c r="AG271" s="41">
        <v>0</v>
      </c>
      <c r="AH271" s="41">
        <v>0</v>
      </c>
      <c r="AI271" s="41">
        <v>0</v>
      </c>
      <c r="AJ271" s="41">
        <v>0</v>
      </c>
      <c r="AK271" s="41">
        <v>0</v>
      </c>
      <c r="AL271" s="41">
        <v>0</v>
      </c>
      <c r="AM271" s="41"/>
      <c r="AN271" s="41">
        <f t="shared" si="56"/>
        <v>26</v>
      </c>
      <c r="AO271" s="41">
        <f t="shared" si="58"/>
        <v>26</v>
      </c>
      <c r="AP271" s="40" t="s">
        <v>1755</v>
      </c>
      <c r="AQ271" s="36">
        <v>44946</v>
      </c>
      <c r="AR271" s="36">
        <v>45108</v>
      </c>
      <c r="AS271" s="36"/>
      <c r="AT271" s="36">
        <v>44962</v>
      </c>
      <c r="AU271" s="36">
        <v>45122</v>
      </c>
      <c r="AV271" s="38"/>
      <c r="AW271" s="40" t="s">
        <v>87</v>
      </c>
    </row>
    <row r="272" spans="1:49" s="34" customFormat="1" ht="72" x14ac:dyDescent="0.3">
      <c r="A272" s="39" t="s">
        <v>1756</v>
      </c>
      <c r="B272" s="36">
        <v>44902</v>
      </c>
      <c r="C272" s="37">
        <v>545</v>
      </c>
      <c r="D272" s="39" t="s">
        <v>1757</v>
      </c>
      <c r="E272" s="1" t="s">
        <v>1758</v>
      </c>
      <c r="F272" s="36">
        <v>44935</v>
      </c>
      <c r="G272" s="37" t="s">
        <v>1759</v>
      </c>
      <c r="H272" s="40" t="s">
        <v>186</v>
      </c>
      <c r="I272" s="40" t="s">
        <v>1747</v>
      </c>
      <c r="J272" s="41">
        <v>284889014.55000001</v>
      </c>
      <c r="K272" s="41">
        <v>284889014.55000001</v>
      </c>
      <c r="L272" s="30">
        <v>339153588.75</v>
      </c>
      <c r="M272" s="30">
        <f t="shared" si="59"/>
        <v>339153588.75</v>
      </c>
      <c r="N272" s="40" t="s">
        <v>1748</v>
      </c>
      <c r="O272" s="40" t="s">
        <v>1749</v>
      </c>
      <c r="P272" s="40" t="s">
        <v>190</v>
      </c>
      <c r="Q272" s="44">
        <v>0</v>
      </c>
      <c r="R272" s="37">
        <v>100</v>
      </c>
      <c r="S272" s="37" t="s">
        <v>219</v>
      </c>
      <c r="T272" s="48">
        <v>5</v>
      </c>
      <c r="U272" s="30">
        <f>M272/W272</f>
        <v>904409.57</v>
      </c>
      <c r="V272" s="41">
        <f t="shared" si="55"/>
        <v>4522047.8499999996</v>
      </c>
      <c r="W272" s="41">
        <f t="shared" si="54"/>
        <v>375</v>
      </c>
      <c r="X272" s="41">
        <v>210</v>
      </c>
      <c r="Y272" s="41">
        <v>0</v>
      </c>
      <c r="Z272" s="41">
        <v>0</v>
      </c>
      <c r="AA272" s="41">
        <v>0</v>
      </c>
      <c r="AB272" s="41">
        <v>0</v>
      </c>
      <c r="AC272" s="41">
        <f>105+60</f>
        <v>165</v>
      </c>
      <c r="AD272" s="41">
        <v>0</v>
      </c>
      <c r="AE272" s="41">
        <v>0</v>
      </c>
      <c r="AF272" s="41">
        <v>0</v>
      </c>
      <c r="AG272" s="41">
        <v>0</v>
      </c>
      <c r="AH272" s="41">
        <v>0</v>
      </c>
      <c r="AI272" s="41">
        <v>0</v>
      </c>
      <c r="AJ272" s="41">
        <v>0</v>
      </c>
      <c r="AK272" s="41">
        <v>0</v>
      </c>
      <c r="AL272" s="41">
        <v>0</v>
      </c>
      <c r="AM272" s="41"/>
      <c r="AN272" s="41">
        <f t="shared" si="56"/>
        <v>75</v>
      </c>
      <c r="AO272" s="41">
        <f t="shared" si="58"/>
        <v>75</v>
      </c>
      <c r="AP272" s="40" t="s">
        <v>1760</v>
      </c>
      <c r="AQ272" s="36">
        <v>44946</v>
      </c>
      <c r="AR272" s="36">
        <v>45108</v>
      </c>
      <c r="AS272" s="36"/>
      <c r="AT272" s="36">
        <v>44962</v>
      </c>
      <c r="AU272" s="36">
        <v>45122</v>
      </c>
      <c r="AV272" s="38"/>
      <c r="AW272" s="40" t="s">
        <v>87</v>
      </c>
    </row>
    <row r="273" spans="1:49" ht="72" x14ac:dyDescent="0.3">
      <c r="A273" s="39" t="s">
        <v>1761</v>
      </c>
      <c r="B273" s="36">
        <v>44902</v>
      </c>
      <c r="C273" s="37">
        <v>545</v>
      </c>
      <c r="D273" s="39" t="s">
        <v>1762</v>
      </c>
      <c r="E273" s="1" t="s">
        <v>1763</v>
      </c>
      <c r="F273" s="36">
        <v>44935</v>
      </c>
      <c r="G273" s="37" t="s">
        <v>1764</v>
      </c>
      <c r="H273" s="40" t="s">
        <v>186</v>
      </c>
      <c r="I273" s="40" t="s">
        <v>1747</v>
      </c>
      <c r="J273" s="41">
        <v>171837818.30000001</v>
      </c>
      <c r="K273" s="41">
        <v>171837818.30000001</v>
      </c>
      <c r="L273" s="30">
        <v>185403961.84999999</v>
      </c>
      <c r="M273" s="30">
        <f t="shared" si="59"/>
        <v>185403961.84999999</v>
      </c>
      <c r="N273" s="40" t="s">
        <v>1748</v>
      </c>
      <c r="O273" s="40" t="s">
        <v>1749</v>
      </c>
      <c r="P273" s="40" t="s">
        <v>190</v>
      </c>
      <c r="Q273" s="44">
        <v>0</v>
      </c>
      <c r="R273" s="37">
        <v>100</v>
      </c>
      <c r="S273" s="37" t="s">
        <v>219</v>
      </c>
      <c r="T273" s="48">
        <v>5</v>
      </c>
      <c r="U273" s="30">
        <f>M273/W273</f>
        <v>904409.57</v>
      </c>
      <c r="V273" s="41">
        <f t="shared" si="55"/>
        <v>4522047.8499999996</v>
      </c>
      <c r="W273" s="41">
        <f t="shared" si="54"/>
        <v>205</v>
      </c>
      <c r="X273" s="41">
        <v>135</v>
      </c>
      <c r="Y273" s="41">
        <v>0</v>
      </c>
      <c r="Z273" s="41">
        <v>0</v>
      </c>
      <c r="AA273" s="41">
        <v>0</v>
      </c>
      <c r="AB273" s="41">
        <v>0</v>
      </c>
      <c r="AC273" s="41">
        <v>70</v>
      </c>
      <c r="AD273" s="41">
        <v>0</v>
      </c>
      <c r="AE273" s="41">
        <v>0</v>
      </c>
      <c r="AF273" s="41">
        <v>0</v>
      </c>
      <c r="AG273" s="41">
        <v>0</v>
      </c>
      <c r="AH273" s="41">
        <v>0</v>
      </c>
      <c r="AI273" s="41">
        <v>0</v>
      </c>
      <c r="AJ273" s="41">
        <v>0</v>
      </c>
      <c r="AK273" s="41">
        <v>0</v>
      </c>
      <c r="AL273" s="41">
        <v>0</v>
      </c>
      <c r="AM273" s="41"/>
      <c r="AN273" s="41">
        <f t="shared" si="56"/>
        <v>41</v>
      </c>
      <c r="AO273" s="41">
        <f t="shared" si="58"/>
        <v>41</v>
      </c>
      <c r="AP273" s="40" t="s">
        <v>1765</v>
      </c>
      <c r="AQ273" s="36">
        <v>44946</v>
      </c>
      <c r="AR273" s="36">
        <v>45108</v>
      </c>
      <c r="AS273" s="36"/>
      <c r="AT273" s="36">
        <v>44962</v>
      </c>
      <c r="AU273" s="36">
        <v>45122</v>
      </c>
      <c r="AV273" s="38"/>
      <c r="AW273" s="40" t="s">
        <v>87</v>
      </c>
    </row>
    <row r="274" spans="1:49" ht="72" x14ac:dyDescent="0.3">
      <c r="A274" s="39" t="s">
        <v>1766</v>
      </c>
      <c r="B274" s="36">
        <v>44902</v>
      </c>
      <c r="C274" s="37">
        <v>545</v>
      </c>
      <c r="D274" s="39" t="s">
        <v>1767</v>
      </c>
      <c r="E274" s="1" t="s">
        <v>1768</v>
      </c>
      <c r="F274" s="36">
        <v>44935</v>
      </c>
      <c r="G274" s="37" t="s">
        <v>1769</v>
      </c>
      <c r="H274" s="40" t="s">
        <v>186</v>
      </c>
      <c r="I274" s="40" t="s">
        <v>1747</v>
      </c>
      <c r="J274" s="41">
        <v>293933110.25</v>
      </c>
      <c r="K274" s="41">
        <v>293933110.25</v>
      </c>
      <c r="L274" s="30">
        <v>339153588.75</v>
      </c>
      <c r="M274" s="30">
        <f t="shared" si="59"/>
        <v>339153588.75</v>
      </c>
      <c r="N274" s="40" t="s">
        <v>1748</v>
      </c>
      <c r="O274" s="40" t="s">
        <v>1749</v>
      </c>
      <c r="P274" s="40" t="s">
        <v>190</v>
      </c>
      <c r="Q274" s="44">
        <v>0</v>
      </c>
      <c r="R274" s="37">
        <v>100</v>
      </c>
      <c r="S274" s="37" t="s">
        <v>219</v>
      </c>
      <c r="T274" s="48">
        <v>5</v>
      </c>
      <c r="U274" s="30">
        <f>M274/W274</f>
        <v>904409.57</v>
      </c>
      <c r="V274" s="41">
        <f t="shared" si="55"/>
        <v>4522047.8499999996</v>
      </c>
      <c r="W274" s="41">
        <f>X274+AC274+AH274</f>
        <v>375</v>
      </c>
      <c r="X274" s="41">
        <v>225</v>
      </c>
      <c r="Y274" s="41">
        <v>0</v>
      </c>
      <c r="Z274" s="41">
        <v>0</v>
      </c>
      <c r="AA274" s="41">
        <v>0</v>
      </c>
      <c r="AB274" s="41">
        <v>0</v>
      </c>
      <c r="AC274" s="41">
        <v>150</v>
      </c>
      <c r="AD274" s="41">
        <v>0</v>
      </c>
      <c r="AE274" s="41">
        <v>0</v>
      </c>
      <c r="AF274" s="41">
        <v>0</v>
      </c>
      <c r="AG274" s="41">
        <v>0</v>
      </c>
      <c r="AH274" s="41">
        <v>0</v>
      </c>
      <c r="AI274" s="41">
        <v>0</v>
      </c>
      <c r="AJ274" s="41">
        <v>0</v>
      </c>
      <c r="AK274" s="41">
        <v>0</v>
      </c>
      <c r="AL274" s="41">
        <v>0</v>
      </c>
      <c r="AM274" s="41"/>
      <c r="AN274" s="41">
        <f t="shared" si="56"/>
        <v>75</v>
      </c>
      <c r="AO274" s="41">
        <f t="shared" si="58"/>
        <v>75</v>
      </c>
      <c r="AP274" s="40" t="s">
        <v>1770</v>
      </c>
      <c r="AQ274" s="36">
        <v>44946</v>
      </c>
      <c r="AR274" s="36">
        <v>45108</v>
      </c>
      <c r="AS274" s="36"/>
      <c r="AT274" s="36">
        <v>44962</v>
      </c>
      <c r="AU274" s="36">
        <v>45122</v>
      </c>
      <c r="AV274" s="38"/>
      <c r="AW274" s="40" t="s">
        <v>87</v>
      </c>
    </row>
    <row r="275" spans="1:49" ht="72" x14ac:dyDescent="0.3">
      <c r="A275" s="39" t="s">
        <v>1771</v>
      </c>
      <c r="B275" s="36">
        <v>44902</v>
      </c>
      <c r="C275" s="37">
        <v>545</v>
      </c>
      <c r="D275" s="39" t="s">
        <v>1772</v>
      </c>
      <c r="E275" s="1" t="s">
        <v>1773</v>
      </c>
      <c r="F275" s="36">
        <v>44935</v>
      </c>
      <c r="G275" s="37" t="s">
        <v>1774</v>
      </c>
      <c r="H275" s="40" t="s">
        <v>186</v>
      </c>
      <c r="I275" s="40" t="s">
        <v>1747</v>
      </c>
      <c r="J275" s="41">
        <v>284889014.55000001</v>
      </c>
      <c r="K275" s="41">
        <v>284889014.55000001</v>
      </c>
      <c r="L275" s="30">
        <v>289411062.39999998</v>
      </c>
      <c r="M275" s="30">
        <f t="shared" si="59"/>
        <v>289411062.39999998</v>
      </c>
      <c r="N275" s="40" t="s">
        <v>1748</v>
      </c>
      <c r="O275" s="40" t="s">
        <v>1749</v>
      </c>
      <c r="P275" s="40" t="s">
        <v>190</v>
      </c>
      <c r="Q275" s="44">
        <v>0</v>
      </c>
      <c r="R275" s="37">
        <v>100</v>
      </c>
      <c r="S275" s="37" t="s">
        <v>219</v>
      </c>
      <c r="T275" s="48">
        <v>5</v>
      </c>
      <c r="U275" s="30">
        <f>M275/W275</f>
        <v>904409.57</v>
      </c>
      <c r="V275" s="41">
        <f t="shared" si="55"/>
        <v>4522047.8499999996</v>
      </c>
      <c r="W275" s="41">
        <f t="shared" si="54"/>
        <v>320</v>
      </c>
      <c r="X275" s="41">
        <v>210</v>
      </c>
      <c r="Y275" s="41">
        <v>0</v>
      </c>
      <c r="Z275" s="41">
        <v>0</v>
      </c>
      <c r="AA275" s="41">
        <v>0</v>
      </c>
      <c r="AB275" s="41">
        <v>0</v>
      </c>
      <c r="AC275" s="41">
        <v>110</v>
      </c>
      <c r="AD275" s="41">
        <v>0</v>
      </c>
      <c r="AE275" s="41">
        <v>0</v>
      </c>
      <c r="AF275" s="41">
        <v>0</v>
      </c>
      <c r="AG275" s="41">
        <v>0</v>
      </c>
      <c r="AH275" s="41">
        <v>0</v>
      </c>
      <c r="AI275" s="41">
        <v>0</v>
      </c>
      <c r="AJ275" s="41">
        <v>0</v>
      </c>
      <c r="AK275" s="41">
        <v>0</v>
      </c>
      <c r="AL275" s="41">
        <v>0</v>
      </c>
      <c r="AM275" s="41"/>
      <c r="AN275" s="41">
        <f t="shared" si="56"/>
        <v>64</v>
      </c>
      <c r="AO275" s="41">
        <f t="shared" si="58"/>
        <v>64</v>
      </c>
      <c r="AP275" s="40" t="s">
        <v>1775</v>
      </c>
      <c r="AQ275" s="36">
        <v>44946</v>
      </c>
      <c r="AR275" s="36">
        <v>45108</v>
      </c>
      <c r="AS275" s="36"/>
      <c r="AT275" s="36">
        <v>44962</v>
      </c>
      <c r="AU275" s="36">
        <v>45122</v>
      </c>
      <c r="AV275" s="38"/>
      <c r="AW275" s="40" t="s">
        <v>87</v>
      </c>
    </row>
    <row r="276" spans="1:49" ht="72" x14ac:dyDescent="0.3">
      <c r="A276" s="39" t="s">
        <v>1776</v>
      </c>
      <c r="B276" s="36">
        <v>44902</v>
      </c>
      <c r="C276" s="37">
        <v>545</v>
      </c>
      <c r="D276" s="39" t="s">
        <v>1777</v>
      </c>
      <c r="E276" s="1" t="s">
        <v>1778</v>
      </c>
      <c r="F276" s="36">
        <v>44935</v>
      </c>
      <c r="G276" s="37" t="s">
        <v>1779</v>
      </c>
      <c r="H276" s="40" t="s">
        <v>186</v>
      </c>
      <c r="I276" s="40" t="s">
        <v>1747</v>
      </c>
      <c r="J276" s="41">
        <v>244190583.90000001</v>
      </c>
      <c r="K276" s="41">
        <v>244190583.90000001</v>
      </c>
      <c r="L276" s="30">
        <v>298455158.10000002</v>
      </c>
      <c r="M276" s="30">
        <f t="shared" ref="M276:M339" si="60">L276</f>
        <v>298455158.10000002</v>
      </c>
      <c r="N276" s="40" t="s">
        <v>1748</v>
      </c>
      <c r="O276" s="40" t="s">
        <v>1749</v>
      </c>
      <c r="P276" s="40" t="s">
        <v>190</v>
      </c>
      <c r="Q276" s="44">
        <v>0</v>
      </c>
      <c r="R276" s="37">
        <v>100</v>
      </c>
      <c r="S276" s="37" t="s">
        <v>219</v>
      </c>
      <c r="T276" s="48">
        <v>5</v>
      </c>
      <c r="U276" s="30">
        <f>M276/W276</f>
        <v>904409.57000000007</v>
      </c>
      <c r="V276" s="41">
        <f t="shared" si="55"/>
        <v>4522047.8500000006</v>
      </c>
      <c r="W276" s="41">
        <f t="shared" si="54"/>
        <v>330</v>
      </c>
      <c r="X276" s="41">
        <v>330</v>
      </c>
      <c r="Y276" s="41">
        <v>0</v>
      </c>
      <c r="Z276" s="41">
        <v>0</v>
      </c>
      <c r="AA276" s="41">
        <v>0</v>
      </c>
      <c r="AB276" s="41">
        <v>0</v>
      </c>
      <c r="AC276" s="41">
        <v>0</v>
      </c>
      <c r="AD276" s="41">
        <v>0</v>
      </c>
      <c r="AE276" s="41">
        <v>0</v>
      </c>
      <c r="AF276" s="41">
        <v>0</v>
      </c>
      <c r="AG276" s="41">
        <v>0</v>
      </c>
      <c r="AH276" s="41">
        <v>0</v>
      </c>
      <c r="AI276" s="41">
        <v>0</v>
      </c>
      <c r="AJ276" s="41">
        <v>0</v>
      </c>
      <c r="AK276" s="41">
        <v>0</v>
      </c>
      <c r="AL276" s="41">
        <v>0</v>
      </c>
      <c r="AM276" s="41"/>
      <c r="AN276" s="41">
        <f t="shared" si="56"/>
        <v>66</v>
      </c>
      <c r="AO276" s="41">
        <f t="shared" si="58"/>
        <v>66</v>
      </c>
      <c r="AP276" s="40" t="s">
        <v>1265</v>
      </c>
      <c r="AQ276" s="36">
        <v>45108</v>
      </c>
      <c r="AR276" s="36"/>
      <c r="AS276" s="36"/>
      <c r="AT276" s="36">
        <v>45122</v>
      </c>
      <c r="AU276" s="36"/>
      <c r="AV276" s="38"/>
      <c r="AW276" s="40" t="s">
        <v>87</v>
      </c>
    </row>
    <row r="277" spans="1:49" ht="72" x14ac:dyDescent="0.3">
      <c r="A277" s="39" t="s">
        <v>1780</v>
      </c>
      <c r="B277" s="36">
        <v>44902</v>
      </c>
      <c r="C277" s="37">
        <v>545</v>
      </c>
      <c r="D277" s="39" t="s">
        <v>1781</v>
      </c>
      <c r="E277" s="1" t="s">
        <v>1782</v>
      </c>
      <c r="F277" s="36">
        <v>44935</v>
      </c>
      <c r="G277" s="37" t="s">
        <v>1783</v>
      </c>
      <c r="H277" s="40" t="s">
        <v>186</v>
      </c>
      <c r="I277" s="40" t="s">
        <v>1747</v>
      </c>
      <c r="J277" s="41">
        <v>298455158.10000002</v>
      </c>
      <c r="K277" s="41">
        <v>298455158.10000002</v>
      </c>
      <c r="L277" s="30">
        <f>K277</f>
        <v>298455158.10000002</v>
      </c>
      <c r="M277" s="30">
        <f t="shared" si="60"/>
        <v>298455158.10000002</v>
      </c>
      <c r="N277" s="40" t="s">
        <v>1748</v>
      </c>
      <c r="O277" s="40" t="s">
        <v>1749</v>
      </c>
      <c r="P277" s="40" t="s">
        <v>190</v>
      </c>
      <c r="Q277" s="44">
        <v>0</v>
      </c>
      <c r="R277" s="37">
        <v>100</v>
      </c>
      <c r="S277" s="37" t="s">
        <v>219</v>
      </c>
      <c r="T277" s="48">
        <v>5</v>
      </c>
      <c r="U277" s="30">
        <f>M277/W277</f>
        <v>904409.57000000007</v>
      </c>
      <c r="V277" s="41">
        <f t="shared" si="55"/>
        <v>4522047.8500000006</v>
      </c>
      <c r="W277" s="41">
        <f t="shared" si="54"/>
        <v>330</v>
      </c>
      <c r="X277" s="41">
        <v>330</v>
      </c>
      <c r="Y277" s="41">
        <v>0</v>
      </c>
      <c r="Z277" s="41">
        <v>0</v>
      </c>
      <c r="AA277" s="41">
        <v>0</v>
      </c>
      <c r="AB277" s="41">
        <v>0</v>
      </c>
      <c r="AC277" s="41">
        <v>0</v>
      </c>
      <c r="AD277" s="41">
        <v>0</v>
      </c>
      <c r="AE277" s="41">
        <v>0</v>
      </c>
      <c r="AF277" s="41">
        <v>0</v>
      </c>
      <c r="AG277" s="41">
        <v>0</v>
      </c>
      <c r="AH277" s="41">
        <v>0</v>
      </c>
      <c r="AI277" s="41">
        <v>0</v>
      </c>
      <c r="AJ277" s="41">
        <v>0</v>
      </c>
      <c r="AK277" s="41">
        <v>0</v>
      </c>
      <c r="AL277" s="41">
        <v>0</v>
      </c>
      <c r="AM277" s="41"/>
      <c r="AN277" s="41">
        <f t="shared" si="56"/>
        <v>66</v>
      </c>
      <c r="AO277" s="41">
        <f t="shared" si="58"/>
        <v>66</v>
      </c>
      <c r="AP277" s="40" t="s">
        <v>1265</v>
      </c>
      <c r="AQ277" s="36">
        <v>44946</v>
      </c>
      <c r="AR277" s="36"/>
      <c r="AS277" s="36"/>
      <c r="AT277" s="36">
        <v>44962</v>
      </c>
      <c r="AU277" s="36"/>
      <c r="AV277" s="38"/>
      <c r="AW277" s="40" t="s">
        <v>87</v>
      </c>
    </row>
    <row r="278" spans="1:49" ht="72" x14ac:dyDescent="0.3">
      <c r="A278" s="39" t="s">
        <v>1784</v>
      </c>
      <c r="B278" s="36">
        <v>44902</v>
      </c>
      <c r="C278" s="37">
        <v>545</v>
      </c>
      <c r="D278" s="39" t="s">
        <v>1785</v>
      </c>
      <c r="E278" s="1" t="s">
        <v>1786</v>
      </c>
      <c r="F278" s="36">
        <v>44935</v>
      </c>
      <c r="G278" s="37" t="s">
        <v>1787</v>
      </c>
      <c r="H278" s="40" t="s">
        <v>186</v>
      </c>
      <c r="I278" s="40" t="s">
        <v>1747</v>
      </c>
      <c r="J278" s="41">
        <v>221580344.65000001</v>
      </c>
      <c r="K278" s="41">
        <v>221580344.65000001</v>
      </c>
      <c r="L278" s="30">
        <f>K278</f>
        <v>221580344.65000001</v>
      </c>
      <c r="M278" s="30">
        <f t="shared" si="60"/>
        <v>221580344.65000001</v>
      </c>
      <c r="N278" s="40" t="s">
        <v>1748</v>
      </c>
      <c r="O278" s="40" t="s">
        <v>1749</v>
      </c>
      <c r="P278" s="40" t="s">
        <v>190</v>
      </c>
      <c r="Q278" s="44">
        <v>0</v>
      </c>
      <c r="R278" s="37">
        <v>100</v>
      </c>
      <c r="S278" s="37" t="s">
        <v>219</v>
      </c>
      <c r="T278" s="48">
        <v>5</v>
      </c>
      <c r="U278" s="30">
        <f>M278/W278</f>
        <v>904409.57000000007</v>
      </c>
      <c r="V278" s="41">
        <f t="shared" si="55"/>
        <v>4522047.8500000006</v>
      </c>
      <c r="W278" s="41">
        <f t="shared" si="54"/>
        <v>245</v>
      </c>
      <c r="X278" s="41">
        <v>170</v>
      </c>
      <c r="Y278" s="41">
        <v>0</v>
      </c>
      <c r="Z278" s="41">
        <v>0</v>
      </c>
      <c r="AA278" s="41">
        <v>0</v>
      </c>
      <c r="AB278" s="41">
        <v>0</v>
      </c>
      <c r="AC278" s="41">
        <v>75</v>
      </c>
      <c r="AD278" s="41">
        <v>0</v>
      </c>
      <c r="AE278" s="41">
        <v>0</v>
      </c>
      <c r="AF278" s="41">
        <v>0</v>
      </c>
      <c r="AG278" s="41">
        <v>0</v>
      </c>
      <c r="AH278" s="41">
        <v>0</v>
      </c>
      <c r="AI278" s="41">
        <v>0</v>
      </c>
      <c r="AJ278" s="41">
        <v>0</v>
      </c>
      <c r="AK278" s="41">
        <v>0</v>
      </c>
      <c r="AL278" s="41">
        <v>0</v>
      </c>
      <c r="AM278" s="41"/>
      <c r="AN278" s="41">
        <f t="shared" si="56"/>
        <v>49</v>
      </c>
      <c r="AO278" s="41">
        <f t="shared" si="58"/>
        <v>49</v>
      </c>
      <c r="AP278" s="40" t="s">
        <v>1788</v>
      </c>
      <c r="AQ278" s="36">
        <v>44946</v>
      </c>
      <c r="AR278" s="36">
        <v>45108</v>
      </c>
      <c r="AS278" s="36"/>
      <c r="AT278" s="36">
        <v>44962</v>
      </c>
      <c r="AU278" s="36">
        <v>45122</v>
      </c>
      <c r="AV278" s="38"/>
      <c r="AW278" s="40" t="s">
        <v>87</v>
      </c>
    </row>
    <row r="279" spans="1:49" ht="72" x14ac:dyDescent="0.3">
      <c r="A279" s="39" t="s">
        <v>1789</v>
      </c>
      <c r="B279" s="36">
        <v>44902</v>
      </c>
      <c r="C279" s="37">
        <v>545</v>
      </c>
      <c r="D279" s="39" t="s">
        <v>1790</v>
      </c>
      <c r="E279" s="1" t="s">
        <v>1791</v>
      </c>
      <c r="F279" s="36">
        <v>44935</v>
      </c>
      <c r="G279" s="37" t="s">
        <v>1792</v>
      </c>
      <c r="H279" s="40" t="s">
        <v>186</v>
      </c>
      <c r="I279" s="40" t="s">
        <v>1747</v>
      </c>
      <c r="J279" s="41">
        <v>293933110.25</v>
      </c>
      <c r="K279" s="41">
        <v>293933110.25</v>
      </c>
      <c r="L279" s="30">
        <v>321065397.35000002</v>
      </c>
      <c r="M279" s="30">
        <f t="shared" si="60"/>
        <v>321065397.35000002</v>
      </c>
      <c r="N279" s="40" t="s">
        <v>1748</v>
      </c>
      <c r="O279" s="40" t="s">
        <v>1749</v>
      </c>
      <c r="P279" s="40" t="s">
        <v>190</v>
      </c>
      <c r="Q279" s="44">
        <v>0</v>
      </c>
      <c r="R279" s="37">
        <v>100</v>
      </c>
      <c r="S279" s="37" t="s">
        <v>219</v>
      </c>
      <c r="T279" s="48">
        <v>5</v>
      </c>
      <c r="U279" s="30">
        <f>M279/W279</f>
        <v>904409.57000000007</v>
      </c>
      <c r="V279" s="41">
        <f t="shared" si="55"/>
        <v>4522047.8500000006</v>
      </c>
      <c r="W279" s="41">
        <f t="shared" si="54"/>
        <v>355</v>
      </c>
      <c r="X279" s="41">
        <v>225</v>
      </c>
      <c r="Y279" s="41">
        <v>0</v>
      </c>
      <c r="Z279" s="41">
        <v>0</v>
      </c>
      <c r="AA279" s="41">
        <v>0</v>
      </c>
      <c r="AB279" s="41">
        <v>0</v>
      </c>
      <c r="AC279" s="41">
        <v>130</v>
      </c>
      <c r="AD279" s="41">
        <v>0</v>
      </c>
      <c r="AE279" s="41">
        <v>0</v>
      </c>
      <c r="AF279" s="41">
        <v>0</v>
      </c>
      <c r="AG279" s="41">
        <v>0</v>
      </c>
      <c r="AH279" s="41">
        <v>0</v>
      </c>
      <c r="AI279" s="41">
        <v>0</v>
      </c>
      <c r="AJ279" s="41">
        <v>0</v>
      </c>
      <c r="AK279" s="41">
        <v>0</v>
      </c>
      <c r="AL279" s="41">
        <v>0</v>
      </c>
      <c r="AM279" s="41"/>
      <c r="AN279" s="41">
        <f t="shared" si="56"/>
        <v>71</v>
      </c>
      <c r="AO279" s="41">
        <f t="shared" si="58"/>
        <v>71</v>
      </c>
      <c r="AP279" s="40" t="s">
        <v>1793</v>
      </c>
      <c r="AQ279" s="36">
        <v>44946</v>
      </c>
      <c r="AR279" s="36">
        <v>45108</v>
      </c>
      <c r="AS279" s="36"/>
      <c r="AT279" s="36">
        <v>44962</v>
      </c>
      <c r="AU279" s="36">
        <v>45122</v>
      </c>
      <c r="AV279" s="38"/>
      <c r="AW279" s="40" t="s">
        <v>87</v>
      </c>
    </row>
    <row r="280" spans="1:49" ht="72" x14ac:dyDescent="0.3">
      <c r="A280" s="39" t="s">
        <v>1794</v>
      </c>
      <c r="B280" s="36">
        <v>44902</v>
      </c>
      <c r="C280" s="37">
        <v>545</v>
      </c>
      <c r="D280" s="39" t="s">
        <v>1795</v>
      </c>
      <c r="E280" s="1" t="s">
        <v>1796</v>
      </c>
      <c r="F280" s="36">
        <v>44935</v>
      </c>
      <c r="G280" s="37" t="s">
        <v>1797</v>
      </c>
      <c r="H280" s="40" t="s">
        <v>186</v>
      </c>
      <c r="I280" s="40" t="s">
        <v>1747</v>
      </c>
      <c r="J280" s="41">
        <v>167315770.44999999</v>
      </c>
      <c r="K280" s="41">
        <v>167315770.44999999</v>
      </c>
      <c r="L280" s="30">
        <f>K280</f>
        <v>167315770.44999999</v>
      </c>
      <c r="M280" s="30">
        <f t="shared" si="60"/>
        <v>167315770.44999999</v>
      </c>
      <c r="N280" s="40" t="s">
        <v>1748</v>
      </c>
      <c r="O280" s="40" t="s">
        <v>1749</v>
      </c>
      <c r="P280" s="40" t="s">
        <v>190</v>
      </c>
      <c r="Q280" s="44">
        <v>0</v>
      </c>
      <c r="R280" s="37">
        <v>100</v>
      </c>
      <c r="S280" s="37" t="s">
        <v>219</v>
      </c>
      <c r="T280" s="48">
        <v>5</v>
      </c>
      <c r="U280" s="30">
        <f>M280/W280</f>
        <v>904409.57</v>
      </c>
      <c r="V280" s="41">
        <f t="shared" si="55"/>
        <v>4522047.8499999996</v>
      </c>
      <c r="W280" s="41">
        <f t="shared" si="54"/>
        <v>185</v>
      </c>
      <c r="X280" s="41">
        <v>130</v>
      </c>
      <c r="Y280" s="41">
        <v>0</v>
      </c>
      <c r="Z280" s="41">
        <v>0</v>
      </c>
      <c r="AA280" s="41">
        <v>0</v>
      </c>
      <c r="AB280" s="41">
        <v>0</v>
      </c>
      <c r="AC280" s="41">
        <v>55</v>
      </c>
      <c r="AD280" s="41">
        <v>0</v>
      </c>
      <c r="AE280" s="41">
        <v>0</v>
      </c>
      <c r="AF280" s="41">
        <v>0</v>
      </c>
      <c r="AG280" s="41">
        <v>0</v>
      </c>
      <c r="AH280" s="41">
        <v>0</v>
      </c>
      <c r="AI280" s="41">
        <v>0</v>
      </c>
      <c r="AJ280" s="41">
        <v>0</v>
      </c>
      <c r="AK280" s="41">
        <v>0</v>
      </c>
      <c r="AL280" s="41">
        <v>0</v>
      </c>
      <c r="AM280" s="41"/>
      <c r="AN280" s="41">
        <f t="shared" si="56"/>
        <v>37</v>
      </c>
      <c r="AO280" s="41">
        <f t="shared" si="58"/>
        <v>37</v>
      </c>
      <c r="AP280" s="40" t="s">
        <v>1798</v>
      </c>
      <c r="AQ280" s="36">
        <v>44946</v>
      </c>
      <c r="AR280" s="36">
        <v>45108</v>
      </c>
      <c r="AS280" s="36"/>
      <c r="AT280" s="36">
        <v>44962</v>
      </c>
      <c r="AU280" s="36">
        <v>45122</v>
      </c>
      <c r="AV280" s="38"/>
      <c r="AW280" s="40" t="s">
        <v>87</v>
      </c>
    </row>
    <row r="281" spans="1:49" ht="72" x14ac:dyDescent="0.3">
      <c r="A281" s="39" t="s">
        <v>1799</v>
      </c>
      <c r="B281" s="36">
        <v>44902</v>
      </c>
      <c r="C281" s="37">
        <v>545</v>
      </c>
      <c r="D281" s="39" t="s">
        <v>1800</v>
      </c>
      <c r="E281" s="1" t="s">
        <v>1801</v>
      </c>
      <c r="F281" s="36">
        <v>44935</v>
      </c>
      <c r="G281" s="37" t="s">
        <v>1802</v>
      </c>
      <c r="H281" s="40" t="s">
        <v>1803</v>
      </c>
      <c r="I281" s="40" t="s">
        <v>1747</v>
      </c>
      <c r="J281" s="41">
        <v>230624440.34999999</v>
      </c>
      <c r="K281" s="41">
        <v>230624440.34999999</v>
      </c>
      <c r="L281" s="30">
        <v>257756727.44999999</v>
      </c>
      <c r="M281" s="30">
        <f t="shared" si="60"/>
        <v>257756727.44999999</v>
      </c>
      <c r="N281" s="40" t="s">
        <v>1748</v>
      </c>
      <c r="O281" s="40" t="s">
        <v>1749</v>
      </c>
      <c r="P281" s="40" t="s">
        <v>190</v>
      </c>
      <c r="Q281" s="44">
        <v>0</v>
      </c>
      <c r="R281" s="37">
        <v>100</v>
      </c>
      <c r="S281" s="37" t="s">
        <v>219</v>
      </c>
      <c r="T281" s="48">
        <v>5</v>
      </c>
      <c r="U281" s="30">
        <f>M281/W281</f>
        <v>904409.57</v>
      </c>
      <c r="V281" s="41">
        <f t="shared" si="55"/>
        <v>4522047.8499999996</v>
      </c>
      <c r="W281" s="41">
        <f t="shared" si="54"/>
        <v>285</v>
      </c>
      <c r="X281" s="41">
        <v>180</v>
      </c>
      <c r="Y281" s="41">
        <v>0</v>
      </c>
      <c r="Z281" s="41">
        <v>0</v>
      </c>
      <c r="AA281" s="41">
        <v>0</v>
      </c>
      <c r="AB281" s="41">
        <v>0</v>
      </c>
      <c r="AC281" s="41">
        <v>105</v>
      </c>
      <c r="AD281" s="41">
        <v>0</v>
      </c>
      <c r="AE281" s="41">
        <v>0</v>
      </c>
      <c r="AF281" s="41">
        <v>0</v>
      </c>
      <c r="AG281" s="41">
        <v>0</v>
      </c>
      <c r="AH281" s="41">
        <v>0</v>
      </c>
      <c r="AI281" s="41">
        <v>0</v>
      </c>
      <c r="AJ281" s="41">
        <v>0</v>
      </c>
      <c r="AK281" s="41">
        <v>0</v>
      </c>
      <c r="AL281" s="41">
        <v>0</v>
      </c>
      <c r="AM281" s="41"/>
      <c r="AN281" s="41">
        <f t="shared" si="56"/>
        <v>57</v>
      </c>
      <c r="AO281" s="41">
        <f t="shared" si="58"/>
        <v>57</v>
      </c>
      <c r="AP281" s="40" t="s">
        <v>1804</v>
      </c>
      <c r="AQ281" s="36">
        <v>44946</v>
      </c>
      <c r="AR281" s="36">
        <v>45108</v>
      </c>
      <c r="AS281" s="36"/>
      <c r="AT281" s="36">
        <v>44962</v>
      </c>
      <c r="AU281" s="36">
        <v>45122</v>
      </c>
      <c r="AV281" s="38"/>
      <c r="AW281" s="40" t="s">
        <v>87</v>
      </c>
    </row>
    <row r="282" spans="1:49" ht="63.6" customHeight="1" x14ac:dyDescent="0.3">
      <c r="A282" s="39" t="s">
        <v>1805</v>
      </c>
      <c r="B282" s="36">
        <v>44902</v>
      </c>
      <c r="C282" s="37">
        <v>545</v>
      </c>
      <c r="D282" s="39" t="s">
        <v>1806</v>
      </c>
      <c r="E282" s="1" t="s">
        <v>1807</v>
      </c>
      <c r="F282" s="36">
        <v>44935</v>
      </c>
      <c r="G282" s="37" t="s">
        <v>1808</v>
      </c>
      <c r="H282" s="40" t="s">
        <v>1803</v>
      </c>
      <c r="I282" s="40" t="s">
        <v>1747</v>
      </c>
      <c r="J282" s="41">
        <v>253234679.59999999</v>
      </c>
      <c r="K282" s="41">
        <v>253234679.59999999</v>
      </c>
      <c r="L282" s="30">
        <v>271322871</v>
      </c>
      <c r="M282" s="30">
        <f t="shared" si="60"/>
        <v>271322871</v>
      </c>
      <c r="N282" s="40" t="s">
        <v>1748</v>
      </c>
      <c r="O282" s="40" t="s">
        <v>1749</v>
      </c>
      <c r="P282" s="40" t="s">
        <v>190</v>
      </c>
      <c r="Q282" s="44">
        <v>0</v>
      </c>
      <c r="R282" s="37">
        <v>100</v>
      </c>
      <c r="S282" s="37" t="s">
        <v>219</v>
      </c>
      <c r="T282" s="48">
        <v>5</v>
      </c>
      <c r="U282" s="30">
        <f>M282/W282</f>
        <v>904409.57</v>
      </c>
      <c r="V282" s="41">
        <f t="shared" si="55"/>
        <v>4522047.8499999996</v>
      </c>
      <c r="W282" s="41">
        <f t="shared" si="54"/>
        <v>300</v>
      </c>
      <c r="X282" s="41">
        <v>180</v>
      </c>
      <c r="Y282" s="41">
        <v>0</v>
      </c>
      <c r="Z282" s="41">
        <v>0</v>
      </c>
      <c r="AA282" s="41">
        <v>0</v>
      </c>
      <c r="AB282" s="41">
        <v>0</v>
      </c>
      <c r="AC282" s="41">
        <v>120</v>
      </c>
      <c r="AD282" s="41">
        <v>0</v>
      </c>
      <c r="AE282" s="41">
        <v>0</v>
      </c>
      <c r="AF282" s="41">
        <v>0</v>
      </c>
      <c r="AG282" s="41">
        <v>0</v>
      </c>
      <c r="AH282" s="41">
        <v>0</v>
      </c>
      <c r="AI282" s="41">
        <v>0</v>
      </c>
      <c r="AJ282" s="41">
        <v>0</v>
      </c>
      <c r="AK282" s="41">
        <v>0</v>
      </c>
      <c r="AL282" s="41">
        <v>0</v>
      </c>
      <c r="AM282" s="41"/>
      <c r="AN282" s="41">
        <f t="shared" si="56"/>
        <v>60</v>
      </c>
      <c r="AO282" s="41">
        <f t="shared" si="58"/>
        <v>60</v>
      </c>
      <c r="AP282" s="40" t="s">
        <v>1809</v>
      </c>
      <c r="AQ282" s="36">
        <v>44946</v>
      </c>
      <c r="AR282" s="36">
        <v>45108</v>
      </c>
      <c r="AS282" s="36"/>
      <c r="AT282" s="36">
        <v>44962</v>
      </c>
      <c r="AU282" s="36">
        <v>45122</v>
      </c>
      <c r="AV282" s="38"/>
      <c r="AW282" s="40" t="s">
        <v>87</v>
      </c>
    </row>
    <row r="283" spans="1:49" ht="59.25" customHeight="1" x14ac:dyDescent="0.3">
      <c r="A283" s="39" t="s">
        <v>1810</v>
      </c>
      <c r="B283" s="36">
        <v>44903</v>
      </c>
      <c r="C283" s="37">
        <v>545</v>
      </c>
      <c r="D283" s="39" t="s">
        <v>1811</v>
      </c>
      <c r="E283" s="1" t="s">
        <v>1812</v>
      </c>
      <c r="F283" s="36">
        <v>44935</v>
      </c>
      <c r="G283" s="37" t="s">
        <v>1813</v>
      </c>
      <c r="H283" s="40" t="s">
        <v>186</v>
      </c>
      <c r="I283" s="40" t="s">
        <v>1747</v>
      </c>
      <c r="J283" s="41">
        <v>266800823.15000001</v>
      </c>
      <c r="K283" s="41">
        <v>266800823.15000001</v>
      </c>
      <c r="L283" s="30">
        <v>293933110.25</v>
      </c>
      <c r="M283" s="30">
        <f t="shared" si="60"/>
        <v>293933110.25</v>
      </c>
      <c r="N283" s="40" t="s">
        <v>1748</v>
      </c>
      <c r="O283" s="40" t="s">
        <v>1749</v>
      </c>
      <c r="P283" s="40" t="s">
        <v>190</v>
      </c>
      <c r="Q283" s="44">
        <v>0</v>
      </c>
      <c r="R283" s="37">
        <v>100</v>
      </c>
      <c r="S283" s="37" t="s">
        <v>219</v>
      </c>
      <c r="T283" s="48">
        <v>5</v>
      </c>
      <c r="U283" s="30">
        <f>M283/W283</f>
        <v>904409.57</v>
      </c>
      <c r="V283" s="41">
        <f t="shared" si="55"/>
        <v>4522047.8499999996</v>
      </c>
      <c r="W283" s="41">
        <f t="shared" si="54"/>
        <v>325</v>
      </c>
      <c r="X283" s="41">
        <v>205</v>
      </c>
      <c r="Y283" s="41">
        <v>0</v>
      </c>
      <c r="Z283" s="41">
        <v>0</v>
      </c>
      <c r="AA283" s="41">
        <v>0</v>
      </c>
      <c r="AB283" s="41">
        <v>0</v>
      </c>
      <c r="AC283" s="41">
        <v>120</v>
      </c>
      <c r="AD283" s="41">
        <v>0</v>
      </c>
      <c r="AE283" s="41">
        <v>0</v>
      </c>
      <c r="AF283" s="41">
        <v>0</v>
      </c>
      <c r="AG283" s="41">
        <v>0</v>
      </c>
      <c r="AH283" s="41">
        <v>0</v>
      </c>
      <c r="AI283" s="41">
        <v>0</v>
      </c>
      <c r="AJ283" s="41">
        <v>0</v>
      </c>
      <c r="AK283" s="41">
        <v>0</v>
      </c>
      <c r="AL283" s="41">
        <v>0</v>
      </c>
      <c r="AM283" s="41"/>
      <c r="AN283" s="41">
        <f t="shared" si="56"/>
        <v>65</v>
      </c>
      <c r="AO283" s="41">
        <f t="shared" si="58"/>
        <v>65</v>
      </c>
      <c r="AP283" s="40" t="s">
        <v>1814</v>
      </c>
      <c r="AQ283" s="36">
        <v>44946</v>
      </c>
      <c r="AR283" s="36">
        <v>45108</v>
      </c>
      <c r="AS283" s="36"/>
      <c r="AT283" s="36">
        <v>44962</v>
      </c>
      <c r="AU283" s="36">
        <v>45122</v>
      </c>
      <c r="AV283" s="38"/>
      <c r="AW283" s="40" t="s">
        <v>87</v>
      </c>
    </row>
    <row r="284" spans="1:49" ht="59.25" customHeight="1" x14ac:dyDescent="0.3">
      <c r="A284" s="39" t="s">
        <v>1815</v>
      </c>
      <c r="B284" s="36">
        <v>44903</v>
      </c>
      <c r="C284" s="37">
        <v>545</v>
      </c>
      <c r="D284" s="39" t="s">
        <v>1816</v>
      </c>
      <c r="E284" s="1" t="s">
        <v>1817</v>
      </c>
      <c r="F284" s="36">
        <v>44935</v>
      </c>
      <c r="G284" s="37" t="s">
        <v>1818</v>
      </c>
      <c r="H284" s="40" t="s">
        <v>186</v>
      </c>
      <c r="I284" s="40" t="s">
        <v>1747</v>
      </c>
      <c r="J284" s="37">
        <v>293933110.25</v>
      </c>
      <c r="K284" s="41">
        <v>293933110.25</v>
      </c>
      <c r="L284" s="30">
        <f>K284</f>
        <v>293933110.25</v>
      </c>
      <c r="M284" s="30">
        <f t="shared" si="60"/>
        <v>293933110.25</v>
      </c>
      <c r="N284" s="40" t="s">
        <v>1748</v>
      </c>
      <c r="O284" s="40" t="s">
        <v>1749</v>
      </c>
      <c r="P284" s="40" t="s">
        <v>190</v>
      </c>
      <c r="Q284" s="44">
        <v>0</v>
      </c>
      <c r="R284" s="37">
        <v>100</v>
      </c>
      <c r="S284" s="37" t="s">
        <v>219</v>
      </c>
      <c r="T284" s="48">
        <v>5</v>
      </c>
      <c r="U284" s="30">
        <f>M284/W284</f>
        <v>904409.57</v>
      </c>
      <c r="V284" s="41">
        <f t="shared" si="55"/>
        <v>4522047.8499999996</v>
      </c>
      <c r="W284" s="41">
        <f t="shared" si="54"/>
        <v>325</v>
      </c>
      <c r="X284" s="41">
        <v>225</v>
      </c>
      <c r="Y284" s="41">
        <v>0</v>
      </c>
      <c r="Z284" s="41">
        <v>0</v>
      </c>
      <c r="AA284" s="41">
        <v>0</v>
      </c>
      <c r="AB284" s="41">
        <v>0</v>
      </c>
      <c r="AC284" s="41">
        <v>100</v>
      </c>
      <c r="AD284" s="41">
        <v>0</v>
      </c>
      <c r="AE284" s="41">
        <v>0</v>
      </c>
      <c r="AF284" s="41">
        <v>0</v>
      </c>
      <c r="AG284" s="41">
        <v>0</v>
      </c>
      <c r="AH284" s="41">
        <v>0</v>
      </c>
      <c r="AI284" s="41">
        <v>0</v>
      </c>
      <c r="AJ284" s="41">
        <v>0</v>
      </c>
      <c r="AK284" s="41">
        <v>0</v>
      </c>
      <c r="AL284" s="41">
        <v>0</v>
      </c>
      <c r="AM284" s="41"/>
      <c r="AN284" s="41">
        <f t="shared" si="56"/>
        <v>65</v>
      </c>
      <c r="AO284" s="41">
        <f t="shared" si="58"/>
        <v>65</v>
      </c>
      <c r="AP284" s="40" t="s">
        <v>1819</v>
      </c>
      <c r="AQ284" s="36">
        <v>44946</v>
      </c>
      <c r="AR284" s="36">
        <v>45108</v>
      </c>
      <c r="AS284" s="36"/>
      <c r="AT284" s="36">
        <v>44962</v>
      </c>
      <c r="AU284" s="36">
        <v>45122</v>
      </c>
      <c r="AV284" s="38"/>
      <c r="AW284" s="40" t="s">
        <v>87</v>
      </c>
    </row>
    <row r="285" spans="1:49" ht="59.25" customHeight="1" x14ac:dyDescent="0.3">
      <c r="A285" s="39" t="s">
        <v>1820</v>
      </c>
      <c r="B285" s="36">
        <v>44903</v>
      </c>
      <c r="C285" s="37">
        <v>545</v>
      </c>
      <c r="D285" s="39" t="s">
        <v>1821</v>
      </c>
      <c r="E285" s="1" t="s">
        <v>1822</v>
      </c>
      <c r="F285" s="36">
        <v>44936</v>
      </c>
      <c r="G285" s="37" t="s">
        <v>1823</v>
      </c>
      <c r="H285" s="40" t="s">
        <v>186</v>
      </c>
      <c r="I285" s="40" t="s">
        <v>1747</v>
      </c>
      <c r="J285" s="41">
        <v>212536248.94999999</v>
      </c>
      <c r="K285" s="41">
        <v>212536248.94999999</v>
      </c>
      <c r="L285" s="30">
        <v>226102392.5</v>
      </c>
      <c r="M285" s="30">
        <f t="shared" si="60"/>
        <v>226102392.5</v>
      </c>
      <c r="N285" s="40" t="s">
        <v>1748</v>
      </c>
      <c r="O285" s="40" t="s">
        <v>1749</v>
      </c>
      <c r="P285" s="40" t="s">
        <v>190</v>
      </c>
      <c r="Q285" s="44">
        <v>0</v>
      </c>
      <c r="R285" s="37">
        <v>100</v>
      </c>
      <c r="S285" s="37" t="s">
        <v>219</v>
      </c>
      <c r="T285" s="48">
        <v>5</v>
      </c>
      <c r="U285" s="30">
        <f>M285/W285</f>
        <v>904409.57</v>
      </c>
      <c r="V285" s="41">
        <f t="shared" si="55"/>
        <v>4522047.8499999996</v>
      </c>
      <c r="W285" s="41">
        <f t="shared" si="54"/>
        <v>250</v>
      </c>
      <c r="X285" s="41">
        <v>165</v>
      </c>
      <c r="Y285" s="41">
        <v>0</v>
      </c>
      <c r="Z285" s="41">
        <v>0</v>
      </c>
      <c r="AA285" s="41">
        <v>0</v>
      </c>
      <c r="AB285" s="41">
        <v>0</v>
      </c>
      <c r="AC285" s="41">
        <v>85</v>
      </c>
      <c r="AD285" s="41">
        <v>0</v>
      </c>
      <c r="AE285" s="41">
        <v>0</v>
      </c>
      <c r="AF285" s="41">
        <v>0</v>
      </c>
      <c r="AG285" s="41">
        <v>0</v>
      </c>
      <c r="AH285" s="41">
        <v>0</v>
      </c>
      <c r="AI285" s="41">
        <v>0</v>
      </c>
      <c r="AJ285" s="41">
        <v>0</v>
      </c>
      <c r="AK285" s="41">
        <v>0</v>
      </c>
      <c r="AL285" s="41">
        <v>0</v>
      </c>
      <c r="AM285" s="41"/>
      <c r="AN285" s="41">
        <f t="shared" si="56"/>
        <v>50</v>
      </c>
      <c r="AO285" s="41">
        <f t="shared" si="58"/>
        <v>50</v>
      </c>
      <c r="AP285" s="40" t="s">
        <v>1824</v>
      </c>
      <c r="AQ285" s="36">
        <v>44946</v>
      </c>
      <c r="AR285" s="36">
        <v>45108</v>
      </c>
      <c r="AS285" s="36"/>
      <c r="AT285" s="36">
        <v>44962</v>
      </c>
      <c r="AU285" s="36">
        <v>45122</v>
      </c>
      <c r="AV285" s="38"/>
      <c r="AW285" s="40" t="s">
        <v>87</v>
      </c>
    </row>
    <row r="286" spans="1:49" ht="59.25" customHeight="1" x14ac:dyDescent="0.3">
      <c r="A286" s="39" t="s">
        <v>1825</v>
      </c>
      <c r="B286" s="36">
        <v>44903</v>
      </c>
      <c r="C286" s="37">
        <v>545</v>
      </c>
      <c r="D286" s="39" t="s">
        <v>1826</v>
      </c>
      <c r="E286" s="1" t="s">
        <v>1827</v>
      </c>
      <c r="F286" s="36">
        <v>44936</v>
      </c>
      <c r="G286" s="37" t="s">
        <v>1828</v>
      </c>
      <c r="H286" s="40" t="s">
        <v>186</v>
      </c>
      <c r="I286" s="40" t="s">
        <v>1747</v>
      </c>
      <c r="J286" s="41">
        <v>271322871</v>
      </c>
      <c r="K286" s="41">
        <v>271322871</v>
      </c>
      <c r="L286" s="30">
        <v>307499253.80000001</v>
      </c>
      <c r="M286" s="30">
        <f t="shared" si="60"/>
        <v>307499253.80000001</v>
      </c>
      <c r="N286" s="40" t="s">
        <v>1748</v>
      </c>
      <c r="O286" s="40" t="s">
        <v>1749</v>
      </c>
      <c r="P286" s="40" t="s">
        <v>190</v>
      </c>
      <c r="Q286" s="44">
        <v>0</v>
      </c>
      <c r="R286" s="37">
        <v>100</v>
      </c>
      <c r="S286" s="37" t="s">
        <v>219</v>
      </c>
      <c r="T286" s="48">
        <v>5</v>
      </c>
      <c r="U286" s="30">
        <f>M286/W286</f>
        <v>904409.57000000007</v>
      </c>
      <c r="V286" s="41">
        <f t="shared" si="55"/>
        <v>4522047.8500000006</v>
      </c>
      <c r="W286" s="41">
        <f t="shared" si="54"/>
        <v>340</v>
      </c>
      <c r="X286" s="41">
        <v>210</v>
      </c>
      <c r="Y286" s="41">
        <v>0</v>
      </c>
      <c r="Z286" s="41">
        <v>0</v>
      </c>
      <c r="AA286" s="41">
        <v>0</v>
      </c>
      <c r="AB286" s="41">
        <v>0</v>
      </c>
      <c r="AC286" s="41">
        <v>130</v>
      </c>
      <c r="AD286" s="41">
        <v>0</v>
      </c>
      <c r="AE286" s="41">
        <v>0</v>
      </c>
      <c r="AF286" s="41">
        <v>0</v>
      </c>
      <c r="AG286" s="41">
        <v>0</v>
      </c>
      <c r="AH286" s="41">
        <v>0</v>
      </c>
      <c r="AI286" s="41">
        <v>0</v>
      </c>
      <c r="AJ286" s="41">
        <v>0</v>
      </c>
      <c r="AK286" s="41">
        <v>0</v>
      </c>
      <c r="AL286" s="41">
        <v>0</v>
      </c>
      <c r="AM286" s="41"/>
      <c r="AN286" s="41">
        <f t="shared" si="56"/>
        <v>68</v>
      </c>
      <c r="AO286" s="41">
        <f t="shared" si="58"/>
        <v>68</v>
      </c>
      <c r="AP286" s="40" t="s">
        <v>1829</v>
      </c>
      <c r="AQ286" s="36">
        <v>44946</v>
      </c>
      <c r="AR286" s="36">
        <v>45108</v>
      </c>
      <c r="AS286" s="36"/>
      <c r="AT286" s="36">
        <v>44962</v>
      </c>
      <c r="AU286" s="36">
        <v>45122</v>
      </c>
      <c r="AV286" s="38"/>
      <c r="AW286" s="40" t="s">
        <v>87</v>
      </c>
    </row>
    <row r="287" spans="1:49" ht="59.25" customHeight="1" x14ac:dyDescent="0.3">
      <c r="A287" s="39" t="s">
        <v>1830</v>
      </c>
      <c r="B287" s="36">
        <v>44903</v>
      </c>
      <c r="C287" s="37">
        <v>545</v>
      </c>
      <c r="D287" s="39" t="s">
        <v>1831</v>
      </c>
      <c r="E287" s="1" t="s">
        <v>1832</v>
      </c>
      <c r="F287" s="36">
        <v>44936</v>
      </c>
      <c r="G287" s="37" t="s">
        <v>1833</v>
      </c>
      <c r="H287" s="40" t="s">
        <v>186</v>
      </c>
      <c r="I287" s="40" t="s">
        <v>1747</v>
      </c>
      <c r="J287" s="41">
        <v>271322871</v>
      </c>
      <c r="K287" s="41">
        <v>271322871</v>
      </c>
      <c r="L287" s="30">
        <f>K287</f>
        <v>271322871</v>
      </c>
      <c r="M287" s="30">
        <f t="shared" si="60"/>
        <v>271322871</v>
      </c>
      <c r="N287" s="40" t="s">
        <v>1748</v>
      </c>
      <c r="O287" s="40" t="s">
        <v>1749</v>
      </c>
      <c r="P287" s="40" t="s">
        <v>190</v>
      </c>
      <c r="Q287" s="44">
        <v>0</v>
      </c>
      <c r="R287" s="37">
        <v>100</v>
      </c>
      <c r="S287" s="37" t="s">
        <v>219</v>
      </c>
      <c r="T287" s="48">
        <v>5</v>
      </c>
      <c r="U287" s="30">
        <f>M287/W287</f>
        <v>904409.57</v>
      </c>
      <c r="V287" s="41">
        <f t="shared" si="55"/>
        <v>4522047.8499999996</v>
      </c>
      <c r="W287" s="41">
        <f t="shared" si="54"/>
        <v>300</v>
      </c>
      <c r="X287" s="41">
        <v>210</v>
      </c>
      <c r="Y287" s="41">
        <v>0</v>
      </c>
      <c r="Z287" s="41">
        <v>0</v>
      </c>
      <c r="AA287" s="41">
        <v>0</v>
      </c>
      <c r="AB287" s="41">
        <v>0</v>
      </c>
      <c r="AC287" s="41">
        <v>90</v>
      </c>
      <c r="AD287" s="41">
        <v>0</v>
      </c>
      <c r="AE287" s="41">
        <v>0</v>
      </c>
      <c r="AF287" s="41">
        <v>0</v>
      </c>
      <c r="AG287" s="41">
        <v>0</v>
      </c>
      <c r="AH287" s="41">
        <v>0</v>
      </c>
      <c r="AI287" s="41">
        <v>0</v>
      </c>
      <c r="AJ287" s="41">
        <v>0</v>
      </c>
      <c r="AK287" s="41">
        <v>0</v>
      </c>
      <c r="AL287" s="41">
        <v>0</v>
      </c>
      <c r="AM287" s="41"/>
      <c r="AN287" s="41">
        <f t="shared" si="56"/>
        <v>60</v>
      </c>
      <c r="AO287" s="41">
        <f t="shared" si="58"/>
        <v>60</v>
      </c>
      <c r="AP287" s="40" t="s">
        <v>1834</v>
      </c>
      <c r="AQ287" s="36">
        <v>44946</v>
      </c>
      <c r="AR287" s="36">
        <v>45108</v>
      </c>
      <c r="AS287" s="36"/>
      <c r="AT287" s="36">
        <v>44962</v>
      </c>
      <c r="AU287" s="36">
        <v>45122</v>
      </c>
      <c r="AV287" s="38"/>
      <c r="AW287" s="40" t="s">
        <v>87</v>
      </c>
    </row>
    <row r="288" spans="1:49" ht="59.25" customHeight="1" x14ac:dyDescent="0.3">
      <c r="A288" s="39" t="s">
        <v>1835</v>
      </c>
      <c r="B288" s="36">
        <v>44903</v>
      </c>
      <c r="C288" s="37">
        <v>545</v>
      </c>
      <c r="D288" s="39" t="s">
        <v>1836</v>
      </c>
      <c r="E288" s="1" t="s">
        <v>1837</v>
      </c>
      <c r="F288" s="36">
        <v>44936</v>
      </c>
      <c r="G288" s="37" t="s">
        <v>1838</v>
      </c>
      <c r="H288" s="40" t="s">
        <v>186</v>
      </c>
      <c r="I288" s="40" t="s">
        <v>1747</v>
      </c>
      <c r="J288" s="41">
        <v>280366966.69999999</v>
      </c>
      <c r="K288" s="41">
        <v>280366966.69999999</v>
      </c>
      <c r="L288" s="30">
        <v>298455158.10000002</v>
      </c>
      <c r="M288" s="30">
        <f t="shared" si="60"/>
        <v>298455158.10000002</v>
      </c>
      <c r="N288" s="40" t="s">
        <v>1748</v>
      </c>
      <c r="O288" s="40" t="s">
        <v>1749</v>
      </c>
      <c r="P288" s="40" t="s">
        <v>190</v>
      </c>
      <c r="Q288" s="44">
        <v>0</v>
      </c>
      <c r="R288" s="37">
        <v>100</v>
      </c>
      <c r="S288" s="37" t="s">
        <v>219</v>
      </c>
      <c r="T288" s="48">
        <v>5</v>
      </c>
      <c r="U288" s="30">
        <f>M288/W288</f>
        <v>904409.57000000007</v>
      </c>
      <c r="V288" s="41">
        <f t="shared" si="55"/>
        <v>4522047.8500000006</v>
      </c>
      <c r="W288" s="41">
        <f t="shared" si="54"/>
        <v>330</v>
      </c>
      <c r="X288" s="41">
        <v>215</v>
      </c>
      <c r="Y288" s="41">
        <v>0</v>
      </c>
      <c r="Z288" s="41">
        <v>0</v>
      </c>
      <c r="AA288" s="41">
        <v>0</v>
      </c>
      <c r="AB288" s="41">
        <v>0</v>
      </c>
      <c r="AC288" s="41">
        <v>115</v>
      </c>
      <c r="AD288" s="41">
        <v>0</v>
      </c>
      <c r="AE288" s="41">
        <v>0</v>
      </c>
      <c r="AF288" s="41">
        <v>0</v>
      </c>
      <c r="AG288" s="41">
        <v>0</v>
      </c>
      <c r="AH288" s="41">
        <v>0</v>
      </c>
      <c r="AI288" s="41">
        <v>0</v>
      </c>
      <c r="AJ288" s="41">
        <v>0</v>
      </c>
      <c r="AK288" s="41">
        <v>0</v>
      </c>
      <c r="AL288" s="41">
        <v>0</v>
      </c>
      <c r="AM288" s="41"/>
      <c r="AN288" s="41">
        <f t="shared" si="56"/>
        <v>66</v>
      </c>
      <c r="AO288" s="41">
        <f t="shared" si="58"/>
        <v>66</v>
      </c>
      <c r="AP288" s="40" t="s">
        <v>1839</v>
      </c>
      <c r="AQ288" s="36">
        <v>44946</v>
      </c>
      <c r="AR288" s="36">
        <v>45108</v>
      </c>
      <c r="AS288" s="36"/>
      <c r="AT288" s="36">
        <v>44962</v>
      </c>
      <c r="AU288" s="36">
        <v>45122</v>
      </c>
      <c r="AV288" s="38"/>
      <c r="AW288" s="40" t="s">
        <v>87</v>
      </c>
    </row>
    <row r="289" spans="1:49" s="34" customFormat="1" ht="59.25" customHeight="1" x14ac:dyDescent="0.3">
      <c r="A289" s="39" t="s">
        <v>1840</v>
      </c>
      <c r="B289" s="36">
        <v>44903</v>
      </c>
      <c r="C289" s="37">
        <v>545</v>
      </c>
      <c r="D289" s="39" t="s">
        <v>1841</v>
      </c>
      <c r="E289" s="1" t="s">
        <v>1842</v>
      </c>
      <c r="F289" s="36">
        <v>44936</v>
      </c>
      <c r="G289" s="37" t="s">
        <v>1843</v>
      </c>
      <c r="H289" s="40" t="s">
        <v>186</v>
      </c>
      <c r="I289" s="40" t="s">
        <v>1747</v>
      </c>
      <c r="J289" s="41">
        <v>293933110.25</v>
      </c>
      <c r="K289" s="41">
        <v>293933110.25</v>
      </c>
      <c r="L289" s="30">
        <v>330109493.05000001</v>
      </c>
      <c r="M289" s="30">
        <f t="shared" si="60"/>
        <v>330109493.05000001</v>
      </c>
      <c r="N289" s="40" t="s">
        <v>1748</v>
      </c>
      <c r="O289" s="40" t="s">
        <v>1749</v>
      </c>
      <c r="P289" s="40" t="s">
        <v>190</v>
      </c>
      <c r="Q289" s="44">
        <v>0</v>
      </c>
      <c r="R289" s="37">
        <v>100</v>
      </c>
      <c r="S289" s="37" t="s">
        <v>219</v>
      </c>
      <c r="T289" s="48">
        <v>5</v>
      </c>
      <c r="U289" s="30">
        <f>M289/W289</f>
        <v>904409.57000000007</v>
      </c>
      <c r="V289" s="41">
        <f t="shared" si="55"/>
        <v>4522047.8500000006</v>
      </c>
      <c r="W289" s="41">
        <f t="shared" si="54"/>
        <v>365</v>
      </c>
      <c r="X289" s="41">
        <v>220</v>
      </c>
      <c r="Y289" s="41">
        <v>0</v>
      </c>
      <c r="Z289" s="41">
        <v>0</v>
      </c>
      <c r="AA289" s="41">
        <v>0</v>
      </c>
      <c r="AB289" s="41">
        <v>0</v>
      </c>
      <c r="AC289" s="41">
        <v>145</v>
      </c>
      <c r="AD289" s="41">
        <v>0</v>
      </c>
      <c r="AE289" s="41">
        <v>0</v>
      </c>
      <c r="AF289" s="41">
        <v>0</v>
      </c>
      <c r="AG289" s="41">
        <v>0</v>
      </c>
      <c r="AH289" s="41">
        <v>0</v>
      </c>
      <c r="AI289" s="41">
        <v>0</v>
      </c>
      <c r="AJ289" s="41">
        <v>0</v>
      </c>
      <c r="AK289" s="41">
        <v>0</v>
      </c>
      <c r="AL289" s="41">
        <v>0</v>
      </c>
      <c r="AM289" s="41"/>
      <c r="AN289" s="41">
        <f t="shared" si="56"/>
        <v>73</v>
      </c>
      <c r="AO289" s="41">
        <f t="shared" si="58"/>
        <v>73</v>
      </c>
      <c r="AP289" s="40" t="s">
        <v>1844</v>
      </c>
      <c r="AQ289" s="36">
        <v>44946</v>
      </c>
      <c r="AR289" s="36">
        <v>45108</v>
      </c>
      <c r="AS289" s="36"/>
      <c r="AT289" s="36">
        <v>44962</v>
      </c>
      <c r="AU289" s="36">
        <v>45122</v>
      </c>
      <c r="AV289" s="38"/>
      <c r="AW289" s="40" t="s">
        <v>87</v>
      </c>
    </row>
    <row r="290" spans="1:49" s="34" customFormat="1" ht="59.25" customHeight="1" x14ac:dyDescent="0.3">
      <c r="A290" s="39" t="s">
        <v>1845</v>
      </c>
      <c r="B290" s="36">
        <v>44903</v>
      </c>
      <c r="C290" s="37">
        <v>545</v>
      </c>
      <c r="D290" s="39" t="s">
        <v>1846</v>
      </c>
      <c r="E290" s="1" t="s">
        <v>1847</v>
      </c>
      <c r="F290" s="36">
        <v>44936</v>
      </c>
      <c r="G290" s="37" t="s">
        <v>1848</v>
      </c>
      <c r="H290" s="40" t="s">
        <v>186</v>
      </c>
      <c r="I290" s="40" t="s">
        <v>1747</v>
      </c>
      <c r="J290" s="37">
        <v>293933110.25</v>
      </c>
      <c r="K290" s="41">
        <v>293933110.25</v>
      </c>
      <c r="L290" s="30">
        <v>307499253.80000001</v>
      </c>
      <c r="M290" s="30">
        <f t="shared" si="60"/>
        <v>307499253.80000001</v>
      </c>
      <c r="N290" s="40" t="s">
        <v>1748</v>
      </c>
      <c r="O290" s="40" t="s">
        <v>1749</v>
      </c>
      <c r="P290" s="40" t="s">
        <v>190</v>
      </c>
      <c r="Q290" s="44">
        <v>0</v>
      </c>
      <c r="R290" s="37">
        <v>100</v>
      </c>
      <c r="S290" s="37" t="s">
        <v>219</v>
      </c>
      <c r="T290" s="48">
        <v>5</v>
      </c>
      <c r="U290" s="30">
        <f>M290/W290</f>
        <v>904409.57000000007</v>
      </c>
      <c r="V290" s="41">
        <f t="shared" si="55"/>
        <v>4522047.8500000006</v>
      </c>
      <c r="W290" s="41">
        <f t="shared" si="54"/>
        <v>340</v>
      </c>
      <c r="X290" s="41">
        <v>225</v>
      </c>
      <c r="Y290" s="41">
        <v>0</v>
      </c>
      <c r="Z290" s="41">
        <v>0</v>
      </c>
      <c r="AA290" s="41">
        <v>0</v>
      </c>
      <c r="AB290" s="41">
        <v>0</v>
      </c>
      <c r="AC290" s="41">
        <v>115</v>
      </c>
      <c r="AD290" s="41">
        <v>0</v>
      </c>
      <c r="AE290" s="41">
        <v>0</v>
      </c>
      <c r="AF290" s="41">
        <v>0</v>
      </c>
      <c r="AG290" s="41">
        <v>0</v>
      </c>
      <c r="AH290" s="41">
        <v>0</v>
      </c>
      <c r="AI290" s="41">
        <v>0</v>
      </c>
      <c r="AJ290" s="41">
        <v>0</v>
      </c>
      <c r="AK290" s="41">
        <v>0</v>
      </c>
      <c r="AL290" s="41">
        <v>0</v>
      </c>
      <c r="AM290" s="41"/>
      <c r="AN290" s="41">
        <f t="shared" si="56"/>
        <v>68</v>
      </c>
      <c r="AO290" s="41">
        <f t="shared" si="58"/>
        <v>68</v>
      </c>
      <c r="AP290" s="40" t="s">
        <v>1849</v>
      </c>
      <c r="AQ290" s="36">
        <v>44946</v>
      </c>
      <c r="AR290" s="36">
        <v>45108</v>
      </c>
      <c r="AS290" s="36"/>
      <c r="AT290" s="36">
        <v>44962</v>
      </c>
      <c r="AU290" s="36">
        <v>45122</v>
      </c>
      <c r="AV290" s="38"/>
      <c r="AW290" s="40" t="s">
        <v>87</v>
      </c>
    </row>
    <row r="291" spans="1:49" s="34" customFormat="1" ht="59.25" customHeight="1" x14ac:dyDescent="0.3">
      <c r="A291" s="39" t="s">
        <v>1850</v>
      </c>
      <c r="B291" s="36">
        <v>44903</v>
      </c>
      <c r="C291" s="37">
        <v>545</v>
      </c>
      <c r="D291" s="39" t="s">
        <v>1851</v>
      </c>
      <c r="E291" s="1" t="s">
        <v>1852</v>
      </c>
      <c r="F291" s="36">
        <v>44936</v>
      </c>
      <c r="G291" s="37" t="s">
        <v>1853</v>
      </c>
      <c r="H291" s="40" t="s">
        <v>186</v>
      </c>
      <c r="I291" s="40" t="s">
        <v>1747</v>
      </c>
      <c r="J291" s="41">
        <v>298455158.10000002</v>
      </c>
      <c r="K291" s="41">
        <v>298455158.10000002</v>
      </c>
      <c r="L291" s="30">
        <f>K291</f>
        <v>298455158.10000002</v>
      </c>
      <c r="M291" s="30">
        <f t="shared" si="60"/>
        <v>298455158.10000002</v>
      </c>
      <c r="N291" s="40" t="s">
        <v>1748</v>
      </c>
      <c r="O291" s="40" t="s">
        <v>1749</v>
      </c>
      <c r="P291" s="40" t="s">
        <v>190</v>
      </c>
      <c r="Q291" s="44">
        <v>0</v>
      </c>
      <c r="R291" s="37">
        <v>100</v>
      </c>
      <c r="S291" s="37" t="s">
        <v>219</v>
      </c>
      <c r="T291" s="48">
        <v>5</v>
      </c>
      <c r="U291" s="30">
        <f>M291/W291</f>
        <v>904409.57000000007</v>
      </c>
      <c r="V291" s="41">
        <f t="shared" si="55"/>
        <v>4522047.8500000006</v>
      </c>
      <c r="W291" s="41">
        <f t="shared" ref="W291:W354" si="61">X291+AC291+AH291</f>
        <v>330</v>
      </c>
      <c r="X291" s="41">
        <v>330</v>
      </c>
      <c r="Y291" s="41">
        <v>0</v>
      </c>
      <c r="Z291" s="41">
        <v>0</v>
      </c>
      <c r="AA291" s="41">
        <v>0</v>
      </c>
      <c r="AB291" s="41">
        <v>0</v>
      </c>
      <c r="AC291" s="41">
        <v>0</v>
      </c>
      <c r="AD291" s="41">
        <v>0</v>
      </c>
      <c r="AE291" s="41">
        <v>0</v>
      </c>
      <c r="AF291" s="41">
        <v>0</v>
      </c>
      <c r="AG291" s="41">
        <v>0</v>
      </c>
      <c r="AH291" s="41">
        <v>0</v>
      </c>
      <c r="AI291" s="41">
        <v>0</v>
      </c>
      <c r="AJ291" s="41">
        <v>0</v>
      </c>
      <c r="AK291" s="41">
        <v>0</v>
      </c>
      <c r="AL291" s="41">
        <v>0</v>
      </c>
      <c r="AM291" s="41"/>
      <c r="AN291" s="41">
        <f t="shared" si="56"/>
        <v>66</v>
      </c>
      <c r="AO291" s="41">
        <f t="shared" si="58"/>
        <v>66</v>
      </c>
      <c r="AP291" s="40" t="s">
        <v>1854</v>
      </c>
      <c r="AQ291" s="36">
        <v>44946</v>
      </c>
      <c r="AR291" s="36"/>
      <c r="AS291" s="36"/>
      <c r="AT291" s="36">
        <v>44962</v>
      </c>
      <c r="AU291" s="36"/>
      <c r="AV291" s="38"/>
      <c r="AW291" s="40" t="s">
        <v>87</v>
      </c>
    </row>
    <row r="292" spans="1:49" s="34" customFormat="1" ht="59.25" customHeight="1" x14ac:dyDescent="0.3">
      <c r="A292" s="39" t="s">
        <v>1855</v>
      </c>
      <c r="B292" s="36">
        <v>44903</v>
      </c>
      <c r="C292" s="37">
        <v>545</v>
      </c>
      <c r="D292" s="39" t="s">
        <v>1856</v>
      </c>
      <c r="E292" s="1" t="s">
        <v>1857</v>
      </c>
      <c r="F292" s="36">
        <v>44936</v>
      </c>
      <c r="G292" s="37" t="s">
        <v>1858</v>
      </c>
      <c r="H292" s="40" t="s">
        <v>186</v>
      </c>
      <c r="I292" s="40" t="s">
        <v>1747</v>
      </c>
      <c r="J292" s="41">
        <v>298455158.10000002</v>
      </c>
      <c r="K292" s="41">
        <v>298455158.10000002</v>
      </c>
      <c r="L292" s="30">
        <f>K292</f>
        <v>298455158.10000002</v>
      </c>
      <c r="M292" s="30">
        <f t="shared" si="60"/>
        <v>298455158.10000002</v>
      </c>
      <c r="N292" s="40" t="s">
        <v>1748</v>
      </c>
      <c r="O292" s="40" t="s">
        <v>1749</v>
      </c>
      <c r="P292" s="40" t="s">
        <v>190</v>
      </c>
      <c r="Q292" s="44">
        <v>0</v>
      </c>
      <c r="R292" s="37">
        <v>100</v>
      </c>
      <c r="S292" s="37" t="s">
        <v>219</v>
      </c>
      <c r="T292" s="48">
        <v>5</v>
      </c>
      <c r="U292" s="30">
        <f>M292/W292</f>
        <v>904409.57000000007</v>
      </c>
      <c r="V292" s="41">
        <f t="shared" si="55"/>
        <v>4522047.8500000006</v>
      </c>
      <c r="W292" s="41">
        <f t="shared" si="61"/>
        <v>330</v>
      </c>
      <c r="X292" s="41">
        <v>230</v>
      </c>
      <c r="Y292" s="41">
        <v>0</v>
      </c>
      <c r="Z292" s="41">
        <v>0</v>
      </c>
      <c r="AA292" s="41">
        <v>0</v>
      </c>
      <c r="AB292" s="41">
        <v>0</v>
      </c>
      <c r="AC292" s="41">
        <v>100</v>
      </c>
      <c r="AD292" s="41">
        <v>0</v>
      </c>
      <c r="AE292" s="41">
        <v>0</v>
      </c>
      <c r="AF292" s="41">
        <v>0</v>
      </c>
      <c r="AG292" s="41">
        <v>0</v>
      </c>
      <c r="AH292" s="41">
        <v>0</v>
      </c>
      <c r="AI292" s="41">
        <v>0</v>
      </c>
      <c r="AJ292" s="41">
        <v>0</v>
      </c>
      <c r="AK292" s="41">
        <v>0</v>
      </c>
      <c r="AL292" s="41">
        <v>0</v>
      </c>
      <c r="AM292" s="41"/>
      <c r="AN292" s="41">
        <f t="shared" si="56"/>
        <v>66</v>
      </c>
      <c r="AO292" s="41">
        <f t="shared" si="58"/>
        <v>66</v>
      </c>
      <c r="AP292" s="40" t="s">
        <v>1859</v>
      </c>
      <c r="AQ292" s="36">
        <v>44946</v>
      </c>
      <c r="AR292" s="36">
        <v>45108</v>
      </c>
      <c r="AS292" s="36"/>
      <c r="AT292" s="36">
        <v>44962</v>
      </c>
      <c r="AU292" s="36">
        <v>45122</v>
      </c>
      <c r="AV292" s="38"/>
      <c r="AW292" s="40" t="s">
        <v>87</v>
      </c>
    </row>
    <row r="293" spans="1:49" s="34" customFormat="1" ht="59.25" customHeight="1" x14ac:dyDescent="0.3">
      <c r="A293" s="35" t="s">
        <v>1860</v>
      </c>
      <c r="B293" s="36">
        <v>44903</v>
      </c>
      <c r="C293" s="37">
        <v>545</v>
      </c>
      <c r="D293" s="39" t="s">
        <v>1861</v>
      </c>
      <c r="E293" s="1" t="s">
        <v>1862</v>
      </c>
      <c r="F293" s="36">
        <v>44936</v>
      </c>
      <c r="G293" s="39" t="s">
        <v>1863</v>
      </c>
      <c r="H293" s="40" t="s">
        <v>186</v>
      </c>
      <c r="I293" s="40" t="s">
        <v>1747</v>
      </c>
      <c r="J293" s="37">
        <v>298455158.10000002</v>
      </c>
      <c r="K293" s="41">
        <v>298455158.10000002</v>
      </c>
      <c r="L293" s="30">
        <v>352719732.30000001</v>
      </c>
      <c r="M293" s="30">
        <f t="shared" si="60"/>
        <v>352719732.30000001</v>
      </c>
      <c r="N293" s="40" t="s">
        <v>1748</v>
      </c>
      <c r="O293" s="40" t="s">
        <v>1749</v>
      </c>
      <c r="P293" s="40" t="s">
        <v>190</v>
      </c>
      <c r="Q293" s="37">
        <v>0</v>
      </c>
      <c r="R293" s="37">
        <v>100</v>
      </c>
      <c r="S293" s="37" t="s">
        <v>219</v>
      </c>
      <c r="T293" s="48">
        <v>5</v>
      </c>
      <c r="U293" s="30">
        <f>M293/W293</f>
        <v>904409.57000000007</v>
      </c>
      <c r="V293" s="41">
        <f t="shared" si="55"/>
        <v>4522047.8500000006</v>
      </c>
      <c r="W293" s="41">
        <f t="shared" si="61"/>
        <v>390</v>
      </c>
      <c r="X293" s="41">
        <v>230</v>
      </c>
      <c r="Y293" s="41">
        <v>0</v>
      </c>
      <c r="Z293" s="41">
        <v>0</v>
      </c>
      <c r="AA293" s="41">
        <v>0</v>
      </c>
      <c r="AB293" s="41">
        <v>0</v>
      </c>
      <c r="AC293" s="41">
        <v>160</v>
      </c>
      <c r="AD293" s="41">
        <v>0</v>
      </c>
      <c r="AE293" s="41">
        <v>0</v>
      </c>
      <c r="AF293" s="41">
        <v>0</v>
      </c>
      <c r="AG293" s="41">
        <v>0</v>
      </c>
      <c r="AH293" s="41">
        <v>0</v>
      </c>
      <c r="AI293" s="41">
        <v>0</v>
      </c>
      <c r="AJ293" s="41">
        <v>0</v>
      </c>
      <c r="AK293" s="41">
        <v>0</v>
      </c>
      <c r="AL293" s="41">
        <v>0</v>
      </c>
      <c r="AM293" s="41"/>
      <c r="AN293" s="41">
        <f t="shared" si="56"/>
        <v>78</v>
      </c>
      <c r="AO293" s="41">
        <f t="shared" si="58"/>
        <v>78</v>
      </c>
      <c r="AP293" s="40" t="s">
        <v>1864</v>
      </c>
      <c r="AQ293" s="36">
        <v>44946</v>
      </c>
      <c r="AR293" s="36">
        <v>45108</v>
      </c>
      <c r="AS293" s="36"/>
      <c r="AT293" s="36">
        <v>44962</v>
      </c>
      <c r="AU293" s="36">
        <v>45122</v>
      </c>
      <c r="AV293" s="38"/>
      <c r="AW293" s="40" t="s">
        <v>87</v>
      </c>
    </row>
    <row r="294" spans="1:49" s="34" customFormat="1" ht="59.25" customHeight="1" x14ac:dyDescent="0.3">
      <c r="A294" s="35" t="s">
        <v>1865</v>
      </c>
      <c r="B294" s="36">
        <v>44904</v>
      </c>
      <c r="C294" s="37">
        <v>545</v>
      </c>
      <c r="D294" s="39" t="s">
        <v>1866</v>
      </c>
      <c r="E294" s="1" t="s">
        <v>1867</v>
      </c>
      <c r="F294" s="36">
        <v>44938</v>
      </c>
      <c r="G294" s="37" t="s">
        <v>1868</v>
      </c>
      <c r="H294" s="40" t="s">
        <v>224</v>
      </c>
      <c r="I294" s="40" t="s">
        <v>1706</v>
      </c>
      <c r="J294" s="41">
        <v>181209576.59999999</v>
      </c>
      <c r="K294" s="41">
        <v>181209576.59999999</v>
      </c>
      <c r="L294" s="30">
        <f t="shared" ref="L294:L308" si="62">K294</f>
        <v>181209576.59999999</v>
      </c>
      <c r="M294" s="30">
        <f t="shared" si="60"/>
        <v>181209576.59999999</v>
      </c>
      <c r="N294" s="40" t="s">
        <v>1661</v>
      </c>
      <c r="O294" s="40" t="s">
        <v>1707</v>
      </c>
      <c r="P294" s="40" t="s">
        <v>1032</v>
      </c>
      <c r="Q294" s="37">
        <v>0</v>
      </c>
      <c r="R294" s="37">
        <v>100</v>
      </c>
      <c r="S294" s="37" t="s">
        <v>1489</v>
      </c>
      <c r="T294" s="48">
        <v>30</v>
      </c>
      <c r="U294" s="30">
        <f>M294/W294</f>
        <v>25813.329999999998</v>
      </c>
      <c r="V294" s="41">
        <f t="shared" si="55"/>
        <v>774399.89999999991</v>
      </c>
      <c r="W294" s="41">
        <f t="shared" si="61"/>
        <v>7020</v>
      </c>
      <c r="X294" s="41">
        <v>7020</v>
      </c>
      <c r="Y294" s="41">
        <v>0</v>
      </c>
      <c r="Z294" s="41">
        <v>0</v>
      </c>
      <c r="AA294" s="41">
        <v>0</v>
      </c>
      <c r="AB294" s="41">
        <v>0</v>
      </c>
      <c r="AC294" s="41">
        <v>0</v>
      </c>
      <c r="AD294" s="41">
        <v>0</v>
      </c>
      <c r="AE294" s="41">
        <v>0</v>
      </c>
      <c r="AF294" s="41">
        <v>0</v>
      </c>
      <c r="AG294" s="41">
        <v>0</v>
      </c>
      <c r="AH294" s="41">
        <v>0</v>
      </c>
      <c r="AI294" s="41">
        <v>0</v>
      </c>
      <c r="AJ294" s="41">
        <v>0</v>
      </c>
      <c r="AK294" s="41">
        <v>0</v>
      </c>
      <c r="AL294" s="41">
        <v>0</v>
      </c>
      <c r="AM294" s="41"/>
      <c r="AN294" s="41">
        <f t="shared" si="56"/>
        <v>234</v>
      </c>
      <c r="AO294" s="41">
        <f t="shared" si="58"/>
        <v>234</v>
      </c>
      <c r="AP294" s="40" t="s">
        <v>1265</v>
      </c>
      <c r="AQ294" s="36">
        <v>44986</v>
      </c>
      <c r="AR294" s="36"/>
      <c r="AS294" s="36"/>
      <c r="AT294" s="36">
        <v>45000</v>
      </c>
      <c r="AU294" s="36"/>
      <c r="AV294" s="38"/>
      <c r="AW294" s="40" t="s">
        <v>87</v>
      </c>
    </row>
    <row r="295" spans="1:49" s="34" customFormat="1" ht="59.25" customHeight="1" x14ac:dyDescent="0.3">
      <c r="A295" s="35" t="s">
        <v>1869</v>
      </c>
      <c r="B295" s="36">
        <v>44904</v>
      </c>
      <c r="C295" s="37">
        <v>545</v>
      </c>
      <c r="D295" s="39" t="s">
        <v>1870</v>
      </c>
      <c r="E295" s="1" t="s">
        <v>1871</v>
      </c>
      <c r="F295" s="36">
        <v>44938</v>
      </c>
      <c r="G295" s="39" t="s">
        <v>1872</v>
      </c>
      <c r="H295" s="40" t="s">
        <v>224</v>
      </c>
      <c r="I295" s="40" t="s">
        <v>1706</v>
      </c>
      <c r="J295" s="41">
        <v>232319970</v>
      </c>
      <c r="K295" s="41">
        <v>232319970</v>
      </c>
      <c r="L295" s="30">
        <f t="shared" si="62"/>
        <v>232319970</v>
      </c>
      <c r="M295" s="30">
        <f t="shared" si="60"/>
        <v>232319970</v>
      </c>
      <c r="N295" s="40" t="s">
        <v>1661</v>
      </c>
      <c r="O295" s="40" t="s">
        <v>1707</v>
      </c>
      <c r="P295" s="40" t="s">
        <v>1032</v>
      </c>
      <c r="Q295" s="37">
        <v>0</v>
      </c>
      <c r="R295" s="37">
        <v>100</v>
      </c>
      <c r="S295" s="37" t="s">
        <v>1489</v>
      </c>
      <c r="T295" s="54">
        <v>30</v>
      </c>
      <c r="U295" s="30">
        <f>M295/W295</f>
        <v>25813.33</v>
      </c>
      <c r="V295" s="41">
        <f t="shared" si="55"/>
        <v>774399.9</v>
      </c>
      <c r="W295" s="41">
        <f t="shared" si="61"/>
        <v>9000</v>
      </c>
      <c r="X295" s="41">
        <v>9000</v>
      </c>
      <c r="Y295" s="41">
        <v>0</v>
      </c>
      <c r="Z295" s="41">
        <v>0</v>
      </c>
      <c r="AA295" s="41">
        <v>0</v>
      </c>
      <c r="AB295" s="41">
        <v>0</v>
      </c>
      <c r="AC295" s="41">
        <v>0</v>
      </c>
      <c r="AD295" s="41">
        <v>0</v>
      </c>
      <c r="AE295" s="41">
        <v>0</v>
      </c>
      <c r="AF295" s="41">
        <v>0</v>
      </c>
      <c r="AG295" s="41">
        <v>0</v>
      </c>
      <c r="AH295" s="41">
        <v>0</v>
      </c>
      <c r="AI295" s="41">
        <v>0</v>
      </c>
      <c r="AJ295" s="41">
        <v>0</v>
      </c>
      <c r="AK295" s="41">
        <v>0</v>
      </c>
      <c r="AL295" s="41">
        <v>0</v>
      </c>
      <c r="AM295" s="41"/>
      <c r="AN295" s="41">
        <f t="shared" si="56"/>
        <v>300</v>
      </c>
      <c r="AO295" s="41">
        <f t="shared" si="58"/>
        <v>300</v>
      </c>
      <c r="AP295" s="40" t="s">
        <v>1578</v>
      </c>
      <c r="AQ295" s="36">
        <v>44986</v>
      </c>
      <c r="AR295" s="36"/>
      <c r="AS295" s="36"/>
      <c r="AT295" s="36">
        <v>45000</v>
      </c>
      <c r="AU295" s="36"/>
      <c r="AV295" s="38"/>
      <c r="AW295" s="40" t="s">
        <v>87</v>
      </c>
    </row>
    <row r="296" spans="1:49" s="34" customFormat="1" ht="59.25" customHeight="1" x14ac:dyDescent="0.3">
      <c r="A296" s="35" t="s">
        <v>1873</v>
      </c>
      <c r="B296" s="36">
        <v>44904</v>
      </c>
      <c r="C296" s="37">
        <v>545</v>
      </c>
      <c r="D296" s="39" t="s">
        <v>1874</v>
      </c>
      <c r="E296" s="1" t="s">
        <v>1875</v>
      </c>
      <c r="F296" s="36">
        <v>44938</v>
      </c>
      <c r="G296" s="39" t="s">
        <v>1876</v>
      </c>
      <c r="H296" s="40" t="s">
        <v>224</v>
      </c>
      <c r="I296" s="40" t="s">
        <v>1706</v>
      </c>
      <c r="J296" s="41">
        <v>180435176.69999999</v>
      </c>
      <c r="K296" s="41">
        <v>180435176.69999999</v>
      </c>
      <c r="L296" s="30">
        <f t="shared" si="62"/>
        <v>180435176.69999999</v>
      </c>
      <c r="M296" s="30">
        <f t="shared" si="60"/>
        <v>180435176.69999999</v>
      </c>
      <c r="N296" s="40" t="s">
        <v>1661</v>
      </c>
      <c r="O296" s="40" t="s">
        <v>1707</v>
      </c>
      <c r="P296" s="40" t="s">
        <v>1032</v>
      </c>
      <c r="Q296" s="37">
        <v>0</v>
      </c>
      <c r="R296" s="37">
        <v>100</v>
      </c>
      <c r="S296" s="37" t="s">
        <v>1489</v>
      </c>
      <c r="T296" s="54">
        <v>30</v>
      </c>
      <c r="U296" s="30">
        <f>M296/W296</f>
        <v>25813.329999999998</v>
      </c>
      <c r="V296" s="41">
        <f t="shared" si="55"/>
        <v>774399.89999999991</v>
      </c>
      <c r="W296" s="41">
        <f t="shared" si="61"/>
        <v>6990</v>
      </c>
      <c r="X296" s="41">
        <v>6990</v>
      </c>
      <c r="Y296" s="41">
        <v>0</v>
      </c>
      <c r="Z296" s="41">
        <v>0</v>
      </c>
      <c r="AA296" s="41">
        <v>0</v>
      </c>
      <c r="AB296" s="41">
        <v>0</v>
      </c>
      <c r="AC296" s="41">
        <v>0</v>
      </c>
      <c r="AD296" s="41">
        <v>0</v>
      </c>
      <c r="AE296" s="41">
        <v>0</v>
      </c>
      <c r="AF296" s="41">
        <v>0</v>
      </c>
      <c r="AG296" s="41">
        <v>0</v>
      </c>
      <c r="AH296" s="41">
        <v>0</v>
      </c>
      <c r="AI296" s="41">
        <v>0</v>
      </c>
      <c r="AJ296" s="41">
        <v>0</v>
      </c>
      <c r="AK296" s="41">
        <v>0</v>
      </c>
      <c r="AL296" s="41">
        <v>0</v>
      </c>
      <c r="AM296" s="41"/>
      <c r="AN296" s="41">
        <f t="shared" si="56"/>
        <v>233</v>
      </c>
      <c r="AO296" s="41">
        <f t="shared" si="58"/>
        <v>233</v>
      </c>
      <c r="AP296" s="40" t="s">
        <v>1265</v>
      </c>
      <c r="AQ296" s="36">
        <v>45005</v>
      </c>
      <c r="AR296" s="36"/>
      <c r="AS296" s="36"/>
      <c r="AT296" s="36">
        <v>45021</v>
      </c>
      <c r="AU296" s="36"/>
      <c r="AV296" s="38"/>
      <c r="AW296" s="40" t="s">
        <v>87</v>
      </c>
    </row>
    <row r="297" spans="1:49" s="34" customFormat="1" ht="59.25" customHeight="1" x14ac:dyDescent="0.3">
      <c r="A297" s="39" t="s">
        <v>1877</v>
      </c>
      <c r="B297" s="36">
        <v>44904</v>
      </c>
      <c r="C297" s="37">
        <v>545</v>
      </c>
      <c r="D297" s="39" t="s">
        <v>1878</v>
      </c>
      <c r="E297" s="1" t="s">
        <v>1879</v>
      </c>
      <c r="F297" s="36">
        <v>44938</v>
      </c>
      <c r="G297" s="37" t="s">
        <v>1880</v>
      </c>
      <c r="H297" s="40" t="s">
        <v>224</v>
      </c>
      <c r="I297" s="40" t="s">
        <v>1706</v>
      </c>
      <c r="J297" s="41">
        <v>293497562.10000002</v>
      </c>
      <c r="K297" s="41">
        <v>293497562.10000002</v>
      </c>
      <c r="L297" s="30">
        <f t="shared" si="62"/>
        <v>293497562.10000002</v>
      </c>
      <c r="M297" s="30">
        <f t="shared" si="60"/>
        <v>293497562.10000002</v>
      </c>
      <c r="N297" s="40" t="s">
        <v>1661</v>
      </c>
      <c r="O297" s="40" t="s">
        <v>1707</v>
      </c>
      <c r="P297" s="40" t="s">
        <v>1032</v>
      </c>
      <c r="Q297" s="44">
        <v>0</v>
      </c>
      <c r="R297" s="37">
        <v>100</v>
      </c>
      <c r="S297" s="37" t="s">
        <v>1489</v>
      </c>
      <c r="T297" s="48">
        <v>30</v>
      </c>
      <c r="U297" s="30">
        <f>M297/W297</f>
        <v>25813.33</v>
      </c>
      <c r="V297" s="41">
        <f t="shared" si="55"/>
        <v>774399.9</v>
      </c>
      <c r="W297" s="41">
        <f t="shared" si="61"/>
        <v>11370</v>
      </c>
      <c r="X297" s="41">
        <v>11370</v>
      </c>
      <c r="Y297" s="41">
        <v>0</v>
      </c>
      <c r="Z297" s="41">
        <v>0</v>
      </c>
      <c r="AA297" s="41">
        <v>0</v>
      </c>
      <c r="AB297" s="41">
        <v>0</v>
      </c>
      <c r="AC297" s="41">
        <v>0</v>
      </c>
      <c r="AD297" s="41">
        <v>0</v>
      </c>
      <c r="AE297" s="41">
        <v>0</v>
      </c>
      <c r="AF297" s="41">
        <v>0</v>
      </c>
      <c r="AG297" s="41">
        <v>0</v>
      </c>
      <c r="AH297" s="41">
        <v>0</v>
      </c>
      <c r="AI297" s="41">
        <v>0</v>
      </c>
      <c r="AJ297" s="41">
        <v>0</v>
      </c>
      <c r="AK297" s="41">
        <v>0</v>
      </c>
      <c r="AL297" s="41">
        <v>0</v>
      </c>
      <c r="AM297" s="41"/>
      <c r="AN297" s="41">
        <f t="shared" si="56"/>
        <v>379</v>
      </c>
      <c r="AO297" s="41">
        <f t="shared" si="58"/>
        <v>379</v>
      </c>
      <c r="AP297" s="40" t="s">
        <v>1881</v>
      </c>
      <c r="AQ297" s="36">
        <v>44986</v>
      </c>
      <c r="AR297" s="36"/>
      <c r="AS297" s="36"/>
      <c r="AT297" s="36">
        <v>45000</v>
      </c>
      <c r="AU297" s="36"/>
      <c r="AV297" s="38"/>
      <c r="AW297" s="40" t="s">
        <v>87</v>
      </c>
    </row>
    <row r="298" spans="1:49" s="34" customFormat="1" ht="59.25" customHeight="1" x14ac:dyDescent="0.3">
      <c r="A298" s="39" t="s">
        <v>1882</v>
      </c>
      <c r="B298" s="36">
        <v>44904</v>
      </c>
      <c r="C298" s="37">
        <v>545</v>
      </c>
      <c r="D298" s="39" t="s">
        <v>1883</v>
      </c>
      <c r="E298" s="1" t="s">
        <v>1884</v>
      </c>
      <c r="F298" s="36">
        <v>44938</v>
      </c>
      <c r="G298" s="37" t="s">
        <v>1885</v>
      </c>
      <c r="H298" s="40" t="s">
        <v>224</v>
      </c>
      <c r="I298" s="40" t="s">
        <v>1706</v>
      </c>
      <c r="J298" s="41">
        <v>291174362.39999998</v>
      </c>
      <c r="K298" s="41">
        <v>291174362.39999998</v>
      </c>
      <c r="L298" s="30">
        <f t="shared" si="62"/>
        <v>291174362.39999998</v>
      </c>
      <c r="M298" s="30">
        <f t="shared" si="60"/>
        <v>291174362.39999998</v>
      </c>
      <c r="N298" s="40" t="s">
        <v>1661</v>
      </c>
      <c r="O298" s="40" t="s">
        <v>1707</v>
      </c>
      <c r="P298" s="40" t="s">
        <v>1032</v>
      </c>
      <c r="Q298" s="44">
        <v>0</v>
      </c>
      <c r="R298" s="37">
        <v>100</v>
      </c>
      <c r="S298" s="37" t="s">
        <v>1489</v>
      </c>
      <c r="T298" s="48">
        <v>30</v>
      </c>
      <c r="U298" s="30">
        <f>M298/W298</f>
        <v>25813.329999999998</v>
      </c>
      <c r="V298" s="41">
        <f t="shared" si="55"/>
        <v>774399.89999999991</v>
      </c>
      <c r="W298" s="41">
        <f t="shared" si="61"/>
        <v>11280</v>
      </c>
      <c r="X298" s="41">
        <v>11280</v>
      </c>
      <c r="Y298" s="41">
        <v>0</v>
      </c>
      <c r="Z298" s="41">
        <v>0</v>
      </c>
      <c r="AA298" s="41">
        <v>0</v>
      </c>
      <c r="AB298" s="41">
        <v>0</v>
      </c>
      <c r="AC298" s="41">
        <v>0</v>
      </c>
      <c r="AD298" s="41">
        <v>0</v>
      </c>
      <c r="AE298" s="41">
        <v>0</v>
      </c>
      <c r="AF298" s="41">
        <v>0</v>
      </c>
      <c r="AG298" s="41">
        <v>0</v>
      </c>
      <c r="AH298" s="41">
        <v>0</v>
      </c>
      <c r="AI298" s="41">
        <v>0</v>
      </c>
      <c r="AJ298" s="41">
        <v>0</v>
      </c>
      <c r="AK298" s="41">
        <v>0</v>
      </c>
      <c r="AL298" s="41">
        <v>0</v>
      </c>
      <c r="AM298" s="41"/>
      <c r="AN298" s="41">
        <f t="shared" si="56"/>
        <v>376</v>
      </c>
      <c r="AO298" s="41">
        <f t="shared" si="58"/>
        <v>376</v>
      </c>
      <c r="AP298" s="40" t="s">
        <v>1886</v>
      </c>
      <c r="AQ298" s="36">
        <v>44986</v>
      </c>
      <c r="AR298" s="36"/>
      <c r="AS298" s="36"/>
      <c r="AT298" s="36">
        <v>45000</v>
      </c>
      <c r="AU298" s="36"/>
      <c r="AV298" s="38"/>
      <c r="AW298" s="40" t="s">
        <v>87</v>
      </c>
    </row>
    <row r="299" spans="1:49" s="34" customFormat="1" ht="59.25" customHeight="1" x14ac:dyDescent="0.3">
      <c r="A299" s="39" t="s">
        <v>1887</v>
      </c>
      <c r="B299" s="36">
        <v>44904</v>
      </c>
      <c r="C299" s="37">
        <v>545</v>
      </c>
      <c r="D299" s="39" t="s">
        <v>1888</v>
      </c>
      <c r="E299" s="1" t="s">
        <v>1889</v>
      </c>
      <c r="F299" s="36">
        <v>44938</v>
      </c>
      <c r="G299" s="37" t="s">
        <v>1890</v>
      </c>
      <c r="H299" s="40" t="s">
        <v>224</v>
      </c>
      <c r="I299" s="40" t="s">
        <v>1706</v>
      </c>
      <c r="J299" s="41">
        <v>298918361.39999998</v>
      </c>
      <c r="K299" s="41">
        <v>298918361.39999998</v>
      </c>
      <c r="L299" s="30">
        <f t="shared" si="62"/>
        <v>298918361.39999998</v>
      </c>
      <c r="M299" s="30">
        <f t="shared" si="60"/>
        <v>298918361.39999998</v>
      </c>
      <c r="N299" s="40" t="s">
        <v>1661</v>
      </c>
      <c r="O299" s="40" t="s">
        <v>1707</v>
      </c>
      <c r="P299" s="40" t="s">
        <v>1032</v>
      </c>
      <c r="Q299" s="44">
        <v>0</v>
      </c>
      <c r="R299" s="37">
        <v>100</v>
      </c>
      <c r="S299" s="37" t="s">
        <v>1489</v>
      </c>
      <c r="T299" s="48">
        <v>30</v>
      </c>
      <c r="U299" s="30">
        <f>M299/W299</f>
        <v>25813.329999999998</v>
      </c>
      <c r="V299" s="41">
        <f t="shared" si="55"/>
        <v>774399.89999999991</v>
      </c>
      <c r="W299" s="41">
        <f t="shared" si="61"/>
        <v>11580</v>
      </c>
      <c r="X299" s="41">
        <v>11580</v>
      </c>
      <c r="Y299" s="41">
        <v>0</v>
      </c>
      <c r="Z299" s="41">
        <v>0</v>
      </c>
      <c r="AA299" s="41">
        <v>0</v>
      </c>
      <c r="AB299" s="41">
        <v>0</v>
      </c>
      <c r="AC299" s="41">
        <v>0</v>
      </c>
      <c r="AD299" s="41">
        <v>0</v>
      </c>
      <c r="AE299" s="41">
        <v>0</v>
      </c>
      <c r="AF299" s="41">
        <v>0</v>
      </c>
      <c r="AG299" s="41">
        <v>0</v>
      </c>
      <c r="AH299" s="41">
        <v>0</v>
      </c>
      <c r="AI299" s="41">
        <v>0</v>
      </c>
      <c r="AJ299" s="41">
        <v>0</v>
      </c>
      <c r="AK299" s="41">
        <v>0</v>
      </c>
      <c r="AL299" s="41">
        <v>0</v>
      </c>
      <c r="AM299" s="41"/>
      <c r="AN299" s="41">
        <f t="shared" si="56"/>
        <v>386</v>
      </c>
      <c r="AO299" s="41">
        <f t="shared" si="58"/>
        <v>386</v>
      </c>
      <c r="AP299" s="40" t="s">
        <v>1891</v>
      </c>
      <c r="AQ299" s="36">
        <v>44986</v>
      </c>
      <c r="AR299" s="36"/>
      <c r="AS299" s="36"/>
      <c r="AT299" s="36">
        <v>45000</v>
      </c>
      <c r="AU299" s="36"/>
      <c r="AV299" s="38"/>
      <c r="AW299" s="40" t="s">
        <v>87</v>
      </c>
    </row>
    <row r="300" spans="1:49" s="34" customFormat="1" ht="59.25" customHeight="1" x14ac:dyDescent="0.3">
      <c r="A300" s="39" t="s">
        <v>1892</v>
      </c>
      <c r="B300" s="36">
        <v>44904</v>
      </c>
      <c r="C300" s="37">
        <v>545</v>
      </c>
      <c r="D300" s="39" t="s">
        <v>1893</v>
      </c>
      <c r="E300" s="1" t="s">
        <v>1894</v>
      </c>
      <c r="F300" s="36">
        <v>44938</v>
      </c>
      <c r="G300" s="37" t="s">
        <v>1895</v>
      </c>
      <c r="H300" s="40" t="s">
        <v>224</v>
      </c>
      <c r="I300" s="40" t="s">
        <v>1706</v>
      </c>
      <c r="J300" s="41">
        <v>289625562.60000002</v>
      </c>
      <c r="K300" s="41">
        <v>289625562.60000002</v>
      </c>
      <c r="L300" s="30">
        <f t="shared" si="62"/>
        <v>289625562.60000002</v>
      </c>
      <c r="M300" s="30">
        <f t="shared" si="60"/>
        <v>289625562.60000002</v>
      </c>
      <c r="N300" s="40" t="s">
        <v>1661</v>
      </c>
      <c r="O300" s="40" t="s">
        <v>1707</v>
      </c>
      <c r="P300" s="40" t="s">
        <v>1032</v>
      </c>
      <c r="Q300" s="44">
        <v>0</v>
      </c>
      <c r="R300" s="37">
        <v>100</v>
      </c>
      <c r="S300" s="37" t="s">
        <v>1489</v>
      </c>
      <c r="T300" s="48">
        <v>30</v>
      </c>
      <c r="U300" s="30">
        <f>M300/W300</f>
        <v>25813.33</v>
      </c>
      <c r="V300" s="41">
        <f t="shared" si="55"/>
        <v>774399.9</v>
      </c>
      <c r="W300" s="41">
        <f t="shared" si="61"/>
        <v>11220</v>
      </c>
      <c r="X300" s="41">
        <v>11220</v>
      </c>
      <c r="Y300" s="41">
        <v>0</v>
      </c>
      <c r="Z300" s="41">
        <v>0</v>
      </c>
      <c r="AA300" s="41">
        <v>0</v>
      </c>
      <c r="AB300" s="41">
        <v>0</v>
      </c>
      <c r="AC300" s="41">
        <v>0</v>
      </c>
      <c r="AD300" s="41">
        <v>0</v>
      </c>
      <c r="AE300" s="41">
        <v>0</v>
      </c>
      <c r="AF300" s="41">
        <v>0</v>
      </c>
      <c r="AG300" s="41">
        <v>0</v>
      </c>
      <c r="AH300" s="41">
        <v>0</v>
      </c>
      <c r="AI300" s="41">
        <v>0</v>
      </c>
      <c r="AJ300" s="41">
        <v>0</v>
      </c>
      <c r="AK300" s="41">
        <v>0</v>
      </c>
      <c r="AL300" s="41">
        <v>0</v>
      </c>
      <c r="AM300" s="41"/>
      <c r="AN300" s="41">
        <f t="shared" si="56"/>
        <v>374</v>
      </c>
      <c r="AO300" s="41">
        <f t="shared" si="58"/>
        <v>374</v>
      </c>
      <c r="AP300" s="40" t="s">
        <v>1896</v>
      </c>
      <c r="AQ300" s="36">
        <v>44986</v>
      </c>
      <c r="AR300" s="36"/>
      <c r="AS300" s="36"/>
      <c r="AT300" s="36">
        <v>45000</v>
      </c>
      <c r="AU300" s="36"/>
      <c r="AV300" s="38"/>
      <c r="AW300" s="40" t="s">
        <v>87</v>
      </c>
    </row>
    <row r="301" spans="1:49" s="34" customFormat="1" ht="59.25" customHeight="1" x14ac:dyDescent="0.3">
      <c r="A301" s="39" t="s">
        <v>1897</v>
      </c>
      <c r="B301" s="36">
        <v>44904</v>
      </c>
      <c r="C301" s="37">
        <v>545</v>
      </c>
      <c r="D301" s="39" t="s">
        <v>1898</v>
      </c>
      <c r="E301" s="1" t="s">
        <v>1899</v>
      </c>
      <c r="F301" s="36">
        <v>44938</v>
      </c>
      <c r="G301" s="37" t="s">
        <v>1900</v>
      </c>
      <c r="H301" s="40" t="s">
        <v>224</v>
      </c>
      <c r="I301" s="40" t="s">
        <v>1706</v>
      </c>
      <c r="J301" s="41">
        <v>284979163.19999999</v>
      </c>
      <c r="K301" s="41">
        <v>284979163.19999999</v>
      </c>
      <c r="L301" s="30">
        <f t="shared" si="62"/>
        <v>284979163.19999999</v>
      </c>
      <c r="M301" s="30">
        <f t="shared" si="60"/>
        <v>284979163.19999999</v>
      </c>
      <c r="N301" s="40" t="s">
        <v>1661</v>
      </c>
      <c r="O301" s="40" t="s">
        <v>1707</v>
      </c>
      <c r="P301" s="40" t="s">
        <v>1032</v>
      </c>
      <c r="Q301" s="44">
        <v>0</v>
      </c>
      <c r="R301" s="37">
        <v>100</v>
      </c>
      <c r="S301" s="37" t="s">
        <v>1489</v>
      </c>
      <c r="T301" s="48">
        <v>30</v>
      </c>
      <c r="U301" s="30">
        <f>M301/W301</f>
        <v>25813.329999999998</v>
      </c>
      <c r="V301" s="41">
        <f t="shared" si="55"/>
        <v>774399.89999999991</v>
      </c>
      <c r="W301" s="41">
        <f t="shared" si="61"/>
        <v>11040</v>
      </c>
      <c r="X301" s="41">
        <v>11040</v>
      </c>
      <c r="Y301" s="41">
        <v>0</v>
      </c>
      <c r="Z301" s="41">
        <v>0</v>
      </c>
      <c r="AA301" s="41">
        <v>0</v>
      </c>
      <c r="AB301" s="41">
        <v>0</v>
      </c>
      <c r="AC301" s="41">
        <v>0</v>
      </c>
      <c r="AD301" s="41">
        <v>0</v>
      </c>
      <c r="AE301" s="41">
        <v>0</v>
      </c>
      <c r="AF301" s="41">
        <v>0</v>
      </c>
      <c r="AG301" s="41">
        <v>0</v>
      </c>
      <c r="AH301" s="41">
        <v>0</v>
      </c>
      <c r="AI301" s="41">
        <v>0</v>
      </c>
      <c r="AJ301" s="41">
        <v>0</v>
      </c>
      <c r="AK301" s="41">
        <v>0</v>
      </c>
      <c r="AL301" s="41">
        <v>0</v>
      </c>
      <c r="AM301" s="41"/>
      <c r="AN301" s="41">
        <f t="shared" si="56"/>
        <v>368</v>
      </c>
      <c r="AO301" s="41">
        <f t="shared" si="58"/>
        <v>368</v>
      </c>
      <c r="AP301" s="40" t="s">
        <v>1901</v>
      </c>
      <c r="AQ301" s="36">
        <v>44986</v>
      </c>
      <c r="AR301" s="36"/>
      <c r="AS301" s="36"/>
      <c r="AT301" s="36">
        <v>45000</v>
      </c>
      <c r="AU301" s="36"/>
      <c r="AV301" s="38"/>
      <c r="AW301" s="40" t="s">
        <v>87</v>
      </c>
    </row>
    <row r="302" spans="1:49" s="34" customFormat="1" ht="59.25" customHeight="1" x14ac:dyDescent="0.3">
      <c r="A302" s="39" t="s">
        <v>1902</v>
      </c>
      <c r="B302" s="36">
        <v>44904</v>
      </c>
      <c r="C302" s="37">
        <v>545</v>
      </c>
      <c r="D302" s="39" t="s">
        <v>1903</v>
      </c>
      <c r="E302" s="1" t="s">
        <v>1904</v>
      </c>
      <c r="F302" s="36">
        <v>44938</v>
      </c>
      <c r="G302" s="37" t="s">
        <v>1905</v>
      </c>
      <c r="H302" s="40" t="s">
        <v>224</v>
      </c>
      <c r="I302" s="40" t="s">
        <v>1906</v>
      </c>
      <c r="J302" s="41">
        <v>232320330</v>
      </c>
      <c r="K302" s="41">
        <v>232320330</v>
      </c>
      <c r="L302" s="30">
        <f t="shared" si="62"/>
        <v>232320330</v>
      </c>
      <c r="M302" s="30">
        <f t="shared" si="60"/>
        <v>232320330</v>
      </c>
      <c r="N302" s="40" t="s">
        <v>1661</v>
      </c>
      <c r="O302" s="40" t="s">
        <v>1907</v>
      </c>
      <c r="P302" s="40" t="s">
        <v>1032</v>
      </c>
      <c r="Q302" s="44">
        <v>0</v>
      </c>
      <c r="R302" s="37">
        <v>100</v>
      </c>
      <c r="S302" s="37" t="s">
        <v>1489</v>
      </c>
      <c r="T302" s="48">
        <v>120</v>
      </c>
      <c r="U302" s="30">
        <f>M302/W302</f>
        <v>25813.37</v>
      </c>
      <c r="V302" s="41">
        <f t="shared" si="55"/>
        <v>3097604.4</v>
      </c>
      <c r="W302" s="41">
        <f t="shared" si="61"/>
        <v>9000</v>
      </c>
      <c r="X302" s="41">
        <v>7320</v>
      </c>
      <c r="Y302" s="41">
        <v>0</v>
      </c>
      <c r="Z302" s="41">
        <v>0</v>
      </c>
      <c r="AA302" s="41">
        <v>0</v>
      </c>
      <c r="AB302" s="41">
        <v>0</v>
      </c>
      <c r="AC302" s="41">
        <v>1680</v>
      </c>
      <c r="AD302" s="41">
        <v>0</v>
      </c>
      <c r="AE302" s="41">
        <v>0</v>
      </c>
      <c r="AF302" s="41">
        <v>0</v>
      </c>
      <c r="AG302" s="41">
        <v>0</v>
      </c>
      <c r="AH302" s="41">
        <v>0</v>
      </c>
      <c r="AI302" s="41">
        <v>0</v>
      </c>
      <c r="AJ302" s="41">
        <v>0</v>
      </c>
      <c r="AK302" s="41">
        <v>0</v>
      </c>
      <c r="AL302" s="41">
        <v>0</v>
      </c>
      <c r="AM302" s="41"/>
      <c r="AN302" s="41">
        <f t="shared" si="56"/>
        <v>75</v>
      </c>
      <c r="AO302" s="41">
        <f t="shared" si="58"/>
        <v>75</v>
      </c>
      <c r="AP302" s="40" t="s">
        <v>1353</v>
      </c>
      <c r="AQ302" s="36">
        <v>44986</v>
      </c>
      <c r="AR302" s="36">
        <v>45031</v>
      </c>
      <c r="AS302" s="36"/>
      <c r="AT302" s="36">
        <v>45000</v>
      </c>
      <c r="AU302" s="36">
        <v>45046</v>
      </c>
      <c r="AV302" s="38"/>
      <c r="AW302" s="40" t="s">
        <v>87</v>
      </c>
    </row>
    <row r="303" spans="1:49" s="34" customFormat="1" ht="59.25" customHeight="1" x14ac:dyDescent="0.3">
      <c r="A303" s="39" t="s">
        <v>1908</v>
      </c>
      <c r="B303" s="36">
        <v>44904</v>
      </c>
      <c r="C303" s="37">
        <v>545</v>
      </c>
      <c r="D303" s="39" t="s">
        <v>1909</v>
      </c>
      <c r="E303" s="1" t="s">
        <v>1910</v>
      </c>
      <c r="F303" s="36">
        <v>44938</v>
      </c>
      <c r="G303" s="37" t="s">
        <v>1911</v>
      </c>
      <c r="H303" s="40" t="s">
        <v>224</v>
      </c>
      <c r="I303" s="40" t="s">
        <v>1912</v>
      </c>
      <c r="J303" s="41">
        <v>244710747.59999999</v>
      </c>
      <c r="K303" s="41">
        <v>244710747.59999999</v>
      </c>
      <c r="L303" s="30">
        <f t="shared" si="62"/>
        <v>244710747.59999999</v>
      </c>
      <c r="M303" s="30">
        <f t="shared" si="60"/>
        <v>244710747.59999999</v>
      </c>
      <c r="N303" s="40" t="s">
        <v>1661</v>
      </c>
      <c r="O303" s="40" t="s">
        <v>1662</v>
      </c>
      <c r="P303" s="40" t="s">
        <v>1032</v>
      </c>
      <c r="Q303" s="44">
        <v>0</v>
      </c>
      <c r="R303" s="37">
        <v>100</v>
      </c>
      <c r="S303" s="37" t="s">
        <v>1489</v>
      </c>
      <c r="T303" s="48">
        <v>15</v>
      </c>
      <c r="U303" s="30">
        <f>M303/W303</f>
        <v>25813.37</v>
      </c>
      <c r="V303" s="41">
        <f t="shared" si="55"/>
        <v>387200.55</v>
      </c>
      <c r="W303" s="41">
        <f t="shared" si="61"/>
        <v>9480</v>
      </c>
      <c r="X303" s="41">
        <v>9480</v>
      </c>
      <c r="Y303" s="41"/>
      <c r="Z303" s="41"/>
      <c r="AA303" s="41"/>
      <c r="AB303" s="41"/>
      <c r="AC303" s="41"/>
      <c r="AD303" s="41"/>
      <c r="AE303" s="41"/>
      <c r="AF303" s="41"/>
      <c r="AG303" s="41"/>
      <c r="AH303" s="41"/>
      <c r="AI303" s="41"/>
      <c r="AJ303" s="41"/>
      <c r="AK303" s="41"/>
      <c r="AL303" s="41"/>
      <c r="AM303" s="41"/>
      <c r="AN303" s="41">
        <f t="shared" si="56"/>
        <v>632</v>
      </c>
      <c r="AO303" s="41">
        <f t="shared" si="58"/>
        <v>632</v>
      </c>
      <c r="AP303" s="40" t="s">
        <v>1913</v>
      </c>
      <c r="AQ303" s="36">
        <v>44986</v>
      </c>
      <c r="AR303" s="36"/>
      <c r="AS303" s="36"/>
      <c r="AT303" s="36">
        <v>45000</v>
      </c>
      <c r="AU303" s="36"/>
      <c r="AV303" s="38"/>
      <c r="AW303" s="40" t="s">
        <v>87</v>
      </c>
    </row>
    <row r="304" spans="1:49" s="34" customFormat="1" ht="59.25" customHeight="1" x14ac:dyDescent="0.3">
      <c r="A304" s="39" t="s">
        <v>1914</v>
      </c>
      <c r="B304" s="36">
        <v>44904</v>
      </c>
      <c r="C304" s="37">
        <v>545</v>
      </c>
      <c r="D304" s="39" t="s">
        <v>1915</v>
      </c>
      <c r="E304" s="1" t="s">
        <v>1916</v>
      </c>
      <c r="F304" s="36">
        <v>44938</v>
      </c>
      <c r="G304" s="37" t="s">
        <v>1917</v>
      </c>
      <c r="H304" s="40" t="s">
        <v>224</v>
      </c>
      <c r="I304" s="40" t="s">
        <v>1706</v>
      </c>
      <c r="J304" s="41">
        <v>291174362.39999998</v>
      </c>
      <c r="K304" s="41">
        <v>291174362.39999998</v>
      </c>
      <c r="L304" s="30">
        <f t="shared" si="62"/>
        <v>291174362.39999998</v>
      </c>
      <c r="M304" s="30">
        <f t="shared" si="60"/>
        <v>291174362.39999998</v>
      </c>
      <c r="N304" s="40" t="s">
        <v>1661</v>
      </c>
      <c r="O304" s="40" t="s">
        <v>1707</v>
      </c>
      <c r="P304" s="40" t="s">
        <v>1032</v>
      </c>
      <c r="Q304" s="44">
        <v>0</v>
      </c>
      <c r="R304" s="37">
        <v>100</v>
      </c>
      <c r="S304" s="37" t="s">
        <v>1489</v>
      </c>
      <c r="T304" s="48">
        <v>30</v>
      </c>
      <c r="U304" s="30">
        <f>M304/W304</f>
        <v>25813.329999999998</v>
      </c>
      <c r="V304" s="41">
        <f t="shared" ref="V304:V367" si="63">U304*T304</f>
        <v>774399.89999999991</v>
      </c>
      <c r="W304" s="41">
        <f t="shared" si="61"/>
        <v>11280</v>
      </c>
      <c r="X304" s="41">
        <v>11280</v>
      </c>
      <c r="Y304" s="41">
        <v>0</v>
      </c>
      <c r="Z304" s="41">
        <v>0</v>
      </c>
      <c r="AA304" s="41">
        <v>0</v>
      </c>
      <c r="AB304" s="41">
        <v>0</v>
      </c>
      <c r="AC304" s="41">
        <v>0</v>
      </c>
      <c r="AD304" s="41">
        <v>0</v>
      </c>
      <c r="AE304" s="41">
        <v>0</v>
      </c>
      <c r="AF304" s="41">
        <v>0</v>
      </c>
      <c r="AG304" s="41">
        <v>0</v>
      </c>
      <c r="AH304" s="41">
        <v>0</v>
      </c>
      <c r="AI304" s="41">
        <v>0</v>
      </c>
      <c r="AJ304" s="41">
        <v>0</v>
      </c>
      <c r="AK304" s="41">
        <v>0</v>
      </c>
      <c r="AL304" s="41">
        <v>0</v>
      </c>
      <c r="AM304" s="41"/>
      <c r="AN304" s="41">
        <f t="shared" ref="AN304:AN321" si="64">W304/T304</f>
        <v>376</v>
      </c>
      <c r="AO304" s="41">
        <f t="shared" si="58"/>
        <v>376</v>
      </c>
      <c r="AP304" s="40" t="s">
        <v>1918</v>
      </c>
      <c r="AQ304" s="36">
        <v>44986</v>
      </c>
      <c r="AR304" s="36"/>
      <c r="AS304" s="36"/>
      <c r="AT304" s="36">
        <v>45000</v>
      </c>
      <c r="AU304" s="36"/>
      <c r="AV304" s="38"/>
      <c r="AW304" s="40" t="s">
        <v>87</v>
      </c>
    </row>
    <row r="305" spans="1:49" s="34" customFormat="1" ht="59.25" customHeight="1" x14ac:dyDescent="0.3">
      <c r="A305" s="39" t="s">
        <v>1919</v>
      </c>
      <c r="B305" s="36">
        <v>44904</v>
      </c>
      <c r="C305" s="37">
        <v>545</v>
      </c>
      <c r="D305" s="39" t="s">
        <v>1920</v>
      </c>
      <c r="E305" s="1" t="s">
        <v>1921</v>
      </c>
      <c r="F305" s="36">
        <v>44938</v>
      </c>
      <c r="G305" s="37" t="s">
        <v>1922</v>
      </c>
      <c r="H305" s="40" t="s">
        <v>224</v>
      </c>
      <c r="I305" s="40" t="s">
        <v>1912</v>
      </c>
      <c r="J305" s="41">
        <v>254777961.90000001</v>
      </c>
      <c r="K305" s="41">
        <v>254777961.90000001</v>
      </c>
      <c r="L305" s="30">
        <f t="shared" si="62"/>
        <v>254777961.90000001</v>
      </c>
      <c r="M305" s="30">
        <f t="shared" si="60"/>
        <v>254777961.90000001</v>
      </c>
      <c r="N305" s="40" t="s">
        <v>1661</v>
      </c>
      <c r="O305" s="40" t="s">
        <v>1662</v>
      </c>
      <c r="P305" s="40" t="s">
        <v>1032</v>
      </c>
      <c r="Q305" s="44">
        <v>0</v>
      </c>
      <c r="R305" s="37">
        <v>100</v>
      </c>
      <c r="S305" s="37" t="s">
        <v>1489</v>
      </c>
      <c r="T305" s="48">
        <v>15</v>
      </c>
      <c r="U305" s="30">
        <f>M305/W305</f>
        <v>25813.37</v>
      </c>
      <c r="V305" s="41">
        <f t="shared" si="63"/>
        <v>387200.55</v>
      </c>
      <c r="W305" s="41">
        <f t="shared" si="61"/>
        <v>9870</v>
      </c>
      <c r="X305" s="41">
        <v>9870</v>
      </c>
      <c r="Y305" s="41">
        <v>0</v>
      </c>
      <c r="Z305" s="41">
        <v>0</v>
      </c>
      <c r="AA305" s="41">
        <v>0</v>
      </c>
      <c r="AB305" s="41">
        <v>0</v>
      </c>
      <c r="AC305" s="41">
        <v>0</v>
      </c>
      <c r="AD305" s="41">
        <v>0</v>
      </c>
      <c r="AE305" s="41">
        <v>0</v>
      </c>
      <c r="AF305" s="41">
        <v>0</v>
      </c>
      <c r="AG305" s="41">
        <v>0</v>
      </c>
      <c r="AH305" s="41">
        <v>0</v>
      </c>
      <c r="AI305" s="41">
        <v>0</v>
      </c>
      <c r="AJ305" s="41">
        <v>0</v>
      </c>
      <c r="AK305" s="41">
        <v>0</v>
      </c>
      <c r="AL305" s="41">
        <v>0</v>
      </c>
      <c r="AM305" s="41"/>
      <c r="AN305" s="41">
        <f t="shared" si="64"/>
        <v>658</v>
      </c>
      <c r="AO305" s="41">
        <f t="shared" si="58"/>
        <v>658</v>
      </c>
      <c r="AP305" s="40" t="s">
        <v>1923</v>
      </c>
      <c r="AQ305" s="36">
        <v>44986</v>
      </c>
      <c r="AR305" s="36"/>
      <c r="AS305" s="36"/>
      <c r="AT305" s="36">
        <v>45000</v>
      </c>
      <c r="AU305" s="36"/>
      <c r="AV305" s="38"/>
      <c r="AW305" s="40" t="s">
        <v>87</v>
      </c>
    </row>
    <row r="306" spans="1:49" s="34" customFormat="1" ht="59.25" customHeight="1" x14ac:dyDescent="0.3">
      <c r="A306" s="39" t="s">
        <v>1924</v>
      </c>
      <c r="B306" s="36">
        <v>44904</v>
      </c>
      <c r="C306" s="37">
        <v>545</v>
      </c>
      <c r="D306" s="39" t="s">
        <v>1925</v>
      </c>
      <c r="E306" s="1" t="s">
        <v>1926</v>
      </c>
      <c r="F306" s="36">
        <v>44938</v>
      </c>
      <c r="G306" s="37" t="s">
        <v>1927</v>
      </c>
      <c r="H306" s="40" t="s">
        <v>224</v>
      </c>
      <c r="I306" s="40" t="s">
        <v>1706</v>
      </c>
      <c r="J306" s="41">
        <v>195923174.69999999</v>
      </c>
      <c r="K306" s="41">
        <v>195923174.69999999</v>
      </c>
      <c r="L306" s="30">
        <f t="shared" si="62"/>
        <v>195923174.69999999</v>
      </c>
      <c r="M306" s="30">
        <f t="shared" si="60"/>
        <v>195923174.69999999</v>
      </c>
      <c r="N306" s="40" t="s">
        <v>1661</v>
      </c>
      <c r="O306" s="40" t="s">
        <v>1707</v>
      </c>
      <c r="P306" s="40" t="s">
        <v>1032</v>
      </c>
      <c r="Q306" s="44">
        <v>0</v>
      </c>
      <c r="R306" s="37">
        <v>100</v>
      </c>
      <c r="S306" s="37" t="s">
        <v>1489</v>
      </c>
      <c r="T306" s="48">
        <v>30</v>
      </c>
      <c r="U306" s="30">
        <f>M306/W306</f>
        <v>25813.329999999998</v>
      </c>
      <c r="V306" s="41">
        <f t="shared" si="63"/>
        <v>774399.89999999991</v>
      </c>
      <c r="W306" s="41">
        <f t="shared" si="61"/>
        <v>7590</v>
      </c>
      <c r="X306" s="41">
        <v>7590</v>
      </c>
      <c r="Y306" s="41">
        <v>0</v>
      </c>
      <c r="Z306" s="41">
        <v>0</v>
      </c>
      <c r="AA306" s="41">
        <v>0</v>
      </c>
      <c r="AB306" s="41">
        <v>0</v>
      </c>
      <c r="AC306" s="41">
        <v>0</v>
      </c>
      <c r="AD306" s="41">
        <v>0</v>
      </c>
      <c r="AE306" s="41">
        <v>0</v>
      </c>
      <c r="AF306" s="41">
        <v>0</v>
      </c>
      <c r="AG306" s="41">
        <v>0</v>
      </c>
      <c r="AH306" s="41">
        <v>0</v>
      </c>
      <c r="AI306" s="41">
        <v>0</v>
      </c>
      <c r="AJ306" s="41">
        <v>0</v>
      </c>
      <c r="AK306" s="41">
        <v>0</v>
      </c>
      <c r="AL306" s="41">
        <v>0</v>
      </c>
      <c r="AM306" s="41"/>
      <c r="AN306" s="41">
        <f t="shared" si="64"/>
        <v>253</v>
      </c>
      <c r="AO306" s="41">
        <f t="shared" si="58"/>
        <v>253</v>
      </c>
      <c r="AP306" s="40" t="s">
        <v>1573</v>
      </c>
      <c r="AQ306" s="36">
        <v>45005</v>
      </c>
      <c r="AR306" s="36"/>
      <c r="AS306" s="36"/>
      <c r="AT306" s="36">
        <v>45021</v>
      </c>
      <c r="AU306" s="36"/>
      <c r="AV306" s="38"/>
      <c r="AW306" s="40" t="s">
        <v>87</v>
      </c>
    </row>
    <row r="307" spans="1:49" s="34" customFormat="1" ht="59.25" customHeight="1" x14ac:dyDescent="0.3">
      <c r="A307" s="39" t="s">
        <v>1928</v>
      </c>
      <c r="B307" s="36">
        <v>44904</v>
      </c>
      <c r="C307" s="37">
        <v>545</v>
      </c>
      <c r="D307" s="39" t="s">
        <v>1929</v>
      </c>
      <c r="E307" s="1" t="s">
        <v>1930</v>
      </c>
      <c r="F307" s="36">
        <v>44938</v>
      </c>
      <c r="G307" s="37" t="s">
        <v>1931</v>
      </c>
      <c r="H307" s="40" t="s">
        <v>224</v>
      </c>
      <c r="I307" s="40" t="s">
        <v>1706</v>
      </c>
      <c r="J307" s="41">
        <v>288851162.69999999</v>
      </c>
      <c r="K307" s="41">
        <v>288851162.69999999</v>
      </c>
      <c r="L307" s="30">
        <f t="shared" si="62"/>
        <v>288851162.69999999</v>
      </c>
      <c r="M307" s="30">
        <f t="shared" si="60"/>
        <v>288851162.69999999</v>
      </c>
      <c r="N307" s="40" t="s">
        <v>1661</v>
      </c>
      <c r="O307" s="40" t="s">
        <v>1932</v>
      </c>
      <c r="P307" s="40" t="s">
        <v>1032</v>
      </c>
      <c r="Q307" s="44">
        <v>0</v>
      </c>
      <c r="R307" s="37">
        <v>100</v>
      </c>
      <c r="S307" s="37" t="s">
        <v>1489</v>
      </c>
      <c r="T307" s="48">
        <v>30</v>
      </c>
      <c r="U307" s="30">
        <f>M307/W307</f>
        <v>25813.329999999998</v>
      </c>
      <c r="V307" s="41">
        <f t="shared" si="63"/>
        <v>774399.89999999991</v>
      </c>
      <c r="W307" s="41">
        <f t="shared" si="61"/>
        <v>11190</v>
      </c>
      <c r="X307" s="41">
        <v>11190</v>
      </c>
      <c r="Y307" s="41">
        <v>0</v>
      </c>
      <c r="Z307" s="41">
        <v>0</v>
      </c>
      <c r="AA307" s="41">
        <v>0</v>
      </c>
      <c r="AB307" s="41">
        <v>0</v>
      </c>
      <c r="AC307" s="41">
        <v>0</v>
      </c>
      <c r="AD307" s="41">
        <v>0</v>
      </c>
      <c r="AE307" s="41">
        <v>0</v>
      </c>
      <c r="AF307" s="41">
        <v>0</v>
      </c>
      <c r="AG307" s="41">
        <v>0</v>
      </c>
      <c r="AH307" s="41">
        <v>0</v>
      </c>
      <c r="AI307" s="41">
        <v>0</v>
      </c>
      <c r="AJ307" s="41">
        <v>0</v>
      </c>
      <c r="AK307" s="41">
        <v>0</v>
      </c>
      <c r="AL307" s="41">
        <v>0</v>
      </c>
      <c r="AM307" s="41"/>
      <c r="AN307" s="41">
        <f t="shared" si="64"/>
        <v>373</v>
      </c>
      <c r="AO307" s="41">
        <f t="shared" si="58"/>
        <v>373</v>
      </c>
      <c r="AP307" s="40" t="s">
        <v>1933</v>
      </c>
      <c r="AQ307" s="36">
        <v>44986</v>
      </c>
      <c r="AR307" s="36"/>
      <c r="AS307" s="36"/>
      <c r="AT307" s="36">
        <v>45000</v>
      </c>
      <c r="AU307" s="36"/>
      <c r="AV307" s="38"/>
      <c r="AW307" s="40" t="s">
        <v>87</v>
      </c>
    </row>
    <row r="308" spans="1:49" s="34" customFormat="1" ht="59.25" customHeight="1" x14ac:dyDescent="0.3">
      <c r="A308" s="39" t="s">
        <v>1934</v>
      </c>
      <c r="B308" s="36">
        <v>44904</v>
      </c>
      <c r="C308" s="37">
        <v>545</v>
      </c>
      <c r="D308" s="39" t="s">
        <v>1935</v>
      </c>
      <c r="E308" s="1" t="s">
        <v>1936</v>
      </c>
      <c r="F308" s="36">
        <v>44938</v>
      </c>
      <c r="G308" s="37" t="s">
        <v>1937</v>
      </c>
      <c r="H308" s="40" t="s">
        <v>224</v>
      </c>
      <c r="I308" s="40" t="s">
        <v>1706</v>
      </c>
      <c r="J308" s="41">
        <v>195923174.69999999</v>
      </c>
      <c r="K308" s="41">
        <v>195923174.69999999</v>
      </c>
      <c r="L308" s="30">
        <f t="shared" si="62"/>
        <v>195923174.69999999</v>
      </c>
      <c r="M308" s="30">
        <f t="shared" si="60"/>
        <v>195923174.69999999</v>
      </c>
      <c r="N308" s="40" t="s">
        <v>1661</v>
      </c>
      <c r="O308" s="40" t="s">
        <v>1707</v>
      </c>
      <c r="P308" s="40" t="s">
        <v>1032</v>
      </c>
      <c r="Q308" s="44">
        <v>0</v>
      </c>
      <c r="R308" s="37">
        <v>100</v>
      </c>
      <c r="S308" s="37" t="s">
        <v>1489</v>
      </c>
      <c r="T308" s="48">
        <v>30</v>
      </c>
      <c r="U308" s="30">
        <f>M308/W308</f>
        <v>25813.329999999998</v>
      </c>
      <c r="V308" s="41">
        <f t="shared" si="63"/>
        <v>774399.89999999991</v>
      </c>
      <c r="W308" s="41">
        <f t="shared" si="61"/>
        <v>7590</v>
      </c>
      <c r="X308" s="41">
        <v>7590</v>
      </c>
      <c r="Y308" s="41"/>
      <c r="Z308" s="41"/>
      <c r="AA308" s="41"/>
      <c r="AB308" s="41"/>
      <c r="AC308" s="41"/>
      <c r="AD308" s="41"/>
      <c r="AE308" s="41"/>
      <c r="AF308" s="41"/>
      <c r="AG308" s="41"/>
      <c r="AH308" s="41"/>
      <c r="AI308" s="41"/>
      <c r="AJ308" s="41"/>
      <c r="AK308" s="41"/>
      <c r="AL308" s="41"/>
      <c r="AM308" s="41"/>
      <c r="AN308" s="41">
        <f t="shared" si="64"/>
        <v>253</v>
      </c>
      <c r="AO308" s="41">
        <f t="shared" si="58"/>
        <v>253</v>
      </c>
      <c r="AP308" s="40" t="s">
        <v>1573</v>
      </c>
      <c r="AQ308" s="36">
        <v>44986</v>
      </c>
      <c r="AR308" s="36"/>
      <c r="AS308" s="36"/>
      <c r="AT308" s="36">
        <v>45000</v>
      </c>
      <c r="AU308" s="36"/>
      <c r="AV308" s="38"/>
      <c r="AW308" s="40" t="s">
        <v>87</v>
      </c>
    </row>
    <row r="309" spans="1:49" s="34" customFormat="1" ht="59.25" customHeight="1" x14ac:dyDescent="0.3">
      <c r="A309" s="39" t="s">
        <v>1938</v>
      </c>
      <c r="B309" s="36">
        <v>44904</v>
      </c>
      <c r="C309" s="37">
        <v>545</v>
      </c>
      <c r="D309" s="39" t="s">
        <v>1939</v>
      </c>
      <c r="E309" s="1" t="s">
        <v>1940</v>
      </c>
      <c r="F309" s="36">
        <v>44937</v>
      </c>
      <c r="G309" s="37" t="s">
        <v>1941</v>
      </c>
      <c r="H309" s="40" t="s">
        <v>802</v>
      </c>
      <c r="I309" s="40" t="s">
        <v>1942</v>
      </c>
      <c r="J309" s="41">
        <v>283196981.75999999</v>
      </c>
      <c r="K309" s="41">
        <v>283196981.75999999</v>
      </c>
      <c r="L309" s="30">
        <v>322136566.75</v>
      </c>
      <c r="M309" s="30">
        <f t="shared" si="60"/>
        <v>322136566.75</v>
      </c>
      <c r="N309" s="40" t="s">
        <v>1943</v>
      </c>
      <c r="O309" s="40" t="s">
        <v>1944</v>
      </c>
      <c r="P309" s="40" t="s">
        <v>1436</v>
      </c>
      <c r="Q309" s="44">
        <v>0</v>
      </c>
      <c r="R309" s="37">
        <v>100</v>
      </c>
      <c r="S309" s="37" t="s">
        <v>584</v>
      </c>
      <c r="T309" s="67">
        <v>18541.599999999999</v>
      </c>
      <c r="U309" s="30">
        <f>M309/W309</f>
        <v>47.729999999703665</v>
      </c>
      <c r="V309" s="41">
        <f t="shared" si="63"/>
        <v>884990.5679945054</v>
      </c>
      <c r="W309" s="41">
        <f t="shared" si="61"/>
        <v>6749142.4000000004</v>
      </c>
      <c r="X309" s="41">
        <v>3300404.8</v>
      </c>
      <c r="Y309" s="41">
        <v>0</v>
      </c>
      <c r="Z309" s="41">
        <v>0</v>
      </c>
      <c r="AA309" s="41">
        <v>0</v>
      </c>
      <c r="AB309" s="41">
        <v>0</v>
      </c>
      <c r="AC309" s="41">
        <f>3226238.4+222499.2</f>
        <v>3448737.6</v>
      </c>
      <c r="AD309" s="41">
        <v>0</v>
      </c>
      <c r="AE309" s="41">
        <v>0</v>
      </c>
      <c r="AF309" s="41">
        <v>0</v>
      </c>
      <c r="AG309" s="41">
        <v>0</v>
      </c>
      <c r="AH309" s="41">
        <v>0</v>
      </c>
      <c r="AI309" s="41">
        <v>0</v>
      </c>
      <c r="AJ309" s="41">
        <v>0</v>
      </c>
      <c r="AK309" s="41">
        <v>0</v>
      </c>
      <c r="AL309" s="41">
        <v>0</v>
      </c>
      <c r="AM309" s="41"/>
      <c r="AN309" s="41">
        <f t="shared" si="64"/>
        <v>364.00000000000006</v>
      </c>
      <c r="AO309" s="41">
        <f t="shared" si="58"/>
        <v>364</v>
      </c>
      <c r="AP309" s="40" t="s">
        <v>1353</v>
      </c>
      <c r="AQ309" s="36">
        <v>45017</v>
      </c>
      <c r="AR309" s="36">
        <v>45108</v>
      </c>
      <c r="AS309" s="36"/>
      <c r="AT309" s="36">
        <v>45031</v>
      </c>
      <c r="AU309" s="36">
        <v>45122</v>
      </c>
      <c r="AV309" s="38"/>
      <c r="AW309" s="40" t="s">
        <v>87</v>
      </c>
    </row>
    <row r="310" spans="1:49" s="34" customFormat="1" ht="42.75" customHeight="1" x14ac:dyDescent="0.3">
      <c r="A310" s="39" t="s">
        <v>1945</v>
      </c>
      <c r="B310" s="36">
        <v>44908</v>
      </c>
      <c r="C310" s="37">
        <v>1688</v>
      </c>
      <c r="D310" s="39" t="s">
        <v>1946</v>
      </c>
      <c r="E310" s="1" t="s">
        <v>1947</v>
      </c>
      <c r="F310" s="36">
        <v>44944</v>
      </c>
      <c r="G310" s="37" t="s">
        <v>1948</v>
      </c>
      <c r="H310" s="40" t="s">
        <v>1949</v>
      </c>
      <c r="I310" s="40" t="s">
        <v>1950</v>
      </c>
      <c r="J310" s="41">
        <v>607448000</v>
      </c>
      <c r="K310" s="41">
        <v>607448000</v>
      </c>
      <c r="L310" s="30">
        <f>K310</f>
        <v>607448000</v>
      </c>
      <c r="M310" s="30">
        <f t="shared" si="60"/>
        <v>607448000</v>
      </c>
      <c r="N310" s="40" t="s">
        <v>1951</v>
      </c>
      <c r="O310" s="40" t="s">
        <v>1952</v>
      </c>
      <c r="P310" s="40" t="s">
        <v>47</v>
      </c>
      <c r="Q310" s="44">
        <v>100</v>
      </c>
      <c r="R310" s="37">
        <v>0</v>
      </c>
      <c r="S310" s="37" t="s">
        <v>48</v>
      </c>
      <c r="T310" s="48">
        <v>1</v>
      </c>
      <c r="U310" s="30">
        <f>M310/W310</f>
        <v>1518620</v>
      </c>
      <c r="V310" s="41">
        <f t="shared" si="63"/>
        <v>1518620</v>
      </c>
      <c r="W310" s="41">
        <f t="shared" si="61"/>
        <v>400</v>
      </c>
      <c r="X310" s="41">
        <v>400</v>
      </c>
      <c r="Y310" s="41"/>
      <c r="Z310" s="41"/>
      <c r="AA310" s="41"/>
      <c r="AB310" s="41"/>
      <c r="AC310" s="41"/>
      <c r="AD310" s="41"/>
      <c r="AE310" s="41"/>
      <c r="AF310" s="41"/>
      <c r="AG310" s="41"/>
      <c r="AH310" s="41"/>
      <c r="AI310" s="41"/>
      <c r="AJ310" s="41"/>
      <c r="AK310" s="41"/>
      <c r="AL310" s="41"/>
      <c r="AM310" s="41"/>
      <c r="AN310" s="41">
        <f t="shared" si="64"/>
        <v>400</v>
      </c>
      <c r="AO310" s="41">
        <f t="shared" si="58"/>
        <v>400</v>
      </c>
      <c r="AP310" s="40"/>
      <c r="AQ310" s="36">
        <v>45047</v>
      </c>
      <c r="AR310" s="36"/>
      <c r="AS310" s="36"/>
      <c r="AT310" s="36">
        <v>45061</v>
      </c>
      <c r="AU310" s="36"/>
      <c r="AV310" s="38"/>
      <c r="AW310" s="40" t="s">
        <v>87</v>
      </c>
    </row>
    <row r="311" spans="1:49" s="34" customFormat="1" ht="39" customHeight="1" x14ac:dyDescent="0.3">
      <c r="A311" s="39" t="s">
        <v>1953</v>
      </c>
      <c r="B311" s="36">
        <v>44908</v>
      </c>
      <c r="C311" s="37">
        <v>1688</v>
      </c>
      <c r="D311" s="39" t="s">
        <v>1954</v>
      </c>
      <c r="E311" s="1" t="s">
        <v>1955</v>
      </c>
      <c r="F311" s="36">
        <v>44943</v>
      </c>
      <c r="G311" s="37" t="s">
        <v>1956</v>
      </c>
      <c r="H311" s="40" t="s">
        <v>186</v>
      </c>
      <c r="I311" s="40" t="s">
        <v>1950</v>
      </c>
      <c r="J311" s="41">
        <v>911172000</v>
      </c>
      <c r="K311" s="41">
        <v>897504000</v>
      </c>
      <c r="L311" s="30">
        <f>K311</f>
        <v>897504000</v>
      </c>
      <c r="M311" s="30">
        <f t="shared" si="60"/>
        <v>897504000</v>
      </c>
      <c r="N311" s="40" t="s">
        <v>1957</v>
      </c>
      <c r="O311" s="40" t="s">
        <v>1958</v>
      </c>
      <c r="P311" s="40" t="s">
        <v>47</v>
      </c>
      <c r="Q311" s="44">
        <v>100</v>
      </c>
      <c r="R311" s="37">
        <v>0</v>
      </c>
      <c r="S311" s="37" t="s">
        <v>48</v>
      </c>
      <c r="T311" s="48">
        <v>1</v>
      </c>
      <c r="U311" s="30">
        <f>M311/W311</f>
        <v>1495840</v>
      </c>
      <c r="V311" s="41">
        <f t="shared" si="63"/>
        <v>1495840</v>
      </c>
      <c r="W311" s="41">
        <f t="shared" si="61"/>
        <v>600</v>
      </c>
      <c r="X311" s="41">
        <v>600</v>
      </c>
      <c r="Y311" s="41">
        <v>0</v>
      </c>
      <c r="Z311" s="41">
        <v>0</v>
      </c>
      <c r="AA311" s="41">
        <v>0</v>
      </c>
      <c r="AB311" s="41">
        <v>0</v>
      </c>
      <c r="AC311" s="41">
        <v>0</v>
      </c>
      <c r="AD311" s="41">
        <v>0</v>
      </c>
      <c r="AE311" s="41">
        <v>0</v>
      </c>
      <c r="AF311" s="41">
        <v>0</v>
      </c>
      <c r="AG311" s="41">
        <v>0</v>
      </c>
      <c r="AH311" s="41">
        <v>0</v>
      </c>
      <c r="AI311" s="41">
        <v>0</v>
      </c>
      <c r="AJ311" s="41">
        <v>0</v>
      </c>
      <c r="AK311" s="41">
        <v>0</v>
      </c>
      <c r="AL311" s="41">
        <v>0</v>
      </c>
      <c r="AM311" s="41"/>
      <c r="AN311" s="41">
        <f t="shared" si="64"/>
        <v>600</v>
      </c>
      <c r="AO311" s="41">
        <f t="shared" si="58"/>
        <v>600</v>
      </c>
      <c r="AP311" s="40"/>
      <c r="AQ311" s="36">
        <v>44986</v>
      </c>
      <c r="AR311" s="36"/>
      <c r="AS311" s="36"/>
      <c r="AT311" s="36">
        <v>45000</v>
      </c>
      <c r="AU311" s="36"/>
      <c r="AV311" s="38"/>
      <c r="AW311" s="40" t="s">
        <v>87</v>
      </c>
    </row>
    <row r="312" spans="1:49" s="34" customFormat="1" ht="41.25" customHeight="1" x14ac:dyDescent="0.3">
      <c r="A312" s="39" t="s">
        <v>1959</v>
      </c>
      <c r="B312" s="36">
        <v>44916</v>
      </c>
      <c r="C312" s="37">
        <v>545</v>
      </c>
      <c r="D312" s="39" t="s">
        <v>1960</v>
      </c>
      <c r="E312" s="1" t="s">
        <v>1961</v>
      </c>
      <c r="F312" s="36">
        <v>44943</v>
      </c>
      <c r="G312" s="37" t="s">
        <v>1962</v>
      </c>
      <c r="H312" s="40" t="s">
        <v>878</v>
      </c>
      <c r="I312" s="40" t="s">
        <v>1525</v>
      </c>
      <c r="J312" s="41">
        <v>195259960.16999999</v>
      </c>
      <c r="K312" s="41">
        <v>195259960.16999999</v>
      </c>
      <c r="L312" s="30">
        <v>201840153.56999999</v>
      </c>
      <c r="M312" s="30">
        <f t="shared" si="60"/>
        <v>201840153.56999999</v>
      </c>
      <c r="N312" s="40" t="s">
        <v>1536</v>
      </c>
      <c r="O312" s="40" t="s">
        <v>1963</v>
      </c>
      <c r="P312" s="40" t="s">
        <v>348</v>
      </c>
      <c r="Q312" s="44">
        <v>0</v>
      </c>
      <c r="R312" s="37">
        <v>100</v>
      </c>
      <c r="S312" s="37" t="s">
        <v>1964</v>
      </c>
      <c r="T312" s="48">
        <v>30</v>
      </c>
      <c r="U312" s="30">
        <f>M312/W312</f>
        <v>970.53</v>
      </c>
      <c r="V312" s="41">
        <f t="shared" si="63"/>
        <v>29115.899999999998</v>
      </c>
      <c r="W312" s="41">
        <f t="shared" si="61"/>
        <v>207969</v>
      </c>
      <c r="X312" s="41">
        <f>201189+6780</f>
        <v>207969</v>
      </c>
      <c r="Y312" s="41">
        <v>0</v>
      </c>
      <c r="Z312" s="41">
        <v>0</v>
      </c>
      <c r="AA312" s="41">
        <v>0</v>
      </c>
      <c r="AB312" s="41">
        <v>0</v>
      </c>
      <c r="AC312" s="41">
        <v>0</v>
      </c>
      <c r="AD312" s="41">
        <v>0</v>
      </c>
      <c r="AE312" s="41">
        <v>0</v>
      </c>
      <c r="AF312" s="41">
        <v>0</v>
      </c>
      <c r="AG312" s="41">
        <v>0</v>
      </c>
      <c r="AH312" s="41">
        <v>0</v>
      </c>
      <c r="AI312" s="41">
        <v>0</v>
      </c>
      <c r="AJ312" s="41">
        <v>0</v>
      </c>
      <c r="AK312" s="41">
        <v>0</v>
      </c>
      <c r="AL312" s="41">
        <v>0</v>
      </c>
      <c r="AM312" s="41"/>
      <c r="AN312" s="41">
        <f t="shared" si="64"/>
        <v>6932.3</v>
      </c>
      <c r="AO312" s="41">
        <f t="shared" si="58"/>
        <v>6933</v>
      </c>
      <c r="AP312" s="40" t="s">
        <v>1353</v>
      </c>
      <c r="AQ312" s="36">
        <v>44986</v>
      </c>
      <c r="AR312" s="36"/>
      <c r="AS312" s="36"/>
      <c r="AT312" s="36">
        <v>45000</v>
      </c>
      <c r="AU312" s="36"/>
      <c r="AV312" s="38"/>
      <c r="AW312" s="40" t="s">
        <v>87</v>
      </c>
    </row>
    <row r="313" spans="1:49" s="34" customFormat="1" ht="35.25" customHeight="1" x14ac:dyDescent="0.3">
      <c r="A313" s="39" t="s">
        <v>1965</v>
      </c>
      <c r="B313" s="36">
        <v>44916</v>
      </c>
      <c r="C313" s="37">
        <v>545</v>
      </c>
      <c r="D313" s="37" t="s">
        <v>459</v>
      </c>
      <c r="E313" s="37" t="s">
        <v>459</v>
      </c>
      <c r="F313" s="37" t="s">
        <v>459</v>
      </c>
      <c r="G313" s="37" t="s">
        <v>459</v>
      </c>
      <c r="H313" s="37" t="s">
        <v>459</v>
      </c>
      <c r="I313" s="40" t="s">
        <v>1966</v>
      </c>
      <c r="J313" s="41">
        <v>11809600</v>
      </c>
      <c r="K313" s="41">
        <v>0</v>
      </c>
      <c r="L313" s="30">
        <f t="shared" ref="L313:M344" si="65">K313</f>
        <v>0</v>
      </c>
      <c r="M313" s="30">
        <f t="shared" si="60"/>
        <v>0</v>
      </c>
      <c r="N313" s="40"/>
      <c r="O313" s="40"/>
      <c r="P313" s="40"/>
      <c r="Q313" s="44"/>
      <c r="R313" s="37"/>
      <c r="S313" s="37"/>
      <c r="T313" s="48"/>
      <c r="U313" s="30" t="e">
        <f>M313/W313</f>
        <v>#DIV/0!</v>
      </c>
      <c r="V313" s="41" t="e">
        <f t="shared" si="63"/>
        <v>#DIV/0!</v>
      </c>
      <c r="W313" s="41">
        <f t="shared" si="61"/>
        <v>0</v>
      </c>
      <c r="X313" s="41"/>
      <c r="Y313" s="41"/>
      <c r="Z313" s="41"/>
      <c r="AA313" s="41"/>
      <c r="AB313" s="41"/>
      <c r="AC313" s="41"/>
      <c r="AD313" s="41"/>
      <c r="AE313" s="41"/>
      <c r="AF313" s="41"/>
      <c r="AG313" s="41"/>
      <c r="AH313" s="41"/>
      <c r="AI313" s="41"/>
      <c r="AJ313" s="41"/>
      <c r="AK313" s="41"/>
      <c r="AL313" s="41"/>
      <c r="AM313" s="41"/>
      <c r="AN313" s="41" t="e">
        <f t="shared" si="64"/>
        <v>#DIV/0!</v>
      </c>
      <c r="AO313" s="41" t="e">
        <f t="shared" si="58"/>
        <v>#DIV/0!</v>
      </c>
      <c r="AP313" s="40"/>
      <c r="AQ313" s="36"/>
      <c r="AR313" s="36"/>
      <c r="AS313" s="36"/>
      <c r="AT313" s="36"/>
      <c r="AU313" s="36"/>
      <c r="AV313" s="38"/>
      <c r="AW313" s="40"/>
    </row>
    <row r="314" spans="1:49" s="34" customFormat="1" ht="48" customHeight="1" x14ac:dyDescent="0.3">
      <c r="A314" s="39" t="s">
        <v>1967</v>
      </c>
      <c r="B314" s="36">
        <v>44921</v>
      </c>
      <c r="C314" s="37">
        <v>545</v>
      </c>
      <c r="D314" s="39" t="s">
        <v>1968</v>
      </c>
      <c r="E314" s="1" t="s">
        <v>1969</v>
      </c>
      <c r="F314" s="36">
        <v>44950</v>
      </c>
      <c r="G314" s="37" t="s">
        <v>1970</v>
      </c>
      <c r="H314" s="40" t="s">
        <v>1971</v>
      </c>
      <c r="I314" s="40" t="s">
        <v>1972</v>
      </c>
      <c r="J314" s="41">
        <v>567600000</v>
      </c>
      <c r="K314" s="41">
        <v>553410000</v>
      </c>
      <c r="L314" s="30">
        <f t="shared" si="65"/>
        <v>553410000</v>
      </c>
      <c r="M314" s="30">
        <f t="shared" si="60"/>
        <v>553410000</v>
      </c>
      <c r="N314" s="40" t="s">
        <v>1973</v>
      </c>
      <c r="O314" s="40" t="s">
        <v>1974</v>
      </c>
      <c r="P314" s="40" t="s">
        <v>1032</v>
      </c>
      <c r="Q314" s="44">
        <v>0</v>
      </c>
      <c r="R314" s="37">
        <v>100</v>
      </c>
      <c r="S314" s="37" t="s">
        <v>1964</v>
      </c>
      <c r="T314" s="48">
        <v>1</v>
      </c>
      <c r="U314" s="30">
        <f>M314/W314</f>
        <v>92235000</v>
      </c>
      <c r="V314" s="41">
        <f t="shared" si="63"/>
        <v>92235000</v>
      </c>
      <c r="W314" s="41">
        <f t="shared" si="61"/>
        <v>6</v>
      </c>
      <c r="X314" s="41">
        <v>6</v>
      </c>
      <c r="Y314" s="41">
        <v>0</v>
      </c>
      <c r="Z314" s="41">
        <v>0</v>
      </c>
      <c r="AA314" s="41">
        <v>0</v>
      </c>
      <c r="AB314" s="41">
        <v>0</v>
      </c>
      <c r="AC314" s="41">
        <v>0</v>
      </c>
      <c r="AD314" s="41">
        <v>0</v>
      </c>
      <c r="AE314" s="41">
        <v>0</v>
      </c>
      <c r="AF314" s="41">
        <v>0</v>
      </c>
      <c r="AG314" s="41">
        <v>0</v>
      </c>
      <c r="AH314" s="41">
        <v>0</v>
      </c>
      <c r="AI314" s="41">
        <v>0</v>
      </c>
      <c r="AJ314" s="41">
        <v>0</v>
      </c>
      <c r="AK314" s="41">
        <v>0</v>
      </c>
      <c r="AL314" s="41">
        <v>0</v>
      </c>
      <c r="AM314" s="41"/>
      <c r="AN314" s="41">
        <f t="shared" si="64"/>
        <v>6</v>
      </c>
      <c r="AO314" s="41">
        <f t="shared" si="58"/>
        <v>6</v>
      </c>
      <c r="AP314" s="40"/>
      <c r="AQ314" s="36"/>
      <c r="AR314" s="36"/>
      <c r="AS314" s="36"/>
      <c r="AT314" s="36"/>
      <c r="AU314" s="36"/>
      <c r="AV314" s="38"/>
      <c r="AW314" s="40" t="s">
        <v>49</v>
      </c>
    </row>
    <row r="315" spans="1:49" s="34" customFormat="1" ht="62.4" x14ac:dyDescent="0.3">
      <c r="A315" s="39" t="s">
        <v>1975</v>
      </c>
      <c r="B315" s="36">
        <v>44924</v>
      </c>
      <c r="C315" s="37">
        <v>1688</v>
      </c>
      <c r="D315" s="37" t="s">
        <v>459</v>
      </c>
      <c r="E315" s="37" t="s">
        <v>459</v>
      </c>
      <c r="F315" s="37" t="s">
        <v>459</v>
      </c>
      <c r="G315" s="37" t="s">
        <v>459</v>
      </c>
      <c r="H315" s="37" t="s">
        <v>459</v>
      </c>
      <c r="I315" s="40" t="s">
        <v>1976</v>
      </c>
      <c r="J315" s="37" t="s">
        <v>459</v>
      </c>
      <c r="K315" s="41">
        <v>0</v>
      </c>
      <c r="L315" s="30">
        <f t="shared" si="65"/>
        <v>0</v>
      </c>
      <c r="M315" s="30">
        <f t="shared" si="60"/>
        <v>0</v>
      </c>
      <c r="N315" s="40"/>
      <c r="O315" s="40"/>
      <c r="P315" s="40"/>
      <c r="Q315" s="44"/>
      <c r="R315" s="37"/>
      <c r="S315" s="37"/>
      <c r="T315" s="48"/>
      <c r="U315" s="30" t="e">
        <f>M315/W315</f>
        <v>#DIV/0!</v>
      </c>
      <c r="V315" s="41" t="e">
        <f t="shared" si="63"/>
        <v>#DIV/0!</v>
      </c>
      <c r="W315" s="41">
        <f t="shared" si="61"/>
        <v>0</v>
      </c>
      <c r="X315" s="41"/>
      <c r="Y315" s="41"/>
      <c r="Z315" s="41"/>
      <c r="AA315" s="41"/>
      <c r="AB315" s="41"/>
      <c r="AC315" s="41"/>
      <c r="AD315" s="41"/>
      <c r="AE315" s="41"/>
      <c r="AF315" s="41"/>
      <c r="AG315" s="41"/>
      <c r="AH315" s="41"/>
      <c r="AI315" s="41"/>
      <c r="AJ315" s="41"/>
      <c r="AK315" s="41"/>
      <c r="AL315" s="41"/>
      <c r="AM315" s="41"/>
      <c r="AN315" s="41" t="e">
        <f t="shared" si="64"/>
        <v>#DIV/0!</v>
      </c>
      <c r="AO315" s="41" t="e">
        <f t="shared" si="58"/>
        <v>#DIV/0!</v>
      </c>
      <c r="AP315" s="40"/>
      <c r="AQ315" s="36"/>
      <c r="AR315" s="36"/>
      <c r="AS315" s="36"/>
      <c r="AT315" s="36"/>
      <c r="AU315" s="36"/>
      <c r="AV315" s="38"/>
      <c r="AW315" s="40"/>
    </row>
    <row r="316" spans="1:49" s="34" customFormat="1" ht="79.5" customHeight="1" x14ac:dyDescent="0.3">
      <c r="A316" s="35" t="s">
        <v>1977</v>
      </c>
      <c r="B316" s="38">
        <v>44945</v>
      </c>
      <c r="C316" s="40">
        <v>545</v>
      </c>
      <c r="D316" s="39" t="s">
        <v>1978</v>
      </c>
      <c r="E316" s="1" t="s">
        <v>1979</v>
      </c>
      <c r="F316" s="36">
        <v>44964</v>
      </c>
      <c r="G316" s="35" t="s">
        <v>1980</v>
      </c>
      <c r="H316" s="40" t="s">
        <v>878</v>
      </c>
      <c r="I316" s="40" t="s">
        <v>1420</v>
      </c>
      <c r="J316" s="57">
        <v>7520568</v>
      </c>
      <c r="K316" s="41">
        <v>5562216</v>
      </c>
      <c r="L316" s="30">
        <f t="shared" si="65"/>
        <v>5562216</v>
      </c>
      <c r="M316" s="30">
        <f t="shared" si="60"/>
        <v>5562216</v>
      </c>
      <c r="N316" s="40" t="s">
        <v>1421</v>
      </c>
      <c r="O316" s="40" t="s">
        <v>1422</v>
      </c>
      <c r="P316" s="40" t="s">
        <v>218</v>
      </c>
      <c r="Q316" s="44">
        <v>0</v>
      </c>
      <c r="R316" s="37">
        <v>100</v>
      </c>
      <c r="S316" s="37" t="s">
        <v>1964</v>
      </c>
      <c r="T316" s="48">
        <v>60</v>
      </c>
      <c r="U316" s="30">
        <f>M316/W316</f>
        <v>2317.59</v>
      </c>
      <c r="V316" s="41">
        <f t="shared" si="63"/>
        <v>139055.40000000002</v>
      </c>
      <c r="W316" s="41">
        <f t="shared" si="61"/>
        <v>2400</v>
      </c>
      <c r="X316" s="41">
        <v>2400</v>
      </c>
      <c r="Y316" s="41">
        <v>0</v>
      </c>
      <c r="Z316" s="41">
        <v>0</v>
      </c>
      <c r="AA316" s="41">
        <v>0</v>
      </c>
      <c r="AB316" s="41">
        <v>0</v>
      </c>
      <c r="AC316" s="41">
        <v>0</v>
      </c>
      <c r="AD316" s="41">
        <v>0</v>
      </c>
      <c r="AE316" s="41">
        <v>0</v>
      </c>
      <c r="AF316" s="41">
        <v>0</v>
      </c>
      <c r="AG316" s="41">
        <v>0</v>
      </c>
      <c r="AH316" s="41">
        <v>0</v>
      </c>
      <c r="AI316" s="41">
        <v>0</v>
      </c>
      <c r="AJ316" s="41">
        <v>0</v>
      </c>
      <c r="AK316" s="41">
        <v>0</v>
      </c>
      <c r="AL316" s="41">
        <v>0</v>
      </c>
      <c r="AM316" s="41"/>
      <c r="AN316" s="41">
        <f t="shared" si="64"/>
        <v>40</v>
      </c>
      <c r="AO316" s="41">
        <f t="shared" si="58"/>
        <v>40</v>
      </c>
      <c r="AP316" s="40" t="s">
        <v>1981</v>
      </c>
      <c r="AQ316" s="36">
        <v>44986</v>
      </c>
      <c r="AR316" s="36"/>
      <c r="AS316" s="36"/>
      <c r="AT316" s="36">
        <v>45000</v>
      </c>
      <c r="AU316" s="36"/>
      <c r="AV316" s="38"/>
      <c r="AW316" s="40" t="s">
        <v>87</v>
      </c>
    </row>
    <row r="317" spans="1:49" s="34" customFormat="1" ht="79.5" customHeight="1" x14ac:dyDescent="0.3">
      <c r="A317" s="35" t="s">
        <v>1982</v>
      </c>
      <c r="B317" s="38">
        <v>44945</v>
      </c>
      <c r="C317" s="40">
        <v>545</v>
      </c>
      <c r="D317" s="39" t="s">
        <v>1983</v>
      </c>
      <c r="E317" s="1" t="s">
        <v>1984</v>
      </c>
      <c r="F317" s="36">
        <v>44964</v>
      </c>
      <c r="G317" s="35" t="s">
        <v>1985</v>
      </c>
      <c r="H317" s="40" t="s">
        <v>878</v>
      </c>
      <c r="I317" s="40" t="s">
        <v>1427</v>
      </c>
      <c r="J317" s="57">
        <v>1772998.2</v>
      </c>
      <c r="K317" s="41">
        <v>1296108</v>
      </c>
      <c r="L317" s="30">
        <f t="shared" si="65"/>
        <v>1296108</v>
      </c>
      <c r="M317" s="30">
        <f t="shared" si="60"/>
        <v>1296108</v>
      </c>
      <c r="N317" s="40" t="s">
        <v>1421</v>
      </c>
      <c r="O317" s="40" t="s">
        <v>1428</v>
      </c>
      <c r="P317" s="40" t="s">
        <v>218</v>
      </c>
      <c r="Q317" s="44">
        <v>0</v>
      </c>
      <c r="R317" s="37">
        <v>100</v>
      </c>
      <c r="S317" s="37" t="s">
        <v>1964</v>
      </c>
      <c r="T317" s="48">
        <v>60</v>
      </c>
      <c r="U317" s="30">
        <f>M317/W317</f>
        <v>2400.1999999999998</v>
      </c>
      <c r="V317" s="41">
        <f t="shared" si="63"/>
        <v>144012</v>
      </c>
      <c r="W317" s="41">
        <f t="shared" si="61"/>
        <v>540</v>
      </c>
      <c r="X317" s="41">
        <v>540</v>
      </c>
      <c r="Y317" s="41">
        <v>0</v>
      </c>
      <c r="Z317" s="41">
        <v>0</v>
      </c>
      <c r="AA317" s="41">
        <v>0</v>
      </c>
      <c r="AB317" s="41">
        <v>0</v>
      </c>
      <c r="AC317" s="41">
        <v>0</v>
      </c>
      <c r="AD317" s="41">
        <v>0</v>
      </c>
      <c r="AE317" s="41">
        <v>0</v>
      </c>
      <c r="AF317" s="41">
        <v>0</v>
      </c>
      <c r="AG317" s="41">
        <v>0</v>
      </c>
      <c r="AH317" s="41">
        <v>0</v>
      </c>
      <c r="AI317" s="41">
        <v>0</v>
      </c>
      <c r="AJ317" s="41">
        <v>0</v>
      </c>
      <c r="AK317" s="41">
        <v>0</v>
      </c>
      <c r="AL317" s="41">
        <v>0</v>
      </c>
      <c r="AM317" s="41"/>
      <c r="AN317" s="41">
        <f t="shared" si="64"/>
        <v>9</v>
      </c>
      <c r="AO317" s="41">
        <f t="shared" si="58"/>
        <v>9</v>
      </c>
      <c r="AP317" s="40" t="s">
        <v>1986</v>
      </c>
      <c r="AQ317" s="36">
        <v>44986</v>
      </c>
      <c r="AR317" s="36"/>
      <c r="AS317" s="36"/>
      <c r="AT317" s="36">
        <v>45000</v>
      </c>
      <c r="AU317" s="36"/>
      <c r="AV317" s="38"/>
      <c r="AW317" s="40" t="s">
        <v>87</v>
      </c>
    </row>
    <row r="318" spans="1:49" s="34" customFormat="1" ht="48" customHeight="1" x14ac:dyDescent="0.3">
      <c r="A318" s="35" t="s">
        <v>1987</v>
      </c>
      <c r="B318" s="38">
        <v>44945</v>
      </c>
      <c r="C318" s="40">
        <v>545</v>
      </c>
      <c r="D318" s="39" t="s">
        <v>1988</v>
      </c>
      <c r="E318" s="1" t="s">
        <v>1989</v>
      </c>
      <c r="F318" s="36">
        <v>44974</v>
      </c>
      <c r="G318" s="35" t="s">
        <v>1990</v>
      </c>
      <c r="H318" s="40" t="s">
        <v>224</v>
      </c>
      <c r="I318" s="40" t="s">
        <v>1972</v>
      </c>
      <c r="J318" s="57">
        <v>7199500000</v>
      </c>
      <c r="K318" s="41">
        <v>7077108500</v>
      </c>
      <c r="L318" s="30">
        <f t="shared" si="65"/>
        <v>7077108500</v>
      </c>
      <c r="M318" s="30">
        <f t="shared" si="60"/>
        <v>7077108500</v>
      </c>
      <c r="N318" s="40" t="s">
        <v>1973</v>
      </c>
      <c r="O318" s="40" t="s">
        <v>1974</v>
      </c>
      <c r="P318" s="40" t="s">
        <v>1032</v>
      </c>
      <c r="Q318" s="44">
        <v>0</v>
      </c>
      <c r="R318" s="37">
        <v>100</v>
      </c>
      <c r="S318" s="37" t="s">
        <v>1964</v>
      </c>
      <c r="T318" s="48">
        <v>1</v>
      </c>
      <c r="U318" s="30">
        <f>M318/W318</f>
        <v>91910500</v>
      </c>
      <c r="V318" s="41">
        <f t="shared" si="63"/>
        <v>91910500</v>
      </c>
      <c r="W318" s="41">
        <f t="shared" si="61"/>
        <v>77</v>
      </c>
      <c r="X318" s="41">
        <v>77</v>
      </c>
      <c r="Y318" s="41">
        <v>0</v>
      </c>
      <c r="Z318" s="41">
        <v>0</v>
      </c>
      <c r="AA318" s="41">
        <v>0</v>
      </c>
      <c r="AB318" s="41">
        <v>0</v>
      </c>
      <c r="AC318" s="41">
        <v>0</v>
      </c>
      <c r="AD318" s="41">
        <v>0</v>
      </c>
      <c r="AE318" s="41">
        <v>0</v>
      </c>
      <c r="AF318" s="41">
        <v>0</v>
      </c>
      <c r="AG318" s="41">
        <v>0</v>
      </c>
      <c r="AH318" s="41">
        <v>0</v>
      </c>
      <c r="AI318" s="41">
        <v>0</v>
      </c>
      <c r="AJ318" s="41">
        <v>0</v>
      </c>
      <c r="AK318" s="41">
        <v>0</v>
      </c>
      <c r="AL318" s="41">
        <v>0</v>
      </c>
      <c r="AM318" s="41"/>
      <c r="AN318" s="41">
        <f t="shared" si="64"/>
        <v>77</v>
      </c>
      <c r="AO318" s="41">
        <f t="shared" ref="AO318:AO372" si="66">_xlfn.CEILING.MATH(AN318)</f>
        <v>77</v>
      </c>
      <c r="AP318" s="40" t="s">
        <v>1991</v>
      </c>
      <c r="AQ318" s="36"/>
      <c r="AR318" s="36"/>
      <c r="AS318" s="36"/>
      <c r="AT318" s="36"/>
      <c r="AU318" s="36"/>
      <c r="AV318" s="38"/>
      <c r="AW318" s="40" t="s">
        <v>49</v>
      </c>
    </row>
    <row r="319" spans="1:49" s="34" customFormat="1" ht="72" x14ac:dyDescent="0.3">
      <c r="A319" s="35" t="s">
        <v>1992</v>
      </c>
      <c r="B319" s="38">
        <v>44949</v>
      </c>
      <c r="C319" s="40" t="s">
        <v>162</v>
      </c>
      <c r="D319" s="39" t="s">
        <v>1993</v>
      </c>
      <c r="E319" s="1" t="s">
        <v>1994</v>
      </c>
      <c r="F319" s="36">
        <v>44970</v>
      </c>
      <c r="G319" s="35" t="s">
        <v>1995</v>
      </c>
      <c r="H319" s="40" t="s">
        <v>571</v>
      </c>
      <c r="I319" s="40" t="s">
        <v>1996</v>
      </c>
      <c r="J319" s="57">
        <v>130917.6</v>
      </c>
      <c r="K319" s="41">
        <v>130917.6</v>
      </c>
      <c r="L319" s="30">
        <f t="shared" si="65"/>
        <v>130917.6</v>
      </c>
      <c r="M319" s="30">
        <f t="shared" si="60"/>
        <v>130917.6</v>
      </c>
      <c r="N319" s="40" t="s">
        <v>1997</v>
      </c>
      <c r="O319" s="40" t="s">
        <v>1998</v>
      </c>
      <c r="P319" s="40" t="s">
        <v>47</v>
      </c>
      <c r="Q319" s="44">
        <v>100</v>
      </c>
      <c r="R319" s="37">
        <v>0</v>
      </c>
      <c r="S319" s="37" t="s">
        <v>1964</v>
      </c>
      <c r="T319" s="48">
        <v>60</v>
      </c>
      <c r="U319" s="30">
        <f>M319/W319</f>
        <v>6.38</v>
      </c>
      <c r="V319" s="41">
        <f t="shared" si="63"/>
        <v>382.8</v>
      </c>
      <c r="W319" s="41">
        <f t="shared" si="61"/>
        <v>20520</v>
      </c>
      <c r="X319" s="41">
        <v>20520</v>
      </c>
      <c r="Y319" s="41">
        <v>0</v>
      </c>
      <c r="Z319" s="41">
        <v>0</v>
      </c>
      <c r="AA319" s="41">
        <v>0</v>
      </c>
      <c r="AB319" s="41">
        <v>0</v>
      </c>
      <c r="AC319" s="41">
        <v>0</v>
      </c>
      <c r="AD319" s="41">
        <v>0</v>
      </c>
      <c r="AE319" s="41">
        <v>0</v>
      </c>
      <c r="AF319" s="41">
        <v>0</v>
      </c>
      <c r="AG319" s="41">
        <v>0</v>
      </c>
      <c r="AH319" s="41">
        <v>0</v>
      </c>
      <c r="AI319" s="41">
        <v>0</v>
      </c>
      <c r="AJ319" s="41">
        <v>0</v>
      </c>
      <c r="AK319" s="41">
        <v>0</v>
      </c>
      <c r="AL319" s="41">
        <v>0</v>
      </c>
      <c r="AM319" s="41"/>
      <c r="AN319" s="41">
        <f t="shared" si="64"/>
        <v>342</v>
      </c>
      <c r="AO319" s="41">
        <f t="shared" si="66"/>
        <v>342</v>
      </c>
      <c r="AP319" s="40"/>
      <c r="AQ319" s="36">
        <v>45078</v>
      </c>
      <c r="AR319" s="36"/>
      <c r="AS319" s="36"/>
      <c r="AT319" s="36">
        <v>45092</v>
      </c>
      <c r="AU319" s="36"/>
      <c r="AV319" s="38"/>
      <c r="AW319" s="40" t="s">
        <v>87</v>
      </c>
    </row>
    <row r="320" spans="1:49" s="34" customFormat="1" ht="144.75" customHeight="1" x14ac:dyDescent="0.3">
      <c r="A320" s="35" t="s">
        <v>1999</v>
      </c>
      <c r="B320" s="38">
        <v>44950</v>
      </c>
      <c r="C320" s="40" t="s">
        <v>162</v>
      </c>
      <c r="D320" s="39" t="s">
        <v>2000</v>
      </c>
      <c r="E320" s="1" t="s">
        <v>2001</v>
      </c>
      <c r="F320" s="36">
        <v>44970</v>
      </c>
      <c r="G320" s="35" t="s">
        <v>2002</v>
      </c>
      <c r="H320" s="40" t="s">
        <v>2003</v>
      </c>
      <c r="I320" s="40" t="s">
        <v>922</v>
      </c>
      <c r="J320" s="57">
        <v>22434500.699999999</v>
      </c>
      <c r="K320" s="41">
        <v>18388935</v>
      </c>
      <c r="L320" s="30">
        <f t="shared" si="65"/>
        <v>18388935</v>
      </c>
      <c r="M320" s="30">
        <f t="shared" si="60"/>
        <v>18388935</v>
      </c>
      <c r="N320" s="40" t="s">
        <v>2004</v>
      </c>
      <c r="O320" s="40" t="s">
        <v>2005</v>
      </c>
      <c r="P320" s="40" t="s">
        <v>47</v>
      </c>
      <c r="Q320" s="44">
        <v>100</v>
      </c>
      <c r="R320" s="37">
        <v>0</v>
      </c>
      <c r="S320" s="37" t="s">
        <v>1964</v>
      </c>
      <c r="T320" s="48">
        <v>60</v>
      </c>
      <c r="U320" s="30">
        <f>M320/W320</f>
        <v>1.5</v>
      </c>
      <c r="V320" s="41">
        <f t="shared" si="63"/>
        <v>90</v>
      </c>
      <c r="W320" s="41">
        <f t="shared" si="61"/>
        <v>12259290</v>
      </c>
      <c r="X320" s="41">
        <v>12259290</v>
      </c>
      <c r="Y320" s="41">
        <v>0</v>
      </c>
      <c r="Z320" s="41">
        <v>0</v>
      </c>
      <c r="AA320" s="41">
        <v>0</v>
      </c>
      <c r="AB320" s="41">
        <v>0</v>
      </c>
      <c r="AC320" s="41">
        <v>0</v>
      </c>
      <c r="AD320" s="41">
        <v>0</v>
      </c>
      <c r="AE320" s="41">
        <v>0</v>
      </c>
      <c r="AF320" s="41">
        <v>0</v>
      </c>
      <c r="AG320" s="41">
        <v>0</v>
      </c>
      <c r="AH320" s="41">
        <v>0</v>
      </c>
      <c r="AI320" s="41">
        <v>0</v>
      </c>
      <c r="AJ320" s="41">
        <v>0</v>
      </c>
      <c r="AK320" s="41">
        <v>0</v>
      </c>
      <c r="AL320" s="41">
        <v>0</v>
      </c>
      <c r="AM320" s="41"/>
      <c r="AN320" s="41">
        <f t="shared" si="64"/>
        <v>204321.5</v>
      </c>
      <c r="AO320" s="41">
        <f t="shared" si="66"/>
        <v>204322</v>
      </c>
      <c r="AP320" s="40"/>
      <c r="AQ320" s="36">
        <v>45047</v>
      </c>
      <c r="AR320" s="36"/>
      <c r="AS320" s="36"/>
      <c r="AT320" s="36">
        <v>45061</v>
      </c>
      <c r="AU320" s="36"/>
      <c r="AV320" s="38"/>
      <c r="AW320" s="40" t="s">
        <v>49</v>
      </c>
    </row>
    <row r="321" spans="1:56" ht="72" x14ac:dyDescent="0.3">
      <c r="A321" s="35" t="s">
        <v>2006</v>
      </c>
      <c r="B321" s="38">
        <v>44950</v>
      </c>
      <c r="C321" s="40" t="s">
        <v>162</v>
      </c>
      <c r="D321" s="39" t="s">
        <v>2007</v>
      </c>
      <c r="E321" s="1" t="s">
        <v>2008</v>
      </c>
      <c r="F321" s="36">
        <v>44971</v>
      </c>
      <c r="G321" s="35" t="s">
        <v>2009</v>
      </c>
      <c r="H321" s="40" t="s">
        <v>2010</v>
      </c>
      <c r="I321" s="40" t="s">
        <v>1203</v>
      </c>
      <c r="J321" s="57">
        <v>1801825.44</v>
      </c>
      <c r="K321" s="41">
        <v>1388907.11</v>
      </c>
      <c r="L321" s="30">
        <v>1408065.71</v>
      </c>
      <c r="M321" s="30">
        <f t="shared" si="60"/>
        <v>1408065.71</v>
      </c>
      <c r="N321" s="40" t="s">
        <v>1204</v>
      </c>
      <c r="O321" s="40" t="s">
        <v>1205</v>
      </c>
      <c r="P321" s="40" t="s">
        <v>47</v>
      </c>
      <c r="Q321" s="44">
        <v>100</v>
      </c>
      <c r="R321" s="37">
        <v>0</v>
      </c>
      <c r="S321" s="37" t="s">
        <v>219</v>
      </c>
      <c r="T321" s="48">
        <v>240</v>
      </c>
      <c r="U321" s="30">
        <f>M321/W321</f>
        <v>0.37</v>
      </c>
      <c r="V321" s="41">
        <f t="shared" si="63"/>
        <v>88.8</v>
      </c>
      <c r="W321" s="41">
        <f t="shared" si="61"/>
        <v>3805583</v>
      </c>
      <c r="X321" s="41">
        <v>3805583</v>
      </c>
      <c r="Y321" s="41">
        <v>0</v>
      </c>
      <c r="Z321" s="41">
        <v>0</v>
      </c>
      <c r="AA321" s="41">
        <v>0</v>
      </c>
      <c r="AB321" s="41">
        <v>0</v>
      </c>
      <c r="AC321" s="41">
        <v>0</v>
      </c>
      <c r="AD321" s="41">
        <v>0</v>
      </c>
      <c r="AE321" s="41">
        <v>0</v>
      </c>
      <c r="AF321" s="41">
        <v>0</v>
      </c>
      <c r="AG321" s="41">
        <v>0</v>
      </c>
      <c r="AH321" s="41">
        <v>0</v>
      </c>
      <c r="AI321" s="41">
        <v>0</v>
      </c>
      <c r="AJ321" s="41">
        <v>0</v>
      </c>
      <c r="AK321" s="41">
        <v>0</v>
      </c>
      <c r="AL321" s="41">
        <v>0</v>
      </c>
      <c r="AM321" s="41"/>
      <c r="AN321" s="41">
        <f t="shared" si="64"/>
        <v>15856.595833333333</v>
      </c>
      <c r="AO321" s="41">
        <f t="shared" si="66"/>
        <v>15857</v>
      </c>
      <c r="AP321" s="40"/>
      <c r="AQ321" s="36">
        <v>45047</v>
      </c>
      <c r="AR321" s="36"/>
      <c r="AS321" s="36"/>
      <c r="AT321" s="36">
        <v>45061</v>
      </c>
      <c r="AU321" s="36"/>
      <c r="AV321" s="38"/>
      <c r="AW321" s="40" t="s">
        <v>49</v>
      </c>
    </row>
    <row r="322" spans="1:56" ht="140.4" customHeight="1" x14ac:dyDescent="0.3">
      <c r="A322" s="35" t="s">
        <v>2011</v>
      </c>
      <c r="B322" s="38">
        <v>44950</v>
      </c>
      <c r="C322" s="40" t="s">
        <v>162</v>
      </c>
      <c r="D322" s="39" t="s">
        <v>2012</v>
      </c>
      <c r="E322" s="1" t="s">
        <v>2013</v>
      </c>
      <c r="F322" s="36">
        <v>44972</v>
      </c>
      <c r="G322" s="35" t="s">
        <v>2014</v>
      </c>
      <c r="H322" s="40" t="s">
        <v>2003</v>
      </c>
      <c r="I322" s="40" t="s">
        <v>1141</v>
      </c>
      <c r="J322" s="57">
        <v>63066276</v>
      </c>
      <c r="K322" s="41">
        <v>44078580</v>
      </c>
      <c r="L322" s="30">
        <f t="shared" si="65"/>
        <v>44078580</v>
      </c>
      <c r="M322" s="30">
        <f t="shared" si="60"/>
        <v>44078580</v>
      </c>
      <c r="N322" s="40" t="s">
        <v>2015</v>
      </c>
      <c r="O322" s="40" t="s">
        <v>2016</v>
      </c>
      <c r="P322" s="40" t="s">
        <v>47</v>
      </c>
      <c r="Q322" s="44">
        <v>100</v>
      </c>
      <c r="R322" s="37">
        <v>0</v>
      </c>
      <c r="S322" s="37" t="s">
        <v>219</v>
      </c>
      <c r="T322" s="54" t="s">
        <v>2017</v>
      </c>
      <c r="U322" s="30">
        <f>M322/W322</f>
        <v>6.5</v>
      </c>
      <c r="V322" s="57" t="s">
        <v>2018</v>
      </c>
      <c r="W322" s="41">
        <f t="shared" si="61"/>
        <v>6781320</v>
      </c>
      <c r="X322" s="41">
        <v>6781320</v>
      </c>
      <c r="Y322" s="41">
        <v>0</v>
      </c>
      <c r="Z322" s="41">
        <v>0</v>
      </c>
      <c r="AA322" s="41">
        <v>0</v>
      </c>
      <c r="AB322" s="41">
        <v>0</v>
      </c>
      <c r="AC322" s="41">
        <v>0</v>
      </c>
      <c r="AD322" s="41">
        <v>0</v>
      </c>
      <c r="AE322" s="41">
        <v>0</v>
      </c>
      <c r="AF322" s="41">
        <v>0</v>
      </c>
      <c r="AG322" s="41">
        <v>0</v>
      </c>
      <c r="AH322" s="41">
        <v>0</v>
      </c>
      <c r="AI322" s="41">
        <v>0</v>
      </c>
      <c r="AJ322" s="41">
        <v>0</v>
      </c>
      <c r="AK322" s="41">
        <v>0</v>
      </c>
      <c r="AL322" s="41">
        <v>0</v>
      </c>
      <c r="AM322" s="41"/>
      <c r="AN322" s="57" t="s">
        <v>2019</v>
      </c>
      <c r="AO322" s="57" t="s">
        <v>2019</v>
      </c>
      <c r="AP322" s="40"/>
      <c r="AQ322" s="36">
        <v>45047</v>
      </c>
      <c r="AR322" s="36"/>
      <c r="AS322" s="36"/>
      <c r="AT322" s="36">
        <v>45061</v>
      </c>
      <c r="AU322" s="36"/>
      <c r="AV322" s="38"/>
      <c r="AW322" s="40" t="s">
        <v>49</v>
      </c>
    </row>
    <row r="323" spans="1:56" ht="72" x14ac:dyDescent="0.3">
      <c r="A323" s="35" t="s">
        <v>2020</v>
      </c>
      <c r="B323" s="38">
        <v>44950</v>
      </c>
      <c r="C323" s="40" t="s">
        <v>162</v>
      </c>
      <c r="D323" s="39" t="s">
        <v>459</v>
      </c>
      <c r="E323" s="1" t="s">
        <v>2021</v>
      </c>
      <c r="F323" s="36" t="s">
        <v>459</v>
      </c>
      <c r="G323" s="37" t="s">
        <v>459</v>
      </c>
      <c r="H323" s="40" t="s">
        <v>459</v>
      </c>
      <c r="I323" s="40" t="s">
        <v>908</v>
      </c>
      <c r="J323" s="57">
        <v>1863892.8</v>
      </c>
      <c r="K323" s="41">
        <v>0</v>
      </c>
      <c r="L323" s="30">
        <f t="shared" si="65"/>
        <v>0</v>
      </c>
      <c r="M323" s="30">
        <f t="shared" si="60"/>
        <v>0</v>
      </c>
      <c r="N323" s="40"/>
      <c r="O323" s="40"/>
      <c r="P323" s="40"/>
      <c r="Q323" s="44"/>
      <c r="R323" s="37"/>
      <c r="S323" s="37"/>
      <c r="T323" s="48"/>
      <c r="U323" s="30" t="e">
        <f>M323/W323</f>
        <v>#DIV/0!</v>
      </c>
      <c r="V323" s="41" t="e">
        <f t="shared" si="63"/>
        <v>#DIV/0!</v>
      </c>
      <c r="W323" s="41">
        <f t="shared" si="61"/>
        <v>0</v>
      </c>
      <c r="X323" s="41"/>
      <c r="Y323" s="41"/>
      <c r="Z323" s="41"/>
      <c r="AA323" s="41"/>
      <c r="AB323" s="41"/>
      <c r="AC323" s="41"/>
      <c r="AD323" s="41"/>
      <c r="AE323" s="41"/>
      <c r="AF323" s="41"/>
      <c r="AG323" s="41"/>
      <c r="AH323" s="41"/>
      <c r="AI323" s="41"/>
      <c r="AJ323" s="41"/>
      <c r="AK323" s="41"/>
      <c r="AL323" s="41"/>
      <c r="AM323" s="41"/>
      <c r="AN323" s="41" t="e">
        <f t="shared" ref="AN323:AN331" si="67">W323/T323</f>
        <v>#DIV/0!</v>
      </c>
      <c r="AO323" s="41" t="e">
        <f t="shared" si="66"/>
        <v>#DIV/0!</v>
      </c>
      <c r="AP323" s="40"/>
      <c r="AQ323" s="36"/>
      <c r="AR323" s="36"/>
      <c r="AS323" s="36"/>
      <c r="AT323" s="36"/>
      <c r="AU323" s="36"/>
      <c r="AV323" s="38"/>
      <c r="AW323" s="40"/>
    </row>
    <row r="324" spans="1:56" ht="78" x14ac:dyDescent="0.3">
      <c r="A324" s="35" t="s">
        <v>2022</v>
      </c>
      <c r="B324" s="38">
        <v>44950</v>
      </c>
      <c r="C324" s="40">
        <v>545</v>
      </c>
      <c r="D324" s="39" t="s">
        <v>459</v>
      </c>
      <c r="E324" s="1" t="s">
        <v>2023</v>
      </c>
      <c r="F324" s="36" t="s">
        <v>459</v>
      </c>
      <c r="G324" s="37" t="s">
        <v>459</v>
      </c>
      <c r="H324" s="40" t="s">
        <v>459</v>
      </c>
      <c r="I324" s="40" t="s">
        <v>1966</v>
      </c>
      <c r="J324" s="57">
        <v>15675660</v>
      </c>
      <c r="K324" s="41">
        <v>0</v>
      </c>
      <c r="L324" s="30">
        <f t="shared" si="65"/>
        <v>0</v>
      </c>
      <c r="M324" s="30">
        <f t="shared" si="60"/>
        <v>0</v>
      </c>
      <c r="N324" s="40"/>
      <c r="O324" s="40"/>
      <c r="P324" s="40"/>
      <c r="Q324" s="44"/>
      <c r="R324" s="37"/>
      <c r="S324" s="37"/>
      <c r="T324" s="48"/>
      <c r="U324" s="30" t="e">
        <f>M324/W324</f>
        <v>#DIV/0!</v>
      </c>
      <c r="V324" s="41" t="e">
        <f t="shared" si="63"/>
        <v>#DIV/0!</v>
      </c>
      <c r="W324" s="41">
        <f t="shared" si="61"/>
        <v>0</v>
      </c>
      <c r="X324" s="41"/>
      <c r="Y324" s="41"/>
      <c r="Z324" s="41"/>
      <c r="AA324" s="41"/>
      <c r="AB324" s="41"/>
      <c r="AC324" s="41"/>
      <c r="AD324" s="41"/>
      <c r="AE324" s="41"/>
      <c r="AF324" s="41"/>
      <c r="AG324" s="41"/>
      <c r="AH324" s="41"/>
      <c r="AI324" s="41"/>
      <c r="AJ324" s="41"/>
      <c r="AK324" s="41"/>
      <c r="AL324" s="41"/>
      <c r="AM324" s="41"/>
      <c r="AN324" s="41" t="e">
        <f t="shared" si="67"/>
        <v>#DIV/0!</v>
      </c>
      <c r="AO324" s="41" t="e">
        <f t="shared" si="66"/>
        <v>#DIV/0!</v>
      </c>
      <c r="AP324" s="40"/>
      <c r="AQ324" s="36"/>
      <c r="AR324" s="36"/>
      <c r="AS324" s="36"/>
      <c r="AT324" s="36"/>
      <c r="AU324" s="36"/>
      <c r="AV324" s="38"/>
      <c r="AW324" s="40"/>
    </row>
    <row r="325" spans="1:56" ht="72" x14ac:dyDescent="0.3">
      <c r="A325" s="35" t="s">
        <v>2024</v>
      </c>
      <c r="B325" s="38">
        <v>44950</v>
      </c>
      <c r="C325" s="40" t="s">
        <v>162</v>
      </c>
      <c r="D325" s="39" t="s">
        <v>2025</v>
      </c>
      <c r="E325" s="1" t="s">
        <v>2026</v>
      </c>
      <c r="F325" s="36">
        <v>44970</v>
      </c>
      <c r="G325" s="35" t="s">
        <v>2027</v>
      </c>
      <c r="H325" s="40" t="s">
        <v>571</v>
      </c>
      <c r="I325" s="40" t="s">
        <v>2028</v>
      </c>
      <c r="J325" s="57">
        <v>991452</v>
      </c>
      <c r="K325" s="41">
        <v>991452</v>
      </c>
      <c r="L325" s="30">
        <f t="shared" si="65"/>
        <v>991452</v>
      </c>
      <c r="M325" s="30">
        <f t="shared" si="60"/>
        <v>991452</v>
      </c>
      <c r="N325" s="40" t="s">
        <v>2029</v>
      </c>
      <c r="O325" s="40" t="s">
        <v>1136</v>
      </c>
      <c r="P325" s="40" t="s">
        <v>47</v>
      </c>
      <c r="Q325" s="44">
        <v>100</v>
      </c>
      <c r="R325" s="37">
        <v>0</v>
      </c>
      <c r="S325" s="37" t="s">
        <v>1964</v>
      </c>
      <c r="T325" s="48">
        <v>60</v>
      </c>
      <c r="U325" s="30">
        <f>M325/W325</f>
        <v>2.59</v>
      </c>
      <c r="V325" s="41">
        <f t="shared" si="63"/>
        <v>155.39999999999998</v>
      </c>
      <c r="W325" s="41">
        <f t="shared" si="61"/>
        <v>382800</v>
      </c>
      <c r="X325" s="41">
        <v>382800</v>
      </c>
      <c r="Y325" s="41">
        <v>0</v>
      </c>
      <c r="Z325" s="41">
        <v>0</v>
      </c>
      <c r="AA325" s="41">
        <v>0</v>
      </c>
      <c r="AB325" s="41">
        <v>0</v>
      </c>
      <c r="AC325" s="41">
        <v>0</v>
      </c>
      <c r="AD325" s="41">
        <v>0</v>
      </c>
      <c r="AE325" s="41">
        <v>0</v>
      </c>
      <c r="AF325" s="41">
        <v>0</v>
      </c>
      <c r="AG325" s="41">
        <v>0</v>
      </c>
      <c r="AH325" s="41">
        <v>0</v>
      </c>
      <c r="AI325" s="41">
        <v>0</v>
      </c>
      <c r="AJ325" s="41">
        <v>0</v>
      </c>
      <c r="AK325" s="41">
        <v>0</v>
      </c>
      <c r="AL325" s="41">
        <v>0</v>
      </c>
      <c r="AM325" s="41"/>
      <c r="AN325" s="41">
        <f t="shared" si="67"/>
        <v>6380</v>
      </c>
      <c r="AO325" s="41">
        <f t="shared" si="66"/>
        <v>6380</v>
      </c>
      <c r="AP325" s="40"/>
      <c r="AQ325" s="36">
        <v>45047</v>
      </c>
      <c r="AR325" s="36"/>
      <c r="AS325" s="36"/>
      <c r="AT325" s="36">
        <v>45061</v>
      </c>
      <c r="AU325" s="36"/>
      <c r="AV325" s="38"/>
      <c r="AW325" s="40" t="s">
        <v>87</v>
      </c>
    </row>
    <row r="326" spans="1:56" ht="93.6" x14ac:dyDescent="0.3">
      <c r="A326" s="35" t="s">
        <v>2030</v>
      </c>
      <c r="B326" s="38">
        <v>44950</v>
      </c>
      <c r="C326" s="40" t="s">
        <v>162</v>
      </c>
      <c r="D326" s="39" t="s">
        <v>2031</v>
      </c>
      <c r="E326" s="1" t="s">
        <v>2032</v>
      </c>
      <c r="F326" s="36">
        <v>44970</v>
      </c>
      <c r="G326" s="35" t="s">
        <v>2033</v>
      </c>
      <c r="H326" s="40" t="s">
        <v>177</v>
      </c>
      <c r="I326" s="40" t="s">
        <v>1062</v>
      </c>
      <c r="J326" s="57">
        <v>254832192.30000001</v>
      </c>
      <c r="K326" s="41">
        <v>169446920.65000001</v>
      </c>
      <c r="L326" s="30">
        <v>170715723.00999999</v>
      </c>
      <c r="M326" s="30">
        <f t="shared" si="60"/>
        <v>170715723.00999999</v>
      </c>
      <c r="N326" s="40" t="s">
        <v>2034</v>
      </c>
      <c r="O326" s="40" t="s">
        <v>2035</v>
      </c>
      <c r="P326" s="40" t="s">
        <v>47</v>
      </c>
      <c r="Q326" s="44">
        <v>100</v>
      </c>
      <c r="R326" s="37">
        <v>0</v>
      </c>
      <c r="S326" s="37" t="s">
        <v>1964</v>
      </c>
      <c r="T326" s="48">
        <v>60</v>
      </c>
      <c r="U326" s="30">
        <f>M326/W326</f>
        <v>72.97</v>
      </c>
      <c r="V326" s="41">
        <f t="shared" si="63"/>
        <v>4378.2</v>
      </c>
      <c r="W326" s="41">
        <f t="shared" si="61"/>
        <v>2339533</v>
      </c>
      <c r="X326" s="41">
        <v>2339533</v>
      </c>
      <c r="Y326" s="41">
        <v>0</v>
      </c>
      <c r="Z326" s="41">
        <v>0</v>
      </c>
      <c r="AA326" s="41">
        <v>0</v>
      </c>
      <c r="AB326" s="41">
        <v>0</v>
      </c>
      <c r="AC326" s="41">
        <v>0</v>
      </c>
      <c r="AD326" s="41">
        <v>0</v>
      </c>
      <c r="AE326" s="41">
        <v>0</v>
      </c>
      <c r="AF326" s="41">
        <v>0</v>
      </c>
      <c r="AG326" s="41">
        <v>0</v>
      </c>
      <c r="AH326" s="41">
        <v>0</v>
      </c>
      <c r="AI326" s="41">
        <v>0</v>
      </c>
      <c r="AJ326" s="41">
        <v>0</v>
      </c>
      <c r="AK326" s="41">
        <v>0</v>
      </c>
      <c r="AL326" s="41">
        <v>0</v>
      </c>
      <c r="AM326" s="41"/>
      <c r="AN326" s="41">
        <f t="shared" si="67"/>
        <v>38992.216666666667</v>
      </c>
      <c r="AO326" s="41">
        <f t="shared" si="66"/>
        <v>38993</v>
      </c>
      <c r="AP326" s="40"/>
      <c r="AQ326" s="36">
        <v>45047</v>
      </c>
      <c r="AR326" s="36"/>
      <c r="AS326" s="36"/>
      <c r="AT326" s="36">
        <v>45061</v>
      </c>
      <c r="AU326" s="36"/>
      <c r="AV326" s="38"/>
      <c r="AW326" s="40" t="s">
        <v>49</v>
      </c>
    </row>
    <row r="327" spans="1:56" ht="72" x14ac:dyDescent="0.3">
      <c r="A327" s="35" t="s">
        <v>2036</v>
      </c>
      <c r="B327" s="38">
        <v>44950</v>
      </c>
      <c r="C327" s="40" t="s">
        <v>162</v>
      </c>
      <c r="D327" s="39" t="s">
        <v>459</v>
      </c>
      <c r="E327" s="1" t="s">
        <v>2037</v>
      </c>
      <c r="F327" s="36" t="s">
        <v>459</v>
      </c>
      <c r="G327" s="35" t="s">
        <v>459</v>
      </c>
      <c r="H327" s="40" t="s">
        <v>459</v>
      </c>
      <c r="I327" s="40" t="s">
        <v>992</v>
      </c>
      <c r="J327" s="57">
        <v>725868</v>
      </c>
      <c r="K327" s="41">
        <v>0</v>
      </c>
      <c r="L327" s="30">
        <f t="shared" si="65"/>
        <v>0</v>
      </c>
      <c r="M327" s="30">
        <f t="shared" si="60"/>
        <v>0</v>
      </c>
      <c r="N327" s="40"/>
      <c r="O327" s="40"/>
      <c r="P327" s="40"/>
      <c r="Q327" s="44"/>
      <c r="R327" s="37"/>
      <c r="S327" s="37"/>
      <c r="T327" s="48"/>
      <c r="U327" s="30" t="e">
        <f>M327/W327</f>
        <v>#DIV/0!</v>
      </c>
      <c r="V327" s="41" t="e">
        <f t="shared" si="63"/>
        <v>#DIV/0!</v>
      </c>
      <c r="W327" s="41">
        <f t="shared" si="61"/>
        <v>0</v>
      </c>
      <c r="X327" s="41"/>
      <c r="Y327" s="41"/>
      <c r="Z327" s="41"/>
      <c r="AA327" s="41"/>
      <c r="AB327" s="41"/>
      <c r="AC327" s="41"/>
      <c r="AD327" s="41"/>
      <c r="AE327" s="41"/>
      <c r="AF327" s="41"/>
      <c r="AG327" s="41"/>
      <c r="AH327" s="41"/>
      <c r="AI327" s="41"/>
      <c r="AJ327" s="41"/>
      <c r="AK327" s="41"/>
      <c r="AL327" s="41"/>
      <c r="AM327" s="41"/>
      <c r="AN327" s="41" t="e">
        <f t="shared" si="67"/>
        <v>#DIV/0!</v>
      </c>
      <c r="AO327" s="41" t="e">
        <f t="shared" si="66"/>
        <v>#DIV/0!</v>
      </c>
      <c r="AP327" s="40"/>
      <c r="AQ327" s="36"/>
      <c r="AR327" s="36"/>
      <c r="AS327" s="36"/>
      <c r="AT327" s="36"/>
      <c r="AU327" s="36"/>
      <c r="AV327" s="38"/>
      <c r="AW327" s="40"/>
    </row>
    <row r="328" spans="1:56" ht="72" x14ac:dyDescent="0.3">
      <c r="A328" s="35" t="s">
        <v>2038</v>
      </c>
      <c r="B328" s="38">
        <v>44950</v>
      </c>
      <c r="C328" s="40" t="s">
        <v>162</v>
      </c>
      <c r="D328" s="39" t="s">
        <v>2039</v>
      </c>
      <c r="E328" s="1" t="s">
        <v>2040</v>
      </c>
      <c r="F328" s="36">
        <v>44970</v>
      </c>
      <c r="G328" s="35" t="s">
        <v>2041</v>
      </c>
      <c r="H328" s="40" t="s">
        <v>571</v>
      </c>
      <c r="I328" s="40" t="s">
        <v>2042</v>
      </c>
      <c r="J328" s="57">
        <v>873452.65</v>
      </c>
      <c r="K328" s="57">
        <v>873452.65</v>
      </c>
      <c r="L328" s="30">
        <f t="shared" si="65"/>
        <v>873452.65</v>
      </c>
      <c r="M328" s="30">
        <f t="shared" si="60"/>
        <v>873452.65</v>
      </c>
      <c r="N328" s="40" t="s">
        <v>958</v>
      </c>
      <c r="O328" s="40" t="s">
        <v>999</v>
      </c>
      <c r="P328" s="40" t="s">
        <v>47</v>
      </c>
      <c r="Q328" s="44">
        <v>100</v>
      </c>
      <c r="R328" s="37">
        <v>0</v>
      </c>
      <c r="S328" s="37" t="s">
        <v>1964</v>
      </c>
      <c r="T328" s="48">
        <v>60</v>
      </c>
      <c r="U328" s="30">
        <f>M328/W328</f>
        <v>4.97</v>
      </c>
      <c r="V328" s="41">
        <f t="shared" si="63"/>
        <v>298.2</v>
      </c>
      <c r="W328" s="41">
        <f t="shared" si="61"/>
        <v>175745</v>
      </c>
      <c r="X328" s="41">
        <v>175745</v>
      </c>
      <c r="Y328" s="41">
        <v>0</v>
      </c>
      <c r="Z328" s="41">
        <v>0</v>
      </c>
      <c r="AA328" s="41">
        <v>0</v>
      </c>
      <c r="AB328" s="41">
        <v>0</v>
      </c>
      <c r="AC328" s="41">
        <v>0</v>
      </c>
      <c r="AD328" s="41">
        <v>0</v>
      </c>
      <c r="AE328" s="41">
        <v>0</v>
      </c>
      <c r="AF328" s="41">
        <v>0</v>
      </c>
      <c r="AG328" s="41">
        <v>0</v>
      </c>
      <c r="AH328" s="41">
        <v>0</v>
      </c>
      <c r="AI328" s="41">
        <v>0</v>
      </c>
      <c r="AJ328" s="41">
        <v>0</v>
      </c>
      <c r="AK328" s="41">
        <v>0</v>
      </c>
      <c r="AL328" s="41">
        <v>0</v>
      </c>
      <c r="AM328" s="41"/>
      <c r="AN328" s="41">
        <f t="shared" si="67"/>
        <v>2929.0833333333335</v>
      </c>
      <c r="AO328" s="41">
        <f t="shared" si="66"/>
        <v>2930</v>
      </c>
      <c r="AP328" s="40"/>
      <c r="AQ328" s="36">
        <v>45047</v>
      </c>
      <c r="AR328" s="36"/>
      <c r="AS328" s="36"/>
      <c r="AT328" s="36">
        <v>45061</v>
      </c>
      <c r="AU328" s="36"/>
      <c r="AV328" s="38"/>
      <c r="AW328" s="40" t="s">
        <v>87</v>
      </c>
    </row>
    <row r="329" spans="1:56" ht="72" x14ac:dyDescent="0.3">
      <c r="A329" s="35" t="s">
        <v>2043</v>
      </c>
      <c r="B329" s="38">
        <v>44950</v>
      </c>
      <c r="C329" s="40" t="s">
        <v>162</v>
      </c>
      <c r="D329" s="39" t="s">
        <v>2044</v>
      </c>
      <c r="E329" s="1" t="s">
        <v>2045</v>
      </c>
      <c r="F329" s="36">
        <v>44977</v>
      </c>
      <c r="G329" s="37" t="s">
        <v>2046</v>
      </c>
      <c r="H329" s="40" t="s">
        <v>555</v>
      </c>
      <c r="I329" s="40" t="s">
        <v>1037</v>
      </c>
      <c r="J329" s="57">
        <v>35079959.25</v>
      </c>
      <c r="K329" s="41">
        <v>10103593.5</v>
      </c>
      <c r="L329" s="30">
        <f t="shared" si="65"/>
        <v>10103593.5</v>
      </c>
      <c r="M329" s="30">
        <f t="shared" si="60"/>
        <v>10103593.5</v>
      </c>
      <c r="N329" s="40" t="s">
        <v>2047</v>
      </c>
      <c r="O329" s="40" t="s">
        <v>2048</v>
      </c>
      <c r="P329" s="40" t="s">
        <v>47</v>
      </c>
      <c r="Q329" s="44">
        <v>100</v>
      </c>
      <c r="R329" s="37">
        <v>0</v>
      </c>
      <c r="S329" s="37" t="s">
        <v>1964</v>
      </c>
      <c r="T329" s="48">
        <v>60</v>
      </c>
      <c r="U329" s="30">
        <f>M329/W329</f>
        <v>25.74</v>
      </c>
      <c r="V329" s="41">
        <f t="shared" si="63"/>
        <v>1544.3999999999999</v>
      </c>
      <c r="W329" s="41">
        <f t="shared" si="61"/>
        <v>392525</v>
      </c>
      <c r="X329" s="41">
        <v>392525</v>
      </c>
      <c r="Y329" s="41">
        <v>0</v>
      </c>
      <c r="Z329" s="41">
        <v>0</v>
      </c>
      <c r="AA329" s="41">
        <v>0</v>
      </c>
      <c r="AB329" s="41">
        <v>0</v>
      </c>
      <c r="AC329" s="41">
        <v>0</v>
      </c>
      <c r="AD329" s="41">
        <v>0</v>
      </c>
      <c r="AE329" s="41">
        <v>0</v>
      </c>
      <c r="AF329" s="41">
        <v>0</v>
      </c>
      <c r="AG329" s="41">
        <v>0</v>
      </c>
      <c r="AH329" s="41">
        <v>0</v>
      </c>
      <c r="AI329" s="41">
        <v>0</v>
      </c>
      <c r="AJ329" s="41">
        <v>0</v>
      </c>
      <c r="AK329" s="41">
        <v>0</v>
      </c>
      <c r="AL329" s="41">
        <v>0</v>
      </c>
      <c r="AM329" s="41"/>
      <c r="AN329" s="41">
        <f t="shared" si="67"/>
        <v>6542.083333333333</v>
      </c>
      <c r="AO329" s="41">
        <f t="shared" si="66"/>
        <v>6543</v>
      </c>
      <c r="AP329" s="40"/>
      <c r="AQ329" s="36">
        <v>45047</v>
      </c>
      <c r="AR329" s="36"/>
      <c r="AS329" s="36"/>
      <c r="AT329" s="36">
        <v>45061</v>
      </c>
      <c r="AU329" s="36"/>
      <c r="AV329" s="38"/>
      <c r="AW329" s="40" t="s">
        <v>49</v>
      </c>
    </row>
    <row r="330" spans="1:56" ht="72" x14ac:dyDescent="0.3">
      <c r="A330" s="35" t="s">
        <v>2049</v>
      </c>
      <c r="B330" s="38">
        <v>44950</v>
      </c>
      <c r="C330" s="40" t="s">
        <v>162</v>
      </c>
      <c r="D330" s="39" t="s">
        <v>2050</v>
      </c>
      <c r="E330" s="1" t="s">
        <v>2051</v>
      </c>
      <c r="F330" s="36">
        <v>44974</v>
      </c>
      <c r="G330" s="37" t="s">
        <v>2052</v>
      </c>
      <c r="H330" s="40" t="s">
        <v>571</v>
      </c>
      <c r="I330" s="40" t="s">
        <v>2053</v>
      </c>
      <c r="J330" s="57">
        <v>1988597</v>
      </c>
      <c r="K330" s="41">
        <v>1381551.6</v>
      </c>
      <c r="L330" s="30">
        <v>1395174</v>
      </c>
      <c r="M330" s="30">
        <f t="shared" si="60"/>
        <v>1395174</v>
      </c>
      <c r="N330" s="40" t="s">
        <v>2054</v>
      </c>
      <c r="O330" s="40" t="s">
        <v>1048</v>
      </c>
      <c r="P330" s="40" t="s">
        <v>47</v>
      </c>
      <c r="Q330" s="44">
        <v>100</v>
      </c>
      <c r="R330" s="37">
        <v>0</v>
      </c>
      <c r="S330" s="37" t="s">
        <v>219</v>
      </c>
      <c r="T330" s="48">
        <v>240</v>
      </c>
      <c r="U330" s="30">
        <f>M330/W330</f>
        <v>0.66</v>
      </c>
      <c r="V330" s="41">
        <f t="shared" si="63"/>
        <v>158.4</v>
      </c>
      <c r="W330" s="41">
        <f t="shared" si="61"/>
        <v>2113900</v>
      </c>
      <c r="X330" s="41">
        <v>2113900</v>
      </c>
      <c r="Y330" s="41">
        <v>0</v>
      </c>
      <c r="Z330" s="41">
        <v>0</v>
      </c>
      <c r="AA330" s="41">
        <v>0</v>
      </c>
      <c r="AB330" s="41">
        <v>0</v>
      </c>
      <c r="AC330" s="41">
        <v>0</v>
      </c>
      <c r="AD330" s="41">
        <v>0</v>
      </c>
      <c r="AE330" s="41">
        <v>0</v>
      </c>
      <c r="AF330" s="41">
        <v>0</v>
      </c>
      <c r="AG330" s="41">
        <v>0</v>
      </c>
      <c r="AH330" s="41">
        <v>0</v>
      </c>
      <c r="AI330" s="41">
        <v>0</v>
      </c>
      <c r="AJ330" s="41">
        <v>0</v>
      </c>
      <c r="AK330" s="41">
        <v>0</v>
      </c>
      <c r="AL330" s="41">
        <v>0</v>
      </c>
      <c r="AM330" s="41"/>
      <c r="AN330" s="41">
        <f t="shared" si="67"/>
        <v>8807.9166666666661</v>
      </c>
      <c r="AO330" s="41">
        <f t="shared" si="66"/>
        <v>8808</v>
      </c>
      <c r="AP330" s="40"/>
      <c r="AQ330" s="36">
        <v>45047</v>
      </c>
      <c r="AR330" s="36"/>
      <c r="AS330" s="36"/>
      <c r="AT330" s="36">
        <v>45061</v>
      </c>
      <c r="AU330" s="36"/>
      <c r="AV330" s="38"/>
      <c r="AW330" s="40" t="s">
        <v>87</v>
      </c>
    </row>
    <row r="331" spans="1:56" s="34" customFormat="1" ht="72" x14ac:dyDescent="0.3">
      <c r="A331" s="35" t="s">
        <v>2055</v>
      </c>
      <c r="B331" s="38">
        <v>44950</v>
      </c>
      <c r="C331" s="40" t="s">
        <v>162</v>
      </c>
      <c r="D331" s="39" t="s">
        <v>2056</v>
      </c>
      <c r="E331" s="1" t="s">
        <v>2057</v>
      </c>
      <c r="F331" s="36">
        <v>44974</v>
      </c>
      <c r="G331" s="37" t="s">
        <v>2058</v>
      </c>
      <c r="H331" s="40" t="s">
        <v>555</v>
      </c>
      <c r="I331" s="40" t="s">
        <v>2059</v>
      </c>
      <c r="J331" s="57">
        <v>9065975.4000000004</v>
      </c>
      <c r="K331" s="41">
        <v>8968926.5999999996</v>
      </c>
      <c r="L331" s="30">
        <v>9036797.4000000004</v>
      </c>
      <c r="M331" s="30">
        <f t="shared" si="60"/>
        <v>9036797.4000000004</v>
      </c>
      <c r="N331" s="40" t="s">
        <v>2060</v>
      </c>
      <c r="O331" s="40" t="s">
        <v>2061</v>
      </c>
      <c r="P331" s="40" t="s">
        <v>47</v>
      </c>
      <c r="Q331" s="44">
        <v>100</v>
      </c>
      <c r="R331" s="37">
        <v>0</v>
      </c>
      <c r="S331" s="37" t="s">
        <v>219</v>
      </c>
      <c r="T331" s="48">
        <v>300</v>
      </c>
      <c r="U331" s="30">
        <f>M331/W331</f>
        <v>11.09</v>
      </c>
      <c r="V331" s="41">
        <f t="shared" si="63"/>
        <v>3327</v>
      </c>
      <c r="W331" s="41">
        <f t="shared" si="61"/>
        <v>814860</v>
      </c>
      <c r="X331" s="41">
        <v>814860</v>
      </c>
      <c r="Y331" s="41">
        <v>0</v>
      </c>
      <c r="Z331" s="41">
        <v>0</v>
      </c>
      <c r="AA331" s="41">
        <v>0</v>
      </c>
      <c r="AB331" s="41">
        <v>0</v>
      </c>
      <c r="AC331" s="41">
        <v>0</v>
      </c>
      <c r="AD331" s="41">
        <v>0</v>
      </c>
      <c r="AE331" s="41">
        <v>0</v>
      </c>
      <c r="AF331" s="41">
        <v>0</v>
      </c>
      <c r="AG331" s="41">
        <v>0</v>
      </c>
      <c r="AH331" s="41">
        <v>0</v>
      </c>
      <c r="AI331" s="41">
        <v>0</v>
      </c>
      <c r="AJ331" s="41">
        <v>0</v>
      </c>
      <c r="AK331" s="41">
        <v>0</v>
      </c>
      <c r="AL331" s="41">
        <v>0</v>
      </c>
      <c r="AM331" s="41"/>
      <c r="AN331" s="41">
        <f t="shared" si="67"/>
        <v>2716.2</v>
      </c>
      <c r="AO331" s="41">
        <f t="shared" si="66"/>
        <v>2717</v>
      </c>
      <c r="AP331" s="40"/>
      <c r="AQ331" s="36">
        <v>45078</v>
      </c>
      <c r="AR331" s="36"/>
      <c r="AS331" s="36"/>
      <c r="AT331" s="36">
        <v>45092</v>
      </c>
      <c r="AU331" s="36"/>
      <c r="AV331" s="38"/>
      <c r="AW331" s="40" t="s">
        <v>49</v>
      </c>
      <c r="AX331" s="19"/>
      <c r="AY331" s="19"/>
      <c r="AZ331" s="19"/>
      <c r="BA331" s="19"/>
      <c r="BB331" s="19"/>
      <c r="BC331" s="19"/>
      <c r="BD331" s="19"/>
    </row>
    <row r="332" spans="1:56" s="34" customFormat="1" ht="139.94999999999999" customHeight="1" x14ac:dyDescent="0.3">
      <c r="A332" s="35" t="s">
        <v>2062</v>
      </c>
      <c r="B332" s="38">
        <v>44950</v>
      </c>
      <c r="C332" s="40" t="s">
        <v>162</v>
      </c>
      <c r="D332" s="39" t="s">
        <v>2063</v>
      </c>
      <c r="E332" s="1" t="s">
        <v>2064</v>
      </c>
      <c r="F332" s="36">
        <v>44974</v>
      </c>
      <c r="G332" s="37" t="s">
        <v>2065</v>
      </c>
      <c r="H332" s="40" t="s">
        <v>571</v>
      </c>
      <c r="I332" s="40" t="s">
        <v>1148</v>
      </c>
      <c r="J332" s="57">
        <v>210868693.80000001</v>
      </c>
      <c r="K332" s="41">
        <v>209806383</v>
      </c>
      <c r="L332" s="30">
        <v>213009991</v>
      </c>
      <c r="M332" s="30">
        <f t="shared" si="60"/>
        <v>213009991</v>
      </c>
      <c r="N332" s="40" t="s">
        <v>1149</v>
      </c>
      <c r="O332" s="40" t="s">
        <v>2066</v>
      </c>
      <c r="P332" s="40" t="s">
        <v>47</v>
      </c>
      <c r="Q332" s="44">
        <v>100</v>
      </c>
      <c r="R332" s="37">
        <v>0</v>
      </c>
      <c r="S332" s="37" t="s">
        <v>1964</v>
      </c>
      <c r="T332" s="54" t="s">
        <v>2067</v>
      </c>
      <c r="U332" s="30">
        <f>M332/W332</f>
        <v>3.95</v>
      </c>
      <c r="V332" s="54" t="s">
        <v>2068</v>
      </c>
      <c r="W332" s="41">
        <f t="shared" si="61"/>
        <v>53926580</v>
      </c>
      <c r="X332" s="41">
        <v>53926580</v>
      </c>
      <c r="Y332" s="41">
        <v>0</v>
      </c>
      <c r="Z332" s="41">
        <v>0</v>
      </c>
      <c r="AA332" s="41">
        <v>0</v>
      </c>
      <c r="AB332" s="41">
        <v>0</v>
      </c>
      <c r="AC332" s="41">
        <v>0</v>
      </c>
      <c r="AD332" s="41">
        <v>0</v>
      </c>
      <c r="AE332" s="41">
        <v>0</v>
      </c>
      <c r="AF332" s="41">
        <v>0</v>
      </c>
      <c r="AG332" s="41">
        <v>0</v>
      </c>
      <c r="AH332" s="41">
        <v>0</v>
      </c>
      <c r="AI332" s="41">
        <v>0</v>
      </c>
      <c r="AJ332" s="41">
        <v>0</v>
      </c>
      <c r="AK332" s="41">
        <v>0</v>
      </c>
      <c r="AL332" s="41">
        <v>0</v>
      </c>
      <c r="AM332" s="41"/>
      <c r="AN332" s="54" t="s">
        <v>2069</v>
      </c>
      <c r="AO332" s="54" t="s">
        <v>2069</v>
      </c>
      <c r="AP332" s="40"/>
      <c r="AQ332" s="36">
        <v>45047</v>
      </c>
      <c r="AR332" s="36"/>
      <c r="AS332" s="36"/>
      <c r="AT332" s="36">
        <v>45061</v>
      </c>
      <c r="AU332" s="36"/>
      <c r="AV332" s="38"/>
      <c r="AW332" s="40" t="s">
        <v>87</v>
      </c>
      <c r="AX332" s="19"/>
      <c r="AY332" s="19"/>
      <c r="AZ332" s="19"/>
      <c r="BA332" s="19"/>
      <c r="BB332" s="19"/>
      <c r="BC332" s="19"/>
      <c r="BD332" s="19"/>
    </row>
    <row r="333" spans="1:56" s="34" customFormat="1" ht="133.19999999999999" customHeight="1" x14ac:dyDescent="0.3">
      <c r="A333" s="35" t="s">
        <v>2070</v>
      </c>
      <c r="B333" s="38">
        <v>44950</v>
      </c>
      <c r="C333" s="40" t="s">
        <v>162</v>
      </c>
      <c r="D333" s="39" t="s">
        <v>2071</v>
      </c>
      <c r="E333" s="1" t="s">
        <v>2072</v>
      </c>
      <c r="F333" s="36">
        <v>44978</v>
      </c>
      <c r="G333" s="35" t="s">
        <v>2073</v>
      </c>
      <c r="H333" s="40" t="s">
        <v>571</v>
      </c>
      <c r="I333" s="40" t="s">
        <v>1196</v>
      </c>
      <c r="J333" s="57">
        <v>386901418.19999999</v>
      </c>
      <c r="K333" s="41">
        <v>386901418.19999999</v>
      </c>
      <c r="L333" s="30">
        <v>391201172.77999997</v>
      </c>
      <c r="M333" s="30">
        <f t="shared" si="60"/>
        <v>391201172.77999997</v>
      </c>
      <c r="N333" s="40" t="s">
        <v>2074</v>
      </c>
      <c r="O333" s="40" t="s">
        <v>2075</v>
      </c>
      <c r="P333" s="40" t="s">
        <v>47</v>
      </c>
      <c r="Q333" s="44">
        <v>100</v>
      </c>
      <c r="R333" s="37">
        <v>0</v>
      </c>
      <c r="S333" s="37" t="s">
        <v>1964</v>
      </c>
      <c r="T333" s="48">
        <v>30</v>
      </c>
      <c r="U333" s="30">
        <f>M333/W333</f>
        <v>6.7099999999999991</v>
      </c>
      <c r="V333" s="41">
        <f t="shared" si="63"/>
        <v>201.29999999999998</v>
      </c>
      <c r="W333" s="41">
        <f t="shared" si="61"/>
        <v>58301218</v>
      </c>
      <c r="X333" s="41">
        <v>58301218</v>
      </c>
      <c r="Y333" s="41">
        <v>0</v>
      </c>
      <c r="Z333" s="41">
        <v>0</v>
      </c>
      <c r="AA333" s="41">
        <v>0</v>
      </c>
      <c r="AB333" s="41">
        <v>0</v>
      </c>
      <c r="AC333" s="41">
        <v>0</v>
      </c>
      <c r="AD333" s="41">
        <v>0</v>
      </c>
      <c r="AE333" s="41">
        <v>0</v>
      </c>
      <c r="AF333" s="41">
        <v>0</v>
      </c>
      <c r="AG333" s="41">
        <v>0</v>
      </c>
      <c r="AH333" s="41">
        <v>0</v>
      </c>
      <c r="AI333" s="41">
        <v>0</v>
      </c>
      <c r="AJ333" s="41">
        <v>0</v>
      </c>
      <c r="AK333" s="41">
        <v>0</v>
      </c>
      <c r="AL333" s="41">
        <v>0</v>
      </c>
      <c r="AM333" s="41"/>
      <c r="AN333" s="41">
        <f t="shared" ref="AN333:AN356" si="68">W333/T333</f>
        <v>1943373.9333333333</v>
      </c>
      <c r="AO333" s="41">
        <f t="shared" si="66"/>
        <v>1943374</v>
      </c>
      <c r="AP333" s="40"/>
      <c r="AQ333" s="36">
        <v>45047</v>
      </c>
      <c r="AR333" s="36"/>
      <c r="AS333" s="36"/>
      <c r="AT333" s="36">
        <v>45061</v>
      </c>
      <c r="AU333" s="36"/>
      <c r="AV333" s="38"/>
      <c r="AW333" s="40" t="s">
        <v>87</v>
      </c>
      <c r="AX333" s="19"/>
      <c r="AY333" s="19"/>
      <c r="AZ333" s="19"/>
      <c r="BA333" s="19"/>
      <c r="BB333" s="19"/>
      <c r="BC333" s="19"/>
      <c r="BD333" s="19"/>
    </row>
    <row r="334" spans="1:56" s="34" customFormat="1" ht="64.95" customHeight="1" x14ac:dyDescent="0.3">
      <c r="A334" s="35" t="s">
        <v>2076</v>
      </c>
      <c r="B334" s="38">
        <v>44951</v>
      </c>
      <c r="C334" s="40" t="s">
        <v>2077</v>
      </c>
      <c r="D334" s="39" t="s">
        <v>2078</v>
      </c>
      <c r="E334" s="1" t="s">
        <v>2079</v>
      </c>
      <c r="F334" s="36">
        <v>44974</v>
      </c>
      <c r="G334" s="37" t="s">
        <v>2080</v>
      </c>
      <c r="H334" s="40" t="s">
        <v>2081</v>
      </c>
      <c r="I334" s="40" t="s">
        <v>2082</v>
      </c>
      <c r="J334" s="57">
        <v>58710268.700000003</v>
      </c>
      <c r="K334" s="41">
        <v>58410861.299999997</v>
      </c>
      <c r="L334" s="30">
        <f t="shared" si="65"/>
        <v>58410861.299999997</v>
      </c>
      <c r="M334" s="30">
        <f t="shared" si="60"/>
        <v>58410861.299999997</v>
      </c>
      <c r="N334" s="40" t="s">
        <v>2083</v>
      </c>
      <c r="O334" s="40" t="s">
        <v>2084</v>
      </c>
      <c r="P334" s="40" t="s">
        <v>47</v>
      </c>
      <c r="Q334" s="44">
        <v>100</v>
      </c>
      <c r="R334" s="37">
        <v>0</v>
      </c>
      <c r="S334" s="37" t="s">
        <v>1964</v>
      </c>
      <c r="T334" s="48">
        <v>10</v>
      </c>
      <c r="U334" s="30">
        <f>M334/W334</f>
        <v>66.33</v>
      </c>
      <c r="V334" s="41">
        <f t="shared" si="63"/>
        <v>663.3</v>
      </c>
      <c r="W334" s="41">
        <f t="shared" si="61"/>
        <v>880610</v>
      </c>
      <c r="X334" s="41">
        <v>88060</v>
      </c>
      <c r="Y334" s="41">
        <v>0</v>
      </c>
      <c r="Z334" s="41">
        <v>0</v>
      </c>
      <c r="AA334" s="41">
        <v>0</v>
      </c>
      <c r="AB334" s="41">
        <v>0</v>
      </c>
      <c r="AC334" s="41">
        <v>792550</v>
      </c>
      <c r="AD334" s="41">
        <v>0</v>
      </c>
      <c r="AE334" s="41">
        <v>0</v>
      </c>
      <c r="AF334" s="41">
        <v>0</v>
      </c>
      <c r="AG334" s="41">
        <v>0</v>
      </c>
      <c r="AH334" s="41">
        <v>0</v>
      </c>
      <c r="AI334" s="41">
        <v>0</v>
      </c>
      <c r="AJ334" s="41">
        <v>0</v>
      </c>
      <c r="AK334" s="41">
        <v>0</v>
      </c>
      <c r="AL334" s="41">
        <v>0</v>
      </c>
      <c r="AM334" s="41"/>
      <c r="AN334" s="41">
        <f t="shared" si="68"/>
        <v>88061</v>
      </c>
      <c r="AO334" s="41">
        <f t="shared" si="66"/>
        <v>88061</v>
      </c>
      <c r="AP334" s="40"/>
      <c r="AQ334" s="36">
        <v>45047</v>
      </c>
      <c r="AR334" s="36">
        <v>45200</v>
      </c>
      <c r="AS334" s="36"/>
      <c r="AT334" s="36">
        <v>45061</v>
      </c>
      <c r="AU334" s="36">
        <v>45214</v>
      </c>
      <c r="AV334" s="38"/>
      <c r="AW334" s="40" t="s">
        <v>87</v>
      </c>
      <c r="AX334" s="19"/>
      <c r="AY334" s="19"/>
      <c r="AZ334" s="19"/>
      <c r="BA334" s="19"/>
      <c r="BB334" s="19"/>
      <c r="BC334" s="19"/>
      <c r="BD334" s="19"/>
    </row>
    <row r="335" spans="1:56" s="34" customFormat="1" ht="102" customHeight="1" x14ac:dyDescent="0.3">
      <c r="A335" s="35" t="s">
        <v>2085</v>
      </c>
      <c r="B335" s="38">
        <v>44951</v>
      </c>
      <c r="C335" s="40" t="s">
        <v>2077</v>
      </c>
      <c r="D335" s="39" t="s">
        <v>2086</v>
      </c>
      <c r="E335" s="1" t="s">
        <v>2087</v>
      </c>
      <c r="F335" s="36">
        <v>44974</v>
      </c>
      <c r="G335" s="37" t="s">
        <v>2088</v>
      </c>
      <c r="H335" s="40" t="s">
        <v>2089</v>
      </c>
      <c r="I335" s="40" t="s">
        <v>2090</v>
      </c>
      <c r="J335" s="57">
        <v>132067725.23999999</v>
      </c>
      <c r="K335" s="41">
        <v>131394112.48</v>
      </c>
      <c r="L335" s="30">
        <f t="shared" si="65"/>
        <v>131394112.48</v>
      </c>
      <c r="M335" s="30">
        <f t="shared" si="60"/>
        <v>131394112.48</v>
      </c>
      <c r="N335" s="40" t="s">
        <v>2091</v>
      </c>
      <c r="O335" s="40" t="s">
        <v>2092</v>
      </c>
      <c r="P335" s="40" t="s">
        <v>47</v>
      </c>
      <c r="Q335" s="44">
        <v>100</v>
      </c>
      <c r="R335" s="37">
        <v>0</v>
      </c>
      <c r="S335" s="37" t="s">
        <v>1964</v>
      </c>
      <c r="T335" s="48">
        <v>10</v>
      </c>
      <c r="U335" s="30">
        <f>M335/W335</f>
        <v>33.160000000000004</v>
      </c>
      <c r="V335" s="41">
        <f t="shared" si="63"/>
        <v>331.6</v>
      </c>
      <c r="W335" s="41">
        <f t="shared" si="61"/>
        <v>3962428</v>
      </c>
      <c r="X335" s="41">
        <v>396240</v>
      </c>
      <c r="Y335" s="41">
        <v>0</v>
      </c>
      <c r="Z335" s="41">
        <v>0</v>
      </c>
      <c r="AA335" s="41">
        <v>0</v>
      </c>
      <c r="AB335" s="41">
        <v>0</v>
      </c>
      <c r="AC335" s="41">
        <v>3566188</v>
      </c>
      <c r="AD335" s="41">
        <v>0</v>
      </c>
      <c r="AE335" s="41">
        <v>0</v>
      </c>
      <c r="AF335" s="41">
        <v>0</v>
      </c>
      <c r="AG335" s="41">
        <v>0</v>
      </c>
      <c r="AH335" s="41">
        <v>0</v>
      </c>
      <c r="AI335" s="41">
        <v>0</v>
      </c>
      <c r="AJ335" s="41">
        <v>0</v>
      </c>
      <c r="AK335" s="41">
        <v>0</v>
      </c>
      <c r="AL335" s="41">
        <v>0</v>
      </c>
      <c r="AM335" s="41"/>
      <c r="AN335" s="41">
        <f t="shared" si="68"/>
        <v>396242.8</v>
      </c>
      <c r="AO335" s="41">
        <f t="shared" si="66"/>
        <v>396243</v>
      </c>
      <c r="AP335" s="40"/>
      <c r="AQ335" s="36">
        <v>45047</v>
      </c>
      <c r="AR335" s="36">
        <v>45200</v>
      </c>
      <c r="AS335" s="36"/>
      <c r="AT335" s="36">
        <v>45061</v>
      </c>
      <c r="AU335" s="36">
        <v>45214</v>
      </c>
      <c r="AV335" s="38"/>
      <c r="AW335" s="40" t="s">
        <v>75</v>
      </c>
      <c r="AX335" s="19"/>
      <c r="AY335" s="19"/>
      <c r="AZ335" s="19"/>
      <c r="BA335" s="19"/>
      <c r="BB335" s="19"/>
      <c r="BC335" s="19"/>
      <c r="BD335" s="19"/>
    </row>
    <row r="336" spans="1:56" s="34" customFormat="1" ht="91.5" customHeight="1" x14ac:dyDescent="0.3">
      <c r="A336" s="35" t="s">
        <v>2093</v>
      </c>
      <c r="B336" s="38">
        <v>44951</v>
      </c>
      <c r="C336" s="40" t="s">
        <v>2077</v>
      </c>
      <c r="D336" s="39" t="s">
        <v>2094</v>
      </c>
      <c r="E336" s="1" t="s">
        <v>2095</v>
      </c>
      <c r="F336" s="36">
        <v>44974</v>
      </c>
      <c r="G336" s="37" t="s">
        <v>2096</v>
      </c>
      <c r="H336" s="40" t="s">
        <v>2097</v>
      </c>
      <c r="I336" s="40" t="s">
        <v>2098</v>
      </c>
      <c r="J336" s="57">
        <v>102299300</v>
      </c>
      <c r="K336" s="41">
        <v>101767343.64</v>
      </c>
      <c r="L336" s="30">
        <v>101829120.72</v>
      </c>
      <c r="M336" s="30">
        <f t="shared" si="60"/>
        <v>101829120.72</v>
      </c>
      <c r="N336" s="40" t="s">
        <v>2099</v>
      </c>
      <c r="O336" s="40" t="s">
        <v>2100</v>
      </c>
      <c r="P336" s="40" t="s">
        <v>47</v>
      </c>
      <c r="Q336" s="44">
        <v>100</v>
      </c>
      <c r="R336" s="37">
        <v>0</v>
      </c>
      <c r="S336" s="37" t="s">
        <v>1964</v>
      </c>
      <c r="T336" s="48">
        <v>10</v>
      </c>
      <c r="U336" s="30">
        <f>M336/W336</f>
        <v>49.74</v>
      </c>
      <c r="V336" s="41">
        <f t="shared" si="63"/>
        <v>497.40000000000003</v>
      </c>
      <c r="W336" s="41">
        <f t="shared" si="61"/>
        <v>2047228</v>
      </c>
      <c r="X336" s="41">
        <v>204590</v>
      </c>
      <c r="Y336" s="41">
        <v>0</v>
      </c>
      <c r="Z336" s="41">
        <v>0</v>
      </c>
      <c r="AA336" s="41">
        <v>0</v>
      </c>
      <c r="AB336" s="41">
        <v>0</v>
      </c>
      <c r="AC336" s="41">
        <f>1841396+1242</f>
        <v>1842638</v>
      </c>
      <c r="AD336" s="41">
        <v>0</v>
      </c>
      <c r="AE336" s="41">
        <v>0</v>
      </c>
      <c r="AF336" s="41">
        <v>0</v>
      </c>
      <c r="AG336" s="41">
        <v>0</v>
      </c>
      <c r="AH336" s="41">
        <v>0</v>
      </c>
      <c r="AI336" s="41">
        <v>0</v>
      </c>
      <c r="AJ336" s="41">
        <v>0</v>
      </c>
      <c r="AK336" s="41">
        <v>0</v>
      </c>
      <c r="AL336" s="41">
        <v>0</v>
      </c>
      <c r="AM336" s="41"/>
      <c r="AN336" s="41">
        <f t="shared" si="68"/>
        <v>204722.8</v>
      </c>
      <c r="AO336" s="41">
        <f t="shared" si="66"/>
        <v>204723</v>
      </c>
      <c r="AP336" s="40"/>
      <c r="AQ336" s="36">
        <v>45047</v>
      </c>
      <c r="AR336" s="36">
        <v>45200</v>
      </c>
      <c r="AS336" s="36"/>
      <c r="AT336" s="36">
        <v>45061</v>
      </c>
      <c r="AU336" s="36">
        <v>45214</v>
      </c>
      <c r="AV336" s="38"/>
      <c r="AW336" s="40" t="s">
        <v>75</v>
      </c>
      <c r="AX336" s="19"/>
      <c r="AY336" s="19"/>
      <c r="AZ336" s="19"/>
      <c r="BA336" s="19"/>
      <c r="BB336" s="19"/>
      <c r="BC336" s="19"/>
      <c r="BD336" s="19"/>
    </row>
    <row r="337" spans="1:49" ht="79.5" customHeight="1" x14ac:dyDescent="0.3">
      <c r="A337" s="35" t="s">
        <v>2101</v>
      </c>
      <c r="B337" s="38">
        <v>44951</v>
      </c>
      <c r="C337" s="40" t="s">
        <v>2077</v>
      </c>
      <c r="D337" s="39" t="s">
        <v>2102</v>
      </c>
      <c r="E337" s="1" t="s">
        <v>2103</v>
      </c>
      <c r="F337" s="36">
        <v>44984</v>
      </c>
      <c r="G337" s="37" t="s">
        <v>2104</v>
      </c>
      <c r="H337" s="40" t="s">
        <v>571</v>
      </c>
      <c r="I337" s="40" t="s">
        <v>2105</v>
      </c>
      <c r="J337" s="57">
        <v>1102189700</v>
      </c>
      <c r="K337" s="41">
        <v>1019525472.5</v>
      </c>
      <c r="L337" s="30">
        <v>1025614840</v>
      </c>
      <c r="M337" s="30">
        <f t="shared" si="60"/>
        <v>1025614840</v>
      </c>
      <c r="N337" s="40" t="s">
        <v>2106</v>
      </c>
      <c r="O337" s="40" t="s">
        <v>2107</v>
      </c>
      <c r="P337" s="40" t="s">
        <v>47</v>
      </c>
      <c r="Q337" s="44">
        <v>100</v>
      </c>
      <c r="R337" s="37">
        <v>0</v>
      </c>
      <c r="S337" s="37" t="s">
        <v>1964</v>
      </c>
      <c r="T337" s="48">
        <v>10</v>
      </c>
      <c r="U337" s="30">
        <f>M337/W337</f>
        <v>92.5</v>
      </c>
      <c r="V337" s="41">
        <f t="shared" si="63"/>
        <v>925</v>
      </c>
      <c r="W337" s="41">
        <f t="shared" si="61"/>
        <v>11087728</v>
      </c>
      <c r="X337" s="41">
        <v>1102190</v>
      </c>
      <c r="Y337" s="41">
        <v>0</v>
      </c>
      <c r="Z337" s="41">
        <v>0</v>
      </c>
      <c r="AA337" s="41">
        <v>0</v>
      </c>
      <c r="AB337" s="41">
        <v>0</v>
      </c>
      <c r="AC337" s="41">
        <f>9919707+65831</f>
        <v>9985538</v>
      </c>
      <c r="AD337" s="41">
        <v>0</v>
      </c>
      <c r="AE337" s="41">
        <v>0</v>
      </c>
      <c r="AF337" s="41">
        <v>0</v>
      </c>
      <c r="AG337" s="41">
        <v>0</v>
      </c>
      <c r="AH337" s="41">
        <v>0</v>
      </c>
      <c r="AI337" s="41">
        <v>0</v>
      </c>
      <c r="AJ337" s="41">
        <v>0</v>
      </c>
      <c r="AK337" s="41">
        <v>0</v>
      </c>
      <c r="AL337" s="41">
        <v>0</v>
      </c>
      <c r="AM337" s="41"/>
      <c r="AN337" s="41">
        <f t="shared" si="68"/>
        <v>1108772.8</v>
      </c>
      <c r="AO337" s="41">
        <f t="shared" si="66"/>
        <v>1108773</v>
      </c>
      <c r="AP337" s="40"/>
      <c r="AQ337" s="36">
        <v>45047</v>
      </c>
      <c r="AR337" s="36">
        <v>45200</v>
      </c>
      <c r="AS337" s="36"/>
      <c r="AT337" s="36">
        <v>45061</v>
      </c>
      <c r="AU337" s="36">
        <v>45214</v>
      </c>
      <c r="AV337" s="38"/>
      <c r="AW337" s="40" t="s">
        <v>75</v>
      </c>
    </row>
    <row r="338" spans="1:49" ht="79.5" customHeight="1" x14ac:dyDescent="0.3">
      <c r="A338" s="35" t="s">
        <v>2108</v>
      </c>
      <c r="B338" s="38">
        <v>44951</v>
      </c>
      <c r="C338" s="40" t="s">
        <v>162</v>
      </c>
      <c r="D338" s="39" t="s">
        <v>2109</v>
      </c>
      <c r="E338" s="1" t="s">
        <v>2110</v>
      </c>
      <c r="F338" s="36">
        <v>44972</v>
      </c>
      <c r="G338" s="35" t="s">
        <v>2111</v>
      </c>
      <c r="H338" s="40" t="s">
        <v>571</v>
      </c>
      <c r="I338" s="40" t="s">
        <v>2112</v>
      </c>
      <c r="J338" s="57">
        <v>6004340</v>
      </c>
      <c r="K338" s="41">
        <v>6004340</v>
      </c>
      <c r="L338" s="30">
        <f t="shared" si="65"/>
        <v>6004340</v>
      </c>
      <c r="M338" s="30">
        <f t="shared" si="60"/>
        <v>6004340</v>
      </c>
      <c r="N338" s="40" t="s">
        <v>2113</v>
      </c>
      <c r="O338" s="40" t="s">
        <v>2114</v>
      </c>
      <c r="P338" s="40" t="s">
        <v>47</v>
      </c>
      <c r="Q338" s="44">
        <v>100</v>
      </c>
      <c r="R338" s="37">
        <v>0</v>
      </c>
      <c r="S338" s="37" t="s">
        <v>1964</v>
      </c>
      <c r="T338" s="48">
        <v>60</v>
      </c>
      <c r="U338" s="30">
        <f>M338/W338</f>
        <v>13.24</v>
      </c>
      <c r="V338" s="41">
        <f t="shared" si="63"/>
        <v>794.4</v>
      </c>
      <c r="W338" s="41">
        <f t="shared" si="61"/>
        <v>453500</v>
      </c>
      <c r="X338" s="41">
        <v>45350</v>
      </c>
      <c r="Y338" s="41">
        <v>0</v>
      </c>
      <c r="Z338" s="41">
        <v>0</v>
      </c>
      <c r="AA338" s="41">
        <v>0</v>
      </c>
      <c r="AB338" s="41">
        <v>0</v>
      </c>
      <c r="AC338" s="41">
        <v>408150</v>
      </c>
      <c r="AD338" s="41">
        <v>0</v>
      </c>
      <c r="AE338" s="41">
        <v>0</v>
      </c>
      <c r="AF338" s="41">
        <v>0</v>
      </c>
      <c r="AG338" s="41">
        <v>0</v>
      </c>
      <c r="AH338" s="41">
        <v>0</v>
      </c>
      <c r="AI338" s="41">
        <v>0</v>
      </c>
      <c r="AJ338" s="41">
        <v>0</v>
      </c>
      <c r="AK338" s="41">
        <v>0</v>
      </c>
      <c r="AL338" s="41">
        <v>0</v>
      </c>
      <c r="AM338" s="41"/>
      <c r="AN338" s="41">
        <f t="shared" si="68"/>
        <v>7558.333333333333</v>
      </c>
      <c r="AO338" s="41">
        <f t="shared" si="66"/>
        <v>7559</v>
      </c>
      <c r="AP338" s="40"/>
      <c r="AQ338" s="36">
        <v>45047</v>
      </c>
      <c r="AR338" s="36">
        <v>45200</v>
      </c>
      <c r="AS338" s="36"/>
      <c r="AT338" s="36">
        <v>45061</v>
      </c>
      <c r="AU338" s="36">
        <v>45214</v>
      </c>
      <c r="AV338" s="38"/>
      <c r="AW338" s="40" t="s">
        <v>87</v>
      </c>
    </row>
    <row r="339" spans="1:49" ht="79.5" customHeight="1" x14ac:dyDescent="0.3">
      <c r="A339" s="35" t="s">
        <v>2115</v>
      </c>
      <c r="B339" s="38">
        <v>44951</v>
      </c>
      <c r="C339" s="40" t="s">
        <v>162</v>
      </c>
      <c r="D339" s="39" t="s">
        <v>2116</v>
      </c>
      <c r="E339" s="1" t="s">
        <v>2117</v>
      </c>
      <c r="F339" s="36">
        <v>44972</v>
      </c>
      <c r="G339" s="35" t="s">
        <v>2118</v>
      </c>
      <c r="H339" s="40" t="s">
        <v>571</v>
      </c>
      <c r="I339" s="40" t="s">
        <v>1092</v>
      </c>
      <c r="J339" s="57">
        <v>34056382.100000001</v>
      </c>
      <c r="K339" s="41">
        <v>34056382.100000001</v>
      </c>
      <c r="L339" s="30">
        <v>34121776.100000001</v>
      </c>
      <c r="M339" s="30">
        <f t="shared" si="60"/>
        <v>34121776.100000001</v>
      </c>
      <c r="N339" s="40" t="s">
        <v>2113</v>
      </c>
      <c r="O339" s="40" t="s">
        <v>2119</v>
      </c>
      <c r="P339" s="40" t="s">
        <v>47</v>
      </c>
      <c r="Q339" s="44">
        <v>100</v>
      </c>
      <c r="R339" s="37">
        <v>0</v>
      </c>
      <c r="S339" s="37" t="s">
        <v>1964</v>
      </c>
      <c r="T339" s="48">
        <v>60</v>
      </c>
      <c r="U339" s="30">
        <f>M339/W339</f>
        <v>17.3</v>
      </c>
      <c r="V339" s="41">
        <f t="shared" si="63"/>
        <v>1038</v>
      </c>
      <c r="W339" s="41">
        <f t="shared" si="61"/>
        <v>1972357</v>
      </c>
      <c r="X339" s="41">
        <f>1968577+3780</f>
        <v>1972357</v>
      </c>
      <c r="Y339" s="41">
        <v>0</v>
      </c>
      <c r="Z339" s="41">
        <v>0</v>
      </c>
      <c r="AA339" s="41">
        <v>0</v>
      </c>
      <c r="AB339" s="41">
        <v>0</v>
      </c>
      <c r="AC339" s="41">
        <v>0</v>
      </c>
      <c r="AD339" s="41">
        <v>0</v>
      </c>
      <c r="AE339" s="41">
        <v>0</v>
      </c>
      <c r="AF339" s="41">
        <v>0</v>
      </c>
      <c r="AG339" s="41">
        <v>0</v>
      </c>
      <c r="AH339" s="41">
        <v>0</v>
      </c>
      <c r="AI339" s="41">
        <v>0</v>
      </c>
      <c r="AJ339" s="41">
        <v>0</v>
      </c>
      <c r="AK339" s="41">
        <v>0</v>
      </c>
      <c r="AL339" s="41">
        <v>0</v>
      </c>
      <c r="AM339" s="41"/>
      <c r="AN339" s="41">
        <f t="shared" si="68"/>
        <v>32872.616666666669</v>
      </c>
      <c r="AO339" s="41">
        <f t="shared" si="66"/>
        <v>32873</v>
      </c>
      <c r="AP339" s="40"/>
      <c r="AQ339" s="36">
        <v>45047</v>
      </c>
      <c r="AR339" s="36"/>
      <c r="AS339" s="36"/>
      <c r="AT339" s="36">
        <v>45061</v>
      </c>
      <c r="AU339" s="36"/>
      <c r="AV339" s="38"/>
      <c r="AW339" s="40" t="s">
        <v>87</v>
      </c>
    </row>
    <row r="340" spans="1:49" ht="79.5" customHeight="1" x14ac:dyDescent="0.3">
      <c r="A340" s="35" t="s">
        <v>2120</v>
      </c>
      <c r="B340" s="38">
        <v>44951</v>
      </c>
      <c r="C340" s="40" t="s">
        <v>162</v>
      </c>
      <c r="D340" s="39" t="s">
        <v>459</v>
      </c>
      <c r="E340" s="1" t="s">
        <v>2121</v>
      </c>
      <c r="F340" s="36" t="s">
        <v>459</v>
      </c>
      <c r="G340" s="37" t="s">
        <v>459</v>
      </c>
      <c r="H340" s="40" t="s">
        <v>459</v>
      </c>
      <c r="I340" s="40" t="s">
        <v>2122</v>
      </c>
      <c r="J340" s="57">
        <v>20040048</v>
      </c>
      <c r="K340" s="41">
        <v>0</v>
      </c>
      <c r="L340" s="30">
        <f t="shared" si="65"/>
        <v>0</v>
      </c>
      <c r="M340" s="30">
        <f t="shared" si="65"/>
        <v>0</v>
      </c>
      <c r="N340" s="40"/>
      <c r="O340" s="40"/>
      <c r="P340" s="40"/>
      <c r="Q340" s="44"/>
      <c r="R340" s="37"/>
      <c r="S340" s="37"/>
      <c r="T340" s="48"/>
      <c r="U340" s="30" t="e">
        <f>M340/W340</f>
        <v>#DIV/0!</v>
      </c>
      <c r="V340" s="41" t="e">
        <f t="shared" si="63"/>
        <v>#DIV/0!</v>
      </c>
      <c r="W340" s="41">
        <f t="shared" si="61"/>
        <v>0</v>
      </c>
      <c r="X340" s="41"/>
      <c r="Y340" s="41"/>
      <c r="Z340" s="41"/>
      <c r="AA340" s="41"/>
      <c r="AB340" s="41"/>
      <c r="AC340" s="41"/>
      <c r="AD340" s="41"/>
      <c r="AE340" s="41"/>
      <c r="AF340" s="41"/>
      <c r="AG340" s="41"/>
      <c r="AH340" s="41"/>
      <c r="AI340" s="41"/>
      <c r="AJ340" s="41"/>
      <c r="AK340" s="41"/>
      <c r="AL340" s="41"/>
      <c r="AM340" s="41"/>
      <c r="AN340" s="41" t="e">
        <f t="shared" si="68"/>
        <v>#DIV/0!</v>
      </c>
      <c r="AO340" s="41" t="e">
        <f t="shared" si="66"/>
        <v>#DIV/0!</v>
      </c>
      <c r="AP340" s="40"/>
      <c r="AQ340" s="36"/>
      <c r="AR340" s="36"/>
      <c r="AS340" s="36"/>
      <c r="AT340" s="36"/>
      <c r="AU340" s="36"/>
      <c r="AV340" s="38"/>
      <c r="AW340" s="40"/>
    </row>
    <row r="341" spans="1:49" ht="79.5" customHeight="1" x14ac:dyDescent="0.3">
      <c r="A341" s="35" t="s">
        <v>2123</v>
      </c>
      <c r="B341" s="38">
        <v>44951</v>
      </c>
      <c r="C341" s="40" t="s">
        <v>162</v>
      </c>
      <c r="D341" s="39" t="s">
        <v>2124</v>
      </c>
      <c r="E341" s="1" t="s">
        <v>2125</v>
      </c>
      <c r="F341" s="36">
        <v>44977</v>
      </c>
      <c r="G341" s="35" t="s">
        <v>2126</v>
      </c>
      <c r="H341" s="40" t="s">
        <v>555</v>
      </c>
      <c r="I341" s="40" t="s">
        <v>1157</v>
      </c>
      <c r="J341" s="57">
        <v>266706239.80000001</v>
      </c>
      <c r="K341" s="41">
        <v>134250516.40000001</v>
      </c>
      <c r="L341" s="30">
        <f t="shared" si="65"/>
        <v>134250516.40000001</v>
      </c>
      <c r="M341" s="30">
        <f t="shared" si="65"/>
        <v>134250516.40000001</v>
      </c>
      <c r="N341" s="40" t="s">
        <v>2047</v>
      </c>
      <c r="O341" s="40" t="s">
        <v>2127</v>
      </c>
      <c r="P341" s="40" t="s">
        <v>47</v>
      </c>
      <c r="Q341" s="44">
        <v>100</v>
      </c>
      <c r="R341" s="37">
        <v>0</v>
      </c>
      <c r="S341" s="37" t="s">
        <v>1964</v>
      </c>
      <c r="T341" s="48">
        <v>30</v>
      </c>
      <c r="U341" s="30">
        <f>M341/W341</f>
        <v>52.36</v>
      </c>
      <c r="V341" s="41">
        <f t="shared" si="63"/>
        <v>1570.8</v>
      </c>
      <c r="W341" s="41">
        <f t="shared" si="61"/>
        <v>2563990</v>
      </c>
      <c r="X341" s="41">
        <v>2563990</v>
      </c>
      <c r="Y341" s="41">
        <v>0</v>
      </c>
      <c r="Z341" s="41">
        <v>0</v>
      </c>
      <c r="AA341" s="41">
        <v>0</v>
      </c>
      <c r="AB341" s="41">
        <v>0</v>
      </c>
      <c r="AC341" s="41">
        <v>0</v>
      </c>
      <c r="AD341" s="41">
        <v>0</v>
      </c>
      <c r="AE341" s="41">
        <v>0</v>
      </c>
      <c r="AF341" s="41">
        <v>0</v>
      </c>
      <c r="AG341" s="41">
        <v>0</v>
      </c>
      <c r="AH341" s="41">
        <v>0</v>
      </c>
      <c r="AI341" s="41">
        <v>0</v>
      </c>
      <c r="AJ341" s="41">
        <v>0</v>
      </c>
      <c r="AK341" s="41">
        <v>0</v>
      </c>
      <c r="AL341" s="41">
        <v>0</v>
      </c>
      <c r="AM341" s="41"/>
      <c r="AN341" s="41">
        <f t="shared" si="68"/>
        <v>85466.333333333328</v>
      </c>
      <c r="AO341" s="41">
        <f t="shared" si="66"/>
        <v>85467</v>
      </c>
      <c r="AP341" s="40"/>
      <c r="AQ341" s="36">
        <v>45047</v>
      </c>
      <c r="AR341" s="36"/>
      <c r="AS341" s="36"/>
      <c r="AT341" s="36">
        <v>45061</v>
      </c>
      <c r="AU341" s="36"/>
      <c r="AV341" s="38"/>
      <c r="AW341" s="40" t="s">
        <v>49</v>
      </c>
    </row>
    <row r="342" spans="1:49" ht="79.5" customHeight="1" x14ac:dyDescent="0.3">
      <c r="A342" s="35" t="s">
        <v>2128</v>
      </c>
      <c r="B342" s="38">
        <v>44956</v>
      </c>
      <c r="C342" s="40" t="s">
        <v>162</v>
      </c>
      <c r="D342" s="39" t="s">
        <v>2129</v>
      </c>
      <c r="E342" s="1" t="s">
        <v>2130</v>
      </c>
      <c r="F342" s="36">
        <v>44977</v>
      </c>
      <c r="G342" s="35" t="s">
        <v>2131</v>
      </c>
      <c r="H342" s="40" t="s">
        <v>177</v>
      </c>
      <c r="I342" s="40" t="s">
        <v>2132</v>
      </c>
      <c r="J342" s="57">
        <v>5656728.3200000003</v>
      </c>
      <c r="K342" s="41">
        <v>5656728.3200000003</v>
      </c>
      <c r="L342" s="30">
        <v>5743221.9199999999</v>
      </c>
      <c r="M342" s="30">
        <f t="shared" si="65"/>
        <v>5743221.9199999999</v>
      </c>
      <c r="N342" s="40" t="s">
        <v>2133</v>
      </c>
      <c r="O342" s="40" t="s">
        <v>2134</v>
      </c>
      <c r="P342" s="40" t="s">
        <v>1032</v>
      </c>
      <c r="Q342" s="44">
        <v>0</v>
      </c>
      <c r="R342" s="37">
        <v>100</v>
      </c>
      <c r="S342" s="37" t="s">
        <v>219</v>
      </c>
      <c r="T342" s="48">
        <v>240</v>
      </c>
      <c r="U342" s="30">
        <f>M342/W342</f>
        <v>2.93</v>
      </c>
      <c r="V342" s="41">
        <f t="shared" si="63"/>
        <v>703.2</v>
      </c>
      <c r="W342" s="41">
        <f t="shared" si="61"/>
        <v>1960144</v>
      </c>
      <c r="X342" s="41">
        <v>1352393</v>
      </c>
      <c r="Y342" s="41">
        <v>0</v>
      </c>
      <c r="Z342" s="41">
        <v>0</v>
      </c>
      <c r="AA342" s="41">
        <v>0</v>
      </c>
      <c r="AB342" s="41">
        <v>0</v>
      </c>
      <c r="AC342" s="41">
        <f>591491+16260</f>
        <v>607751</v>
      </c>
      <c r="AD342" s="41">
        <v>0</v>
      </c>
      <c r="AE342" s="41">
        <v>0</v>
      </c>
      <c r="AF342" s="41">
        <v>0</v>
      </c>
      <c r="AG342" s="41">
        <v>0</v>
      </c>
      <c r="AH342" s="41">
        <v>0</v>
      </c>
      <c r="AI342" s="41">
        <v>0</v>
      </c>
      <c r="AJ342" s="41">
        <v>0</v>
      </c>
      <c r="AK342" s="41">
        <v>0</v>
      </c>
      <c r="AL342" s="41">
        <v>0</v>
      </c>
      <c r="AM342" s="41"/>
      <c r="AN342" s="41">
        <f t="shared" si="68"/>
        <v>8167.2666666666664</v>
      </c>
      <c r="AO342" s="41">
        <f t="shared" si="66"/>
        <v>8168</v>
      </c>
      <c r="AP342" s="40"/>
      <c r="AQ342" s="36">
        <v>45047</v>
      </c>
      <c r="AR342" s="36">
        <v>45170</v>
      </c>
      <c r="AS342" s="36"/>
      <c r="AT342" s="36">
        <v>45061</v>
      </c>
      <c r="AU342" s="36">
        <v>45184</v>
      </c>
      <c r="AV342" s="38"/>
      <c r="AW342" s="40" t="s">
        <v>75</v>
      </c>
    </row>
    <row r="343" spans="1:49" ht="79.5" customHeight="1" x14ac:dyDescent="0.3">
      <c r="A343" s="35" t="s">
        <v>2135</v>
      </c>
      <c r="B343" s="38">
        <v>44956</v>
      </c>
      <c r="C343" s="40" t="s">
        <v>162</v>
      </c>
      <c r="D343" s="39" t="s">
        <v>2136</v>
      </c>
      <c r="E343" s="1" t="s">
        <v>2137</v>
      </c>
      <c r="F343" s="36">
        <v>44977</v>
      </c>
      <c r="G343" s="35" t="s">
        <v>2138</v>
      </c>
      <c r="H343" s="40" t="s">
        <v>186</v>
      </c>
      <c r="I343" s="40" t="s">
        <v>1120</v>
      </c>
      <c r="J343" s="57">
        <v>1597010.28</v>
      </c>
      <c r="K343" s="41">
        <v>1597010.28</v>
      </c>
      <c r="L343" s="30">
        <f t="shared" si="65"/>
        <v>1597010.28</v>
      </c>
      <c r="M343" s="30">
        <f t="shared" si="65"/>
        <v>1597010.28</v>
      </c>
      <c r="N343" s="40" t="s">
        <v>1121</v>
      </c>
      <c r="O343" s="40" t="s">
        <v>1122</v>
      </c>
      <c r="P343" s="40" t="s">
        <v>190</v>
      </c>
      <c r="Q343" s="44">
        <v>0</v>
      </c>
      <c r="R343" s="37">
        <v>100</v>
      </c>
      <c r="S343" s="37" t="s">
        <v>1964</v>
      </c>
      <c r="T343" s="48">
        <v>120</v>
      </c>
      <c r="U343" s="30">
        <f>M343/W343</f>
        <v>64.38</v>
      </c>
      <c r="V343" s="41">
        <f t="shared" si="63"/>
        <v>7725.5999999999995</v>
      </c>
      <c r="W343" s="41">
        <f t="shared" si="61"/>
        <v>24806</v>
      </c>
      <c r="X343" s="41">
        <v>24806</v>
      </c>
      <c r="Y343" s="41">
        <v>0</v>
      </c>
      <c r="Z343" s="41">
        <v>0</v>
      </c>
      <c r="AA343" s="41">
        <v>0</v>
      </c>
      <c r="AB343" s="41">
        <v>0</v>
      </c>
      <c r="AC343" s="41">
        <v>0</v>
      </c>
      <c r="AD343" s="41">
        <v>0</v>
      </c>
      <c r="AE343" s="41">
        <v>0</v>
      </c>
      <c r="AF343" s="41">
        <v>0</v>
      </c>
      <c r="AG343" s="41">
        <v>0</v>
      </c>
      <c r="AH343" s="41">
        <v>0</v>
      </c>
      <c r="AI343" s="41">
        <v>0</v>
      </c>
      <c r="AJ343" s="41">
        <v>0</v>
      </c>
      <c r="AK343" s="41">
        <v>0</v>
      </c>
      <c r="AL343" s="41">
        <v>0</v>
      </c>
      <c r="AM343" s="41"/>
      <c r="AN343" s="41">
        <f t="shared" si="68"/>
        <v>206.71666666666667</v>
      </c>
      <c r="AO343" s="41">
        <f t="shared" si="66"/>
        <v>207</v>
      </c>
      <c r="AP343" s="40"/>
      <c r="AQ343" s="36">
        <v>45066</v>
      </c>
      <c r="AR343" s="36"/>
      <c r="AS343" s="36"/>
      <c r="AT343" s="36">
        <v>45082</v>
      </c>
      <c r="AU343" s="36"/>
      <c r="AV343" s="38"/>
      <c r="AW343" s="40" t="s">
        <v>87</v>
      </c>
    </row>
    <row r="344" spans="1:49" ht="79.5" customHeight="1" x14ac:dyDescent="0.3">
      <c r="A344" s="35" t="s">
        <v>2139</v>
      </c>
      <c r="B344" s="38">
        <v>44956</v>
      </c>
      <c r="C344" s="40" t="s">
        <v>162</v>
      </c>
      <c r="D344" s="38" t="s">
        <v>459</v>
      </c>
      <c r="E344" s="1" t="s">
        <v>2140</v>
      </c>
      <c r="F344" s="36" t="s">
        <v>459</v>
      </c>
      <c r="G344" s="37" t="s">
        <v>459</v>
      </c>
      <c r="H344" s="40" t="s">
        <v>459</v>
      </c>
      <c r="I344" s="40" t="s">
        <v>2141</v>
      </c>
      <c r="J344" s="57">
        <v>27672354.5</v>
      </c>
      <c r="K344" s="41">
        <v>0</v>
      </c>
      <c r="L344" s="30">
        <f t="shared" si="65"/>
        <v>0</v>
      </c>
      <c r="M344" s="30">
        <f t="shared" si="65"/>
        <v>0</v>
      </c>
      <c r="N344" s="40"/>
      <c r="O344" s="40"/>
      <c r="P344" s="40"/>
      <c r="Q344" s="44"/>
      <c r="R344" s="37"/>
      <c r="S344" s="37"/>
      <c r="T344" s="48"/>
      <c r="U344" s="30" t="e">
        <f>M344/W344</f>
        <v>#DIV/0!</v>
      </c>
      <c r="V344" s="41" t="e">
        <f t="shared" si="63"/>
        <v>#DIV/0!</v>
      </c>
      <c r="W344" s="41">
        <f t="shared" si="61"/>
        <v>0</v>
      </c>
      <c r="X344" s="41"/>
      <c r="Y344" s="41"/>
      <c r="Z344" s="41"/>
      <c r="AA344" s="41"/>
      <c r="AB344" s="41"/>
      <c r="AC344" s="41"/>
      <c r="AD344" s="41"/>
      <c r="AE344" s="41"/>
      <c r="AF344" s="41"/>
      <c r="AG344" s="41"/>
      <c r="AH344" s="41"/>
      <c r="AI344" s="41"/>
      <c r="AJ344" s="41"/>
      <c r="AK344" s="41"/>
      <c r="AL344" s="41"/>
      <c r="AM344" s="41"/>
      <c r="AN344" s="41" t="e">
        <f t="shared" si="68"/>
        <v>#DIV/0!</v>
      </c>
      <c r="AO344" s="41" t="e">
        <f t="shared" si="66"/>
        <v>#DIV/0!</v>
      </c>
      <c r="AP344" s="40"/>
      <c r="AQ344" s="36"/>
      <c r="AR344" s="36"/>
      <c r="AS344" s="36"/>
      <c r="AT344" s="36"/>
      <c r="AU344" s="36"/>
      <c r="AV344" s="38"/>
      <c r="AW344" s="40"/>
    </row>
    <row r="345" spans="1:49" ht="79.5" customHeight="1" x14ac:dyDescent="0.3">
      <c r="A345" s="35" t="s">
        <v>2142</v>
      </c>
      <c r="B345" s="38">
        <v>44956</v>
      </c>
      <c r="C345" s="40" t="s">
        <v>162</v>
      </c>
      <c r="D345" s="39" t="s">
        <v>2143</v>
      </c>
      <c r="E345" s="1" t="s">
        <v>2144</v>
      </c>
      <c r="F345" s="36">
        <v>44979</v>
      </c>
      <c r="G345" s="37" t="s">
        <v>2145</v>
      </c>
      <c r="H345" s="40" t="s">
        <v>563</v>
      </c>
      <c r="I345" s="40" t="s">
        <v>2146</v>
      </c>
      <c r="J345" s="57">
        <v>91880801.700000003</v>
      </c>
      <c r="K345" s="41">
        <v>45021592.079999998</v>
      </c>
      <c r="L345" s="30">
        <v>45204017.409999996</v>
      </c>
      <c r="M345" s="30">
        <f t="shared" ref="M345:M408" si="69">L345</f>
        <v>45204017.409999996</v>
      </c>
      <c r="N345" s="40" t="s">
        <v>2147</v>
      </c>
      <c r="O345" s="40" t="s">
        <v>2148</v>
      </c>
      <c r="P345" s="40" t="s">
        <v>47</v>
      </c>
      <c r="Q345" s="44">
        <v>100</v>
      </c>
      <c r="R345" s="37">
        <v>0</v>
      </c>
      <c r="S345" s="37" t="s">
        <v>1964</v>
      </c>
      <c r="T345" s="48">
        <v>30</v>
      </c>
      <c r="U345" s="30">
        <f>M345/W345</f>
        <v>12.709999999999999</v>
      </c>
      <c r="V345" s="41">
        <f t="shared" si="63"/>
        <v>381.29999999999995</v>
      </c>
      <c r="W345" s="41">
        <f t="shared" si="61"/>
        <v>3556571</v>
      </c>
      <c r="X345" s="41">
        <f>3540686+15885</f>
        <v>3556571</v>
      </c>
      <c r="Y345" s="41">
        <v>0</v>
      </c>
      <c r="Z345" s="41">
        <v>0</v>
      </c>
      <c r="AA345" s="41">
        <v>0</v>
      </c>
      <c r="AB345" s="41">
        <v>0</v>
      </c>
      <c r="AC345" s="41">
        <v>0</v>
      </c>
      <c r="AD345" s="41">
        <v>0</v>
      </c>
      <c r="AE345" s="41">
        <v>0</v>
      </c>
      <c r="AF345" s="41">
        <v>0</v>
      </c>
      <c r="AG345" s="41">
        <v>0</v>
      </c>
      <c r="AH345" s="41">
        <v>0</v>
      </c>
      <c r="AI345" s="41">
        <v>0</v>
      </c>
      <c r="AJ345" s="41">
        <v>0</v>
      </c>
      <c r="AK345" s="41">
        <v>0</v>
      </c>
      <c r="AL345" s="41">
        <v>0</v>
      </c>
      <c r="AM345" s="41"/>
      <c r="AN345" s="41">
        <f t="shared" si="68"/>
        <v>118552.36666666667</v>
      </c>
      <c r="AO345" s="41">
        <f t="shared" si="66"/>
        <v>118553</v>
      </c>
      <c r="AP345" s="40"/>
      <c r="AQ345" s="36">
        <v>45047</v>
      </c>
      <c r="AR345" s="36"/>
      <c r="AS345" s="36"/>
      <c r="AT345" s="36">
        <v>45061</v>
      </c>
      <c r="AU345" s="36"/>
      <c r="AV345" s="38"/>
      <c r="AW345" s="40" t="s">
        <v>49</v>
      </c>
    </row>
    <row r="346" spans="1:49" ht="79.5" customHeight="1" x14ac:dyDescent="0.3">
      <c r="A346" s="35" t="s">
        <v>2149</v>
      </c>
      <c r="B346" s="38">
        <v>44956</v>
      </c>
      <c r="C346" s="40" t="s">
        <v>162</v>
      </c>
      <c r="D346" s="39" t="s">
        <v>2150</v>
      </c>
      <c r="E346" s="1" t="s">
        <v>2151</v>
      </c>
      <c r="F346" s="36">
        <v>44978</v>
      </c>
      <c r="G346" s="37" t="s">
        <v>2152</v>
      </c>
      <c r="H346" s="40" t="s">
        <v>571</v>
      </c>
      <c r="I346" s="40" t="s">
        <v>2153</v>
      </c>
      <c r="J346" s="57">
        <v>194883.15</v>
      </c>
      <c r="K346" s="41">
        <v>136832.85</v>
      </c>
      <c r="L346" s="30">
        <f t="shared" ref="L346:M409" si="70">K346</f>
        <v>136832.85</v>
      </c>
      <c r="M346" s="30">
        <f t="shared" si="69"/>
        <v>136832.85</v>
      </c>
      <c r="N346" s="40" t="s">
        <v>1128</v>
      </c>
      <c r="O346" s="40" t="s">
        <v>2154</v>
      </c>
      <c r="P346" s="40" t="s">
        <v>47</v>
      </c>
      <c r="Q346" s="44">
        <v>100</v>
      </c>
      <c r="R346" s="37">
        <v>0</v>
      </c>
      <c r="S346" s="37" t="s">
        <v>1964</v>
      </c>
      <c r="T346" s="48">
        <v>30</v>
      </c>
      <c r="U346" s="30">
        <f>M346/W346</f>
        <v>2.31</v>
      </c>
      <c r="V346" s="41">
        <f t="shared" si="63"/>
        <v>69.3</v>
      </c>
      <c r="W346" s="41">
        <f t="shared" si="61"/>
        <v>59235</v>
      </c>
      <c r="X346" s="41">
        <v>59235</v>
      </c>
      <c r="Y346" s="41">
        <v>0</v>
      </c>
      <c r="Z346" s="41">
        <v>0</v>
      </c>
      <c r="AA346" s="41">
        <v>0</v>
      </c>
      <c r="AB346" s="41">
        <v>0</v>
      </c>
      <c r="AC346" s="41">
        <v>0</v>
      </c>
      <c r="AD346" s="41">
        <v>0</v>
      </c>
      <c r="AE346" s="41">
        <v>0</v>
      </c>
      <c r="AF346" s="41">
        <v>0</v>
      </c>
      <c r="AG346" s="41">
        <v>0</v>
      </c>
      <c r="AH346" s="41">
        <v>0</v>
      </c>
      <c r="AI346" s="41">
        <v>0</v>
      </c>
      <c r="AJ346" s="41">
        <v>0</v>
      </c>
      <c r="AK346" s="41">
        <v>0</v>
      </c>
      <c r="AL346" s="41">
        <v>0</v>
      </c>
      <c r="AM346" s="41"/>
      <c r="AN346" s="41">
        <f t="shared" si="68"/>
        <v>1974.5</v>
      </c>
      <c r="AO346" s="41">
        <f t="shared" si="66"/>
        <v>1975</v>
      </c>
      <c r="AP346" s="40"/>
      <c r="AQ346" s="36">
        <v>45078</v>
      </c>
      <c r="AR346" s="36"/>
      <c r="AS346" s="36"/>
      <c r="AT346" s="36">
        <v>45092</v>
      </c>
      <c r="AU346" s="36"/>
      <c r="AV346" s="38"/>
      <c r="AW346" s="40" t="s">
        <v>87</v>
      </c>
    </row>
    <row r="347" spans="1:49" ht="79.5" customHeight="1" x14ac:dyDescent="0.3">
      <c r="A347" s="35" t="s">
        <v>2155</v>
      </c>
      <c r="B347" s="38">
        <v>44957</v>
      </c>
      <c r="C347" s="40" t="s">
        <v>162</v>
      </c>
      <c r="D347" s="39" t="s">
        <v>2156</v>
      </c>
      <c r="E347" s="1" t="s">
        <v>2157</v>
      </c>
      <c r="F347" s="36">
        <v>44977</v>
      </c>
      <c r="G347" s="35" t="s">
        <v>2158</v>
      </c>
      <c r="H347" s="40" t="s">
        <v>971</v>
      </c>
      <c r="I347" s="40" t="s">
        <v>986</v>
      </c>
      <c r="J347" s="57">
        <v>20483806.399999999</v>
      </c>
      <c r="K347" s="41">
        <v>20483806.399999999</v>
      </c>
      <c r="L347" s="30">
        <f t="shared" si="70"/>
        <v>20483806.399999999</v>
      </c>
      <c r="M347" s="30">
        <f t="shared" si="69"/>
        <v>20483806.399999999</v>
      </c>
      <c r="N347" s="40" t="s">
        <v>2159</v>
      </c>
      <c r="O347" s="40" t="s">
        <v>2160</v>
      </c>
      <c r="P347" s="40" t="s">
        <v>47</v>
      </c>
      <c r="Q347" s="44">
        <v>100</v>
      </c>
      <c r="R347" s="37">
        <v>0</v>
      </c>
      <c r="S347" s="37" t="s">
        <v>1964</v>
      </c>
      <c r="T347" s="48">
        <v>20</v>
      </c>
      <c r="U347" s="30">
        <f>M347/W347</f>
        <v>31.119999999999997</v>
      </c>
      <c r="V347" s="41">
        <f t="shared" si="63"/>
        <v>622.4</v>
      </c>
      <c r="W347" s="41">
        <f t="shared" si="61"/>
        <v>658220</v>
      </c>
      <c r="X347" s="41">
        <v>658220</v>
      </c>
      <c r="Y347" s="41">
        <v>0</v>
      </c>
      <c r="Z347" s="41">
        <v>0</v>
      </c>
      <c r="AA347" s="41">
        <v>0</v>
      </c>
      <c r="AB347" s="41">
        <v>0</v>
      </c>
      <c r="AC347" s="41">
        <v>0</v>
      </c>
      <c r="AD347" s="41">
        <v>0</v>
      </c>
      <c r="AE347" s="41">
        <v>0</v>
      </c>
      <c r="AF347" s="41">
        <v>0</v>
      </c>
      <c r="AG347" s="41">
        <v>0</v>
      </c>
      <c r="AH347" s="41">
        <v>0</v>
      </c>
      <c r="AI347" s="41">
        <v>0</v>
      </c>
      <c r="AJ347" s="41">
        <v>0</v>
      </c>
      <c r="AK347" s="41">
        <v>0</v>
      </c>
      <c r="AL347" s="41">
        <v>0</v>
      </c>
      <c r="AM347" s="41"/>
      <c r="AN347" s="41">
        <f t="shared" si="68"/>
        <v>32911</v>
      </c>
      <c r="AO347" s="41">
        <f t="shared" si="66"/>
        <v>32911</v>
      </c>
      <c r="AP347" s="40"/>
      <c r="AQ347" s="36">
        <v>45078</v>
      </c>
      <c r="AR347" s="36"/>
      <c r="AS347" s="36"/>
      <c r="AT347" s="36">
        <v>45092</v>
      </c>
      <c r="AU347" s="36"/>
      <c r="AV347" s="38"/>
      <c r="AW347" s="40" t="s">
        <v>87</v>
      </c>
    </row>
    <row r="348" spans="1:49" ht="114.6" customHeight="1" x14ac:dyDescent="0.3">
      <c r="A348" s="35" t="s">
        <v>2161</v>
      </c>
      <c r="B348" s="38">
        <v>44957</v>
      </c>
      <c r="C348" s="37">
        <v>545</v>
      </c>
      <c r="D348" s="39" t="s">
        <v>491</v>
      </c>
      <c r="E348" s="40" t="s">
        <v>491</v>
      </c>
      <c r="F348" s="36" t="s">
        <v>491</v>
      </c>
      <c r="G348" s="37" t="s">
        <v>491</v>
      </c>
      <c r="H348" s="40" t="s">
        <v>491</v>
      </c>
      <c r="I348" s="40" t="s">
        <v>1479</v>
      </c>
      <c r="J348" s="57">
        <v>53160360</v>
      </c>
      <c r="K348" s="41">
        <v>0</v>
      </c>
      <c r="L348" s="30">
        <f t="shared" si="70"/>
        <v>0</v>
      </c>
      <c r="M348" s="30">
        <f>L348</f>
        <v>0</v>
      </c>
      <c r="N348" s="40"/>
      <c r="O348" s="40"/>
      <c r="P348" s="40"/>
      <c r="Q348" s="44"/>
      <c r="R348" s="37"/>
      <c r="S348" s="37"/>
      <c r="T348" s="48"/>
      <c r="U348" s="30" t="e">
        <f>M348/W348</f>
        <v>#DIV/0!</v>
      </c>
      <c r="V348" s="41" t="e">
        <f>U348*T348</f>
        <v>#DIV/0!</v>
      </c>
      <c r="W348" s="41">
        <f>X348+AC348+AH348</f>
        <v>0</v>
      </c>
      <c r="X348" s="41"/>
      <c r="Y348" s="41"/>
      <c r="Z348" s="41"/>
      <c r="AA348" s="41"/>
      <c r="AB348" s="41"/>
      <c r="AC348" s="41"/>
      <c r="AD348" s="41"/>
      <c r="AE348" s="41"/>
      <c r="AF348" s="41"/>
      <c r="AG348" s="41"/>
      <c r="AH348" s="41"/>
      <c r="AI348" s="41"/>
      <c r="AJ348" s="41"/>
      <c r="AK348" s="41"/>
      <c r="AL348" s="41"/>
      <c r="AM348" s="41"/>
      <c r="AN348" s="41" t="e">
        <f t="shared" si="68"/>
        <v>#DIV/0!</v>
      </c>
      <c r="AO348" s="41" t="e">
        <f>_xlfn.CEILING.MATH(AN348)</f>
        <v>#DIV/0!</v>
      </c>
      <c r="AP348" s="40"/>
      <c r="AQ348" s="36"/>
      <c r="AR348" s="36"/>
      <c r="AS348" s="36"/>
      <c r="AT348" s="36"/>
      <c r="AU348" s="36"/>
      <c r="AV348" s="38"/>
      <c r="AW348" s="40"/>
    </row>
    <row r="349" spans="1:49" ht="79.5" customHeight="1" x14ac:dyDescent="0.3">
      <c r="A349" s="35" t="s">
        <v>2162</v>
      </c>
      <c r="B349" s="38">
        <v>44957</v>
      </c>
      <c r="C349" s="40" t="s">
        <v>162</v>
      </c>
      <c r="D349" s="39" t="s">
        <v>2163</v>
      </c>
      <c r="E349" s="1" t="s">
        <v>2164</v>
      </c>
      <c r="F349" s="36">
        <v>44977</v>
      </c>
      <c r="G349" s="35" t="s">
        <v>2165</v>
      </c>
      <c r="H349" s="40" t="s">
        <v>563</v>
      </c>
      <c r="I349" s="40" t="s">
        <v>1076</v>
      </c>
      <c r="J349" s="57">
        <v>279074508.89999998</v>
      </c>
      <c r="K349" s="41">
        <v>21158721.300000001</v>
      </c>
      <c r="L349" s="30">
        <f t="shared" si="70"/>
        <v>21158721.300000001</v>
      </c>
      <c r="M349" s="30">
        <f t="shared" si="69"/>
        <v>21158721.300000001</v>
      </c>
      <c r="N349" s="40" t="s">
        <v>2166</v>
      </c>
      <c r="O349" s="40" t="s">
        <v>2167</v>
      </c>
      <c r="P349" s="40" t="s">
        <v>47</v>
      </c>
      <c r="Q349" s="44">
        <v>100</v>
      </c>
      <c r="R349" s="37">
        <v>0</v>
      </c>
      <c r="S349" s="37" t="s">
        <v>1964</v>
      </c>
      <c r="T349" s="48">
        <v>30</v>
      </c>
      <c r="U349" s="30">
        <f>M349/W349</f>
        <v>2.11</v>
      </c>
      <c r="V349" s="41">
        <f t="shared" si="63"/>
        <v>63.3</v>
      </c>
      <c r="W349" s="41">
        <f t="shared" si="61"/>
        <v>10027830</v>
      </c>
      <c r="X349" s="41">
        <v>10027830</v>
      </c>
      <c r="Y349" s="41">
        <v>0</v>
      </c>
      <c r="Z349" s="41">
        <v>0</v>
      </c>
      <c r="AA349" s="41">
        <v>0</v>
      </c>
      <c r="AB349" s="41">
        <v>0</v>
      </c>
      <c r="AC349" s="41">
        <v>0</v>
      </c>
      <c r="AD349" s="41">
        <v>0</v>
      </c>
      <c r="AE349" s="41">
        <v>0</v>
      </c>
      <c r="AF349" s="41">
        <v>0</v>
      </c>
      <c r="AG349" s="41">
        <v>0</v>
      </c>
      <c r="AH349" s="41">
        <v>0</v>
      </c>
      <c r="AI349" s="41">
        <v>0</v>
      </c>
      <c r="AJ349" s="41">
        <v>0</v>
      </c>
      <c r="AK349" s="41">
        <v>0</v>
      </c>
      <c r="AL349" s="41">
        <v>0</v>
      </c>
      <c r="AM349" s="41"/>
      <c r="AN349" s="41">
        <f t="shared" si="68"/>
        <v>334261</v>
      </c>
      <c r="AO349" s="41">
        <f t="shared" si="66"/>
        <v>334261</v>
      </c>
      <c r="AP349" s="40"/>
      <c r="AQ349" s="36">
        <v>45047</v>
      </c>
      <c r="AR349" s="36"/>
      <c r="AS349" s="36"/>
      <c r="AT349" s="36">
        <v>45061</v>
      </c>
      <c r="AU349" s="36"/>
      <c r="AV349" s="38"/>
      <c r="AW349" s="40" t="s">
        <v>49</v>
      </c>
    </row>
    <row r="350" spans="1:49" ht="79.5" customHeight="1" x14ac:dyDescent="0.3">
      <c r="A350" s="35" t="s">
        <v>2168</v>
      </c>
      <c r="B350" s="38">
        <v>44957</v>
      </c>
      <c r="C350" s="40" t="s">
        <v>162</v>
      </c>
      <c r="D350" s="39" t="s">
        <v>2169</v>
      </c>
      <c r="E350" s="1" t="s">
        <v>2170</v>
      </c>
      <c r="F350" s="36">
        <v>44977</v>
      </c>
      <c r="G350" s="35" t="s">
        <v>2171</v>
      </c>
      <c r="H350" s="40" t="s">
        <v>971</v>
      </c>
      <c r="I350" s="40" t="s">
        <v>972</v>
      </c>
      <c r="J350" s="57">
        <v>63726643.200000003</v>
      </c>
      <c r="K350" s="57">
        <v>63726643.200000003</v>
      </c>
      <c r="L350" s="30">
        <f t="shared" si="70"/>
        <v>63726643.200000003</v>
      </c>
      <c r="M350" s="30">
        <f t="shared" si="69"/>
        <v>63726643.200000003</v>
      </c>
      <c r="N350" s="40" t="s">
        <v>2159</v>
      </c>
      <c r="O350" s="40" t="s">
        <v>2172</v>
      </c>
      <c r="P350" s="40" t="s">
        <v>47</v>
      </c>
      <c r="Q350" s="44">
        <v>100</v>
      </c>
      <c r="R350" s="37">
        <v>0</v>
      </c>
      <c r="S350" s="37" t="s">
        <v>1964</v>
      </c>
      <c r="T350" s="48">
        <v>60</v>
      </c>
      <c r="U350" s="30">
        <f>M350/W350</f>
        <v>28.16</v>
      </c>
      <c r="V350" s="41">
        <f t="shared" si="63"/>
        <v>1689.6</v>
      </c>
      <c r="W350" s="41">
        <f t="shared" si="61"/>
        <v>2263020</v>
      </c>
      <c r="X350" s="41">
        <v>2263020</v>
      </c>
      <c r="Y350" s="41">
        <v>0</v>
      </c>
      <c r="Z350" s="41">
        <v>0</v>
      </c>
      <c r="AA350" s="41">
        <v>0</v>
      </c>
      <c r="AB350" s="41">
        <v>0</v>
      </c>
      <c r="AC350" s="41">
        <v>0</v>
      </c>
      <c r="AD350" s="41">
        <v>0</v>
      </c>
      <c r="AE350" s="41">
        <v>0</v>
      </c>
      <c r="AF350" s="41">
        <v>0</v>
      </c>
      <c r="AG350" s="41">
        <v>0</v>
      </c>
      <c r="AH350" s="41">
        <v>0</v>
      </c>
      <c r="AI350" s="41">
        <v>0</v>
      </c>
      <c r="AJ350" s="41">
        <v>0</v>
      </c>
      <c r="AK350" s="41">
        <v>0</v>
      </c>
      <c r="AL350" s="41">
        <v>0</v>
      </c>
      <c r="AM350" s="41"/>
      <c r="AN350" s="41">
        <f t="shared" si="68"/>
        <v>37717</v>
      </c>
      <c r="AO350" s="41">
        <f t="shared" si="66"/>
        <v>37717</v>
      </c>
      <c r="AP350" s="40"/>
      <c r="AQ350" s="36">
        <v>45108</v>
      </c>
      <c r="AR350" s="36"/>
      <c r="AS350" s="36"/>
      <c r="AT350" s="36">
        <v>45122</v>
      </c>
      <c r="AU350" s="36"/>
      <c r="AV350" s="38"/>
      <c r="AW350" s="40" t="s">
        <v>87</v>
      </c>
    </row>
    <row r="351" spans="1:49" ht="79.5" customHeight="1" x14ac:dyDescent="0.3">
      <c r="A351" s="35" t="s">
        <v>2173</v>
      </c>
      <c r="B351" s="38">
        <v>44957</v>
      </c>
      <c r="C351" s="40" t="s">
        <v>162</v>
      </c>
      <c r="D351" s="39" t="s">
        <v>2174</v>
      </c>
      <c r="E351" s="1" t="s">
        <v>2175</v>
      </c>
      <c r="F351" s="36">
        <v>44977</v>
      </c>
      <c r="G351" s="35" t="s">
        <v>2176</v>
      </c>
      <c r="H351" s="40" t="s">
        <v>2003</v>
      </c>
      <c r="I351" s="40" t="s">
        <v>2177</v>
      </c>
      <c r="J351" s="57">
        <v>10328.18</v>
      </c>
      <c r="K351" s="57">
        <v>10328.18</v>
      </c>
      <c r="L351" s="30">
        <f t="shared" si="70"/>
        <v>10328.18</v>
      </c>
      <c r="M351" s="30">
        <f t="shared" si="69"/>
        <v>10328.18</v>
      </c>
      <c r="N351" s="40" t="s">
        <v>2178</v>
      </c>
      <c r="O351" s="40" t="s">
        <v>2179</v>
      </c>
      <c r="P351" s="40" t="s">
        <v>47</v>
      </c>
      <c r="Q351" s="44">
        <v>100</v>
      </c>
      <c r="R351" s="37">
        <v>0</v>
      </c>
      <c r="S351" s="37" t="s">
        <v>1964</v>
      </c>
      <c r="T351" s="48">
        <v>30</v>
      </c>
      <c r="U351" s="30">
        <f>M351/W351</f>
        <v>6.29</v>
      </c>
      <c r="V351" s="41">
        <f t="shared" si="63"/>
        <v>188.7</v>
      </c>
      <c r="W351" s="41">
        <f t="shared" si="61"/>
        <v>1642</v>
      </c>
      <c r="X351" s="41">
        <v>1642</v>
      </c>
      <c r="Y351" s="41">
        <v>0</v>
      </c>
      <c r="Z351" s="41">
        <v>0</v>
      </c>
      <c r="AA351" s="41">
        <v>0</v>
      </c>
      <c r="AB351" s="41">
        <v>0</v>
      </c>
      <c r="AC351" s="41">
        <v>0</v>
      </c>
      <c r="AD351" s="41">
        <v>0</v>
      </c>
      <c r="AE351" s="41">
        <v>0</v>
      </c>
      <c r="AF351" s="41">
        <v>0</v>
      </c>
      <c r="AG351" s="41">
        <v>0</v>
      </c>
      <c r="AH351" s="41">
        <v>0</v>
      </c>
      <c r="AI351" s="41">
        <v>0</v>
      </c>
      <c r="AJ351" s="41">
        <v>0</v>
      </c>
      <c r="AK351" s="41">
        <v>0</v>
      </c>
      <c r="AL351" s="41">
        <v>0</v>
      </c>
      <c r="AM351" s="41"/>
      <c r="AN351" s="41">
        <f t="shared" si="68"/>
        <v>54.733333333333334</v>
      </c>
      <c r="AO351" s="41">
        <f t="shared" si="66"/>
        <v>55</v>
      </c>
      <c r="AP351" s="40"/>
      <c r="AQ351" s="36">
        <v>45047</v>
      </c>
      <c r="AR351" s="36"/>
      <c r="AS351" s="36"/>
      <c r="AT351" s="36">
        <v>45061</v>
      </c>
      <c r="AU351" s="36"/>
      <c r="AV351" s="38"/>
      <c r="AW351" s="40" t="s">
        <v>49</v>
      </c>
    </row>
    <row r="352" spans="1:49" ht="79.5" customHeight="1" x14ac:dyDescent="0.3">
      <c r="A352" s="35" t="s">
        <v>2180</v>
      </c>
      <c r="B352" s="38">
        <v>44957</v>
      </c>
      <c r="C352" s="37" t="s">
        <v>2077</v>
      </c>
      <c r="D352" s="39" t="s">
        <v>2181</v>
      </c>
      <c r="E352" s="1" t="s">
        <v>2182</v>
      </c>
      <c r="F352" s="36">
        <v>44978</v>
      </c>
      <c r="G352" s="37" t="s">
        <v>2183</v>
      </c>
      <c r="H352" s="40" t="s">
        <v>571</v>
      </c>
      <c r="I352" s="40" t="s">
        <v>2184</v>
      </c>
      <c r="J352" s="41">
        <v>7311427.6399999997</v>
      </c>
      <c r="K352" s="41">
        <v>4486557.87</v>
      </c>
      <c r="L352" s="30">
        <f t="shared" si="70"/>
        <v>4486557.87</v>
      </c>
      <c r="M352" s="30">
        <f t="shared" si="69"/>
        <v>4486557.87</v>
      </c>
      <c r="N352" s="40" t="s">
        <v>2185</v>
      </c>
      <c r="O352" s="40" t="s">
        <v>2186</v>
      </c>
      <c r="P352" s="40" t="s">
        <v>47</v>
      </c>
      <c r="Q352" s="44">
        <v>100</v>
      </c>
      <c r="R352" s="37">
        <v>0</v>
      </c>
      <c r="S352" s="37" t="s">
        <v>219</v>
      </c>
      <c r="T352" s="48">
        <v>250</v>
      </c>
      <c r="U352" s="30">
        <f>M352/W352</f>
        <v>0.27</v>
      </c>
      <c r="V352" s="41">
        <f t="shared" si="63"/>
        <v>67.5</v>
      </c>
      <c r="W352" s="41">
        <f t="shared" si="61"/>
        <v>16616881</v>
      </c>
      <c r="X352" s="41">
        <v>16616881</v>
      </c>
      <c r="Y352" s="41">
        <v>0</v>
      </c>
      <c r="Z352" s="41">
        <v>0</v>
      </c>
      <c r="AA352" s="41">
        <v>0</v>
      </c>
      <c r="AB352" s="41">
        <v>0</v>
      </c>
      <c r="AC352" s="41">
        <v>0</v>
      </c>
      <c r="AD352" s="41">
        <v>0</v>
      </c>
      <c r="AE352" s="41">
        <v>0</v>
      </c>
      <c r="AF352" s="41">
        <v>0</v>
      </c>
      <c r="AG352" s="41">
        <v>0</v>
      </c>
      <c r="AH352" s="41">
        <v>0</v>
      </c>
      <c r="AI352" s="41">
        <v>0</v>
      </c>
      <c r="AJ352" s="41">
        <v>0</v>
      </c>
      <c r="AK352" s="41">
        <v>0</v>
      </c>
      <c r="AL352" s="41">
        <v>0</v>
      </c>
      <c r="AM352" s="41"/>
      <c r="AN352" s="41">
        <f t="shared" si="68"/>
        <v>66467.524000000005</v>
      </c>
      <c r="AO352" s="41">
        <f t="shared" si="66"/>
        <v>66468</v>
      </c>
      <c r="AP352" s="40"/>
      <c r="AQ352" s="36">
        <v>45047</v>
      </c>
      <c r="AR352" s="36"/>
      <c r="AS352" s="36"/>
      <c r="AT352" s="36">
        <v>45061</v>
      </c>
      <c r="AU352" s="36"/>
      <c r="AV352" s="38"/>
      <c r="AW352" s="40" t="s">
        <v>87</v>
      </c>
    </row>
    <row r="353" spans="1:49" s="34" customFormat="1" ht="79.5" customHeight="1" x14ac:dyDescent="0.3">
      <c r="A353" s="35" t="s">
        <v>2187</v>
      </c>
      <c r="B353" s="38">
        <v>44959</v>
      </c>
      <c r="C353" s="40" t="s">
        <v>162</v>
      </c>
      <c r="D353" s="39" t="s">
        <v>2188</v>
      </c>
      <c r="E353" s="1" t="s">
        <v>2189</v>
      </c>
      <c r="F353" s="36">
        <v>44978</v>
      </c>
      <c r="G353" s="37" t="s">
        <v>2190</v>
      </c>
      <c r="H353" s="40" t="s">
        <v>571</v>
      </c>
      <c r="I353" s="40" t="s">
        <v>2191</v>
      </c>
      <c r="J353" s="57">
        <v>10241255.52</v>
      </c>
      <c r="K353" s="41">
        <v>8446491.6799999997</v>
      </c>
      <c r="L353" s="30">
        <f t="shared" si="70"/>
        <v>8446491.6799999997</v>
      </c>
      <c r="M353" s="30">
        <f t="shared" si="69"/>
        <v>8446491.6799999997</v>
      </c>
      <c r="N353" s="40" t="s">
        <v>2192</v>
      </c>
      <c r="O353" s="40" t="s">
        <v>2193</v>
      </c>
      <c r="P353" s="40" t="s">
        <v>47</v>
      </c>
      <c r="Q353" s="44">
        <v>100</v>
      </c>
      <c r="R353" s="37">
        <v>0</v>
      </c>
      <c r="S353" s="37" t="s">
        <v>1964</v>
      </c>
      <c r="T353" s="48">
        <v>60</v>
      </c>
      <c r="U353" s="30">
        <f>M353/W353</f>
        <v>9.129999999999999</v>
      </c>
      <c r="V353" s="41">
        <f t="shared" si="63"/>
        <v>547.79999999999995</v>
      </c>
      <c r="W353" s="41">
        <f t="shared" si="61"/>
        <v>925136</v>
      </c>
      <c r="X353" s="41">
        <v>925136</v>
      </c>
      <c r="Y353" s="41">
        <v>0</v>
      </c>
      <c r="Z353" s="41">
        <v>0</v>
      </c>
      <c r="AA353" s="41">
        <v>0</v>
      </c>
      <c r="AB353" s="41">
        <v>0</v>
      </c>
      <c r="AC353" s="41">
        <v>0</v>
      </c>
      <c r="AD353" s="41">
        <v>0</v>
      </c>
      <c r="AE353" s="41">
        <v>0</v>
      </c>
      <c r="AF353" s="41">
        <v>0</v>
      </c>
      <c r="AG353" s="41">
        <v>0</v>
      </c>
      <c r="AH353" s="41">
        <v>0</v>
      </c>
      <c r="AI353" s="41">
        <v>0</v>
      </c>
      <c r="AJ353" s="41">
        <v>0</v>
      </c>
      <c r="AK353" s="41">
        <v>0</v>
      </c>
      <c r="AL353" s="41">
        <v>0</v>
      </c>
      <c r="AM353" s="41"/>
      <c r="AN353" s="41">
        <f t="shared" si="68"/>
        <v>15418.933333333332</v>
      </c>
      <c r="AO353" s="41">
        <f t="shared" si="66"/>
        <v>15419</v>
      </c>
      <c r="AP353" s="40"/>
      <c r="AQ353" s="36">
        <v>45047</v>
      </c>
      <c r="AR353" s="36"/>
      <c r="AS353" s="36"/>
      <c r="AT353" s="36">
        <v>45061</v>
      </c>
      <c r="AU353" s="36"/>
      <c r="AV353" s="38"/>
      <c r="AW353" s="40" t="s">
        <v>87</v>
      </c>
    </row>
    <row r="354" spans="1:49" s="34" customFormat="1" ht="79.5" customHeight="1" x14ac:dyDescent="0.3">
      <c r="A354" s="35" t="s">
        <v>2194</v>
      </c>
      <c r="B354" s="38">
        <v>44959</v>
      </c>
      <c r="C354" s="40">
        <v>545</v>
      </c>
      <c r="D354" s="39" t="s">
        <v>2195</v>
      </c>
      <c r="E354" s="1" t="s">
        <v>2196</v>
      </c>
      <c r="F354" s="36">
        <v>44978</v>
      </c>
      <c r="G354" s="37" t="s">
        <v>2197</v>
      </c>
      <c r="H354" s="40" t="s">
        <v>224</v>
      </c>
      <c r="I354" s="40" t="s">
        <v>1314</v>
      </c>
      <c r="J354" s="57">
        <v>162690000</v>
      </c>
      <c r="K354" s="41">
        <v>162690000</v>
      </c>
      <c r="L354" s="30">
        <v>190634400</v>
      </c>
      <c r="M354" s="30">
        <f t="shared" si="69"/>
        <v>190634400</v>
      </c>
      <c r="N354" s="40" t="s">
        <v>1300</v>
      </c>
      <c r="O354" s="40" t="s">
        <v>1308</v>
      </c>
      <c r="P354" s="40" t="s">
        <v>1032</v>
      </c>
      <c r="Q354" s="44">
        <v>0</v>
      </c>
      <c r="R354" s="37">
        <v>100</v>
      </c>
      <c r="S354" s="37" t="s">
        <v>1964</v>
      </c>
      <c r="T354" s="48">
        <v>60</v>
      </c>
      <c r="U354" s="30">
        <f>M354/W354</f>
        <v>6380</v>
      </c>
      <c r="V354" s="41">
        <f t="shared" si="63"/>
        <v>382800</v>
      </c>
      <c r="W354" s="41">
        <f t="shared" si="61"/>
        <v>29880</v>
      </c>
      <c r="X354" s="41">
        <v>4740</v>
      </c>
      <c r="Y354" s="41">
        <v>0</v>
      </c>
      <c r="Z354" s="41">
        <v>0</v>
      </c>
      <c r="AA354" s="41">
        <v>0</v>
      </c>
      <c r="AB354" s="41">
        <v>0</v>
      </c>
      <c r="AC354" s="41">
        <v>19980</v>
      </c>
      <c r="AD354" s="41">
        <v>0</v>
      </c>
      <c r="AE354" s="41">
        <v>0</v>
      </c>
      <c r="AF354" s="41">
        <v>0</v>
      </c>
      <c r="AG354" s="41">
        <v>0</v>
      </c>
      <c r="AH354" s="41">
        <v>5160</v>
      </c>
      <c r="AI354" s="41">
        <v>0</v>
      </c>
      <c r="AJ354" s="41">
        <v>0</v>
      </c>
      <c r="AK354" s="41">
        <v>0</v>
      </c>
      <c r="AL354" s="41">
        <v>0</v>
      </c>
      <c r="AM354" s="41"/>
      <c r="AN354" s="41">
        <f t="shared" si="68"/>
        <v>498</v>
      </c>
      <c r="AO354" s="41">
        <f t="shared" si="66"/>
        <v>498</v>
      </c>
      <c r="AP354" s="40" t="s">
        <v>1273</v>
      </c>
      <c r="AQ354" s="36">
        <v>45016</v>
      </c>
      <c r="AR354" s="36">
        <v>45107</v>
      </c>
      <c r="AS354" s="36">
        <v>45169</v>
      </c>
      <c r="AT354" s="36">
        <v>45031</v>
      </c>
      <c r="AU354" s="36">
        <v>45122</v>
      </c>
      <c r="AV354" s="38">
        <v>45184</v>
      </c>
      <c r="AW354" s="40" t="s">
        <v>87</v>
      </c>
    </row>
    <row r="355" spans="1:49" s="34" customFormat="1" ht="79.5" customHeight="1" x14ac:dyDescent="0.3">
      <c r="A355" s="35" t="s">
        <v>2198</v>
      </c>
      <c r="B355" s="38">
        <v>44959</v>
      </c>
      <c r="C355" s="40">
        <v>545</v>
      </c>
      <c r="D355" s="39" t="s">
        <v>2199</v>
      </c>
      <c r="E355" s="1" t="s">
        <v>2200</v>
      </c>
      <c r="F355" s="36">
        <v>44978</v>
      </c>
      <c r="G355" s="37" t="s">
        <v>2201</v>
      </c>
      <c r="H355" s="40" t="s">
        <v>224</v>
      </c>
      <c r="I355" s="40" t="s">
        <v>1314</v>
      </c>
      <c r="J355" s="57">
        <v>274467600</v>
      </c>
      <c r="K355" s="57">
        <v>274467600</v>
      </c>
      <c r="L355" s="30">
        <v>332270400</v>
      </c>
      <c r="M355" s="30">
        <f t="shared" si="69"/>
        <v>332270400</v>
      </c>
      <c r="N355" s="40" t="s">
        <v>1300</v>
      </c>
      <c r="O355" s="40" t="s">
        <v>1308</v>
      </c>
      <c r="P355" s="40" t="s">
        <v>1032</v>
      </c>
      <c r="Q355" s="44">
        <v>0</v>
      </c>
      <c r="R355" s="37">
        <v>100</v>
      </c>
      <c r="S355" s="37" t="s">
        <v>1964</v>
      </c>
      <c r="T355" s="48">
        <v>60</v>
      </c>
      <c r="U355" s="30">
        <f>M355/W355</f>
        <v>6380</v>
      </c>
      <c r="V355" s="41">
        <f t="shared" si="63"/>
        <v>382800</v>
      </c>
      <c r="W355" s="41">
        <f t="shared" ref="W355:W402" si="71">X355+AC355+AH355</f>
        <v>52080</v>
      </c>
      <c r="X355" s="41">
        <v>7860</v>
      </c>
      <c r="Y355" s="41">
        <v>0</v>
      </c>
      <c r="Z355" s="41">
        <v>0</v>
      </c>
      <c r="AA355" s="41">
        <v>0</v>
      </c>
      <c r="AB355" s="41">
        <v>0</v>
      </c>
      <c r="AC355" s="41">
        <f>26340+9060</f>
        <v>35400</v>
      </c>
      <c r="AD355" s="41">
        <v>0</v>
      </c>
      <c r="AE355" s="41">
        <v>0</v>
      </c>
      <c r="AF355" s="41">
        <v>0</v>
      </c>
      <c r="AG355" s="41">
        <v>0</v>
      </c>
      <c r="AH355" s="41">
        <v>8820</v>
      </c>
      <c r="AI355" s="41">
        <v>0</v>
      </c>
      <c r="AJ355" s="41">
        <v>0</v>
      </c>
      <c r="AK355" s="41">
        <v>0</v>
      </c>
      <c r="AL355" s="41">
        <v>0</v>
      </c>
      <c r="AM355" s="41"/>
      <c r="AN355" s="41">
        <f t="shared" si="68"/>
        <v>868</v>
      </c>
      <c r="AO355" s="41">
        <f t="shared" si="66"/>
        <v>868</v>
      </c>
      <c r="AP355" s="40" t="s">
        <v>1285</v>
      </c>
      <c r="AQ355" s="36">
        <v>45016</v>
      </c>
      <c r="AR355" s="36">
        <v>45107</v>
      </c>
      <c r="AS355" s="36">
        <v>45169</v>
      </c>
      <c r="AT355" s="36">
        <v>45031</v>
      </c>
      <c r="AU355" s="36">
        <v>45122</v>
      </c>
      <c r="AV355" s="38">
        <v>45184</v>
      </c>
      <c r="AW355" s="40" t="s">
        <v>87</v>
      </c>
    </row>
    <row r="356" spans="1:49" s="34" customFormat="1" ht="75.75" customHeight="1" x14ac:dyDescent="0.3">
      <c r="A356" s="35" t="s">
        <v>2202</v>
      </c>
      <c r="B356" s="38">
        <v>44959</v>
      </c>
      <c r="C356" s="40">
        <v>545</v>
      </c>
      <c r="D356" s="39" t="s">
        <v>2203</v>
      </c>
      <c r="E356" s="1" t="s">
        <v>2204</v>
      </c>
      <c r="F356" s="36">
        <v>44978</v>
      </c>
      <c r="G356" s="37" t="s">
        <v>2205</v>
      </c>
      <c r="H356" s="40" t="s">
        <v>224</v>
      </c>
      <c r="I356" s="40" t="s">
        <v>1270</v>
      </c>
      <c r="J356" s="57">
        <v>38579798.399999999</v>
      </c>
      <c r="K356" s="41">
        <v>38579798.399999999</v>
      </c>
      <c r="L356" s="30">
        <f t="shared" si="70"/>
        <v>38579798.399999999</v>
      </c>
      <c r="M356" s="30">
        <f t="shared" si="69"/>
        <v>38579798.399999999</v>
      </c>
      <c r="N356" s="40" t="s">
        <v>1271</v>
      </c>
      <c r="O356" s="40" t="s">
        <v>1284</v>
      </c>
      <c r="P356" s="40" t="s">
        <v>199</v>
      </c>
      <c r="Q356" s="44">
        <v>0</v>
      </c>
      <c r="R356" s="37">
        <v>100</v>
      </c>
      <c r="S356" s="37" t="s">
        <v>219</v>
      </c>
      <c r="T356" s="48">
        <v>12</v>
      </c>
      <c r="U356" s="30">
        <f>M356/W356</f>
        <v>247306.4</v>
      </c>
      <c r="V356" s="41">
        <f t="shared" si="63"/>
        <v>2967676.8</v>
      </c>
      <c r="W356" s="41">
        <f t="shared" si="71"/>
        <v>156</v>
      </c>
      <c r="X356" s="41">
        <v>156</v>
      </c>
      <c r="Y356" s="41">
        <v>0</v>
      </c>
      <c r="Z356" s="41">
        <v>0</v>
      </c>
      <c r="AA356" s="41">
        <v>0</v>
      </c>
      <c r="AB356" s="41">
        <v>0</v>
      </c>
      <c r="AC356" s="41">
        <v>0</v>
      </c>
      <c r="AD356" s="41">
        <v>0</v>
      </c>
      <c r="AE356" s="41">
        <v>0</v>
      </c>
      <c r="AF356" s="41">
        <v>0</v>
      </c>
      <c r="AG356" s="41">
        <v>0</v>
      </c>
      <c r="AH356" s="41">
        <v>0</v>
      </c>
      <c r="AI356" s="41">
        <v>0</v>
      </c>
      <c r="AJ356" s="41">
        <v>0</v>
      </c>
      <c r="AK356" s="41">
        <v>0</v>
      </c>
      <c r="AL356" s="41">
        <v>0</v>
      </c>
      <c r="AM356" s="41"/>
      <c r="AN356" s="41">
        <f t="shared" si="68"/>
        <v>13</v>
      </c>
      <c r="AO356" s="41">
        <f t="shared" si="66"/>
        <v>13</v>
      </c>
      <c r="AP356" s="40" t="s">
        <v>2206</v>
      </c>
      <c r="AQ356" s="36">
        <v>45046</v>
      </c>
      <c r="AR356" s="36"/>
      <c r="AS356" s="36"/>
      <c r="AT356" s="36">
        <v>45061</v>
      </c>
      <c r="AU356" s="36"/>
      <c r="AV356" s="38"/>
      <c r="AW356" s="40" t="s">
        <v>87</v>
      </c>
    </row>
    <row r="357" spans="1:49" s="34" customFormat="1" ht="92.25" customHeight="1" x14ac:dyDescent="0.3">
      <c r="A357" s="35" t="s">
        <v>2207</v>
      </c>
      <c r="B357" s="38">
        <v>44959</v>
      </c>
      <c r="C357" s="40" t="s">
        <v>162</v>
      </c>
      <c r="D357" s="39" t="s">
        <v>2208</v>
      </c>
      <c r="E357" s="1" t="s">
        <v>2209</v>
      </c>
      <c r="F357" s="36">
        <v>44991</v>
      </c>
      <c r="G357" s="35" t="s">
        <v>2210</v>
      </c>
      <c r="H357" s="40" t="s">
        <v>177</v>
      </c>
      <c r="I357" s="40" t="s">
        <v>2211</v>
      </c>
      <c r="J357" s="57">
        <v>732711394.79999995</v>
      </c>
      <c r="K357" s="41">
        <v>732711394.79999995</v>
      </c>
      <c r="L357" s="30">
        <v>742187752.79999995</v>
      </c>
      <c r="M357" s="30">
        <f t="shared" si="69"/>
        <v>742187752.79999995</v>
      </c>
      <c r="N357" s="40" t="s">
        <v>2212</v>
      </c>
      <c r="O357" s="40" t="s">
        <v>2213</v>
      </c>
      <c r="P357" s="40" t="s">
        <v>47</v>
      </c>
      <c r="Q357" s="44">
        <v>100</v>
      </c>
      <c r="R357" s="37">
        <v>0</v>
      </c>
      <c r="S357" s="37" t="s">
        <v>1964</v>
      </c>
      <c r="T357" s="54" t="s">
        <v>2214</v>
      </c>
      <c r="U357" s="30">
        <f>M357/W357</f>
        <v>37.86</v>
      </c>
      <c r="V357" s="57" t="s">
        <v>2215</v>
      </c>
      <c r="W357" s="41">
        <f t="shared" si="71"/>
        <v>19603480</v>
      </c>
      <c r="X357" s="41">
        <v>19603480</v>
      </c>
      <c r="Y357" s="41">
        <v>0</v>
      </c>
      <c r="Z357" s="41">
        <v>0</v>
      </c>
      <c r="AA357" s="41">
        <v>0</v>
      </c>
      <c r="AB357" s="41">
        <v>0</v>
      </c>
      <c r="AC357" s="41">
        <v>0</v>
      </c>
      <c r="AD357" s="41">
        <v>0</v>
      </c>
      <c r="AE357" s="41">
        <v>0</v>
      </c>
      <c r="AF357" s="41">
        <v>0</v>
      </c>
      <c r="AG357" s="41">
        <v>0</v>
      </c>
      <c r="AH357" s="41">
        <v>0</v>
      </c>
      <c r="AI357" s="41">
        <v>0</v>
      </c>
      <c r="AJ357" s="41">
        <v>0</v>
      </c>
      <c r="AK357" s="41">
        <v>0</v>
      </c>
      <c r="AL357" s="41">
        <v>0</v>
      </c>
      <c r="AM357" s="41"/>
      <c r="AN357" s="57" t="s">
        <v>2216</v>
      </c>
      <c r="AO357" s="57" t="s">
        <v>2217</v>
      </c>
      <c r="AP357" s="40"/>
      <c r="AQ357" s="36">
        <v>45047</v>
      </c>
      <c r="AR357" s="36"/>
      <c r="AS357" s="36"/>
      <c r="AT357" s="36">
        <v>45061</v>
      </c>
      <c r="AU357" s="36"/>
      <c r="AV357" s="38"/>
      <c r="AW357" s="40" t="s">
        <v>49</v>
      </c>
    </row>
    <row r="358" spans="1:49" s="34" customFormat="1" ht="92.25" customHeight="1" x14ac:dyDescent="0.3">
      <c r="A358" s="35" t="s">
        <v>2218</v>
      </c>
      <c r="B358" s="36">
        <v>44960</v>
      </c>
      <c r="C358" s="37">
        <v>545</v>
      </c>
      <c r="D358" s="39" t="s">
        <v>2219</v>
      </c>
      <c r="E358" s="1" t="s">
        <v>2220</v>
      </c>
      <c r="F358" s="36">
        <v>44985</v>
      </c>
      <c r="G358" s="35" t="s">
        <v>2221</v>
      </c>
      <c r="H358" s="40" t="s">
        <v>2222</v>
      </c>
      <c r="I358" s="40" t="s">
        <v>1479</v>
      </c>
      <c r="J358" s="41">
        <v>53160360</v>
      </c>
      <c r="K358" s="41">
        <v>53160360</v>
      </c>
      <c r="L358" s="30">
        <v>68795760</v>
      </c>
      <c r="M358" s="30">
        <f t="shared" si="69"/>
        <v>68795760</v>
      </c>
      <c r="N358" s="40" t="s">
        <v>1480</v>
      </c>
      <c r="O358" s="40" t="s">
        <v>1481</v>
      </c>
      <c r="P358" s="40" t="s">
        <v>1032</v>
      </c>
      <c r="Q358" s="44">
        <v>0</v>
      </c>
      <c r="R358" s="37">
        <v>100</v>
      </c>
      <c r="S358" s="37" t="s">
        <v>219</v>
      </c>
      <c r="T358" s="48">
        <v>2</v>
      </c>
      <c r="U358" s="30">
        <f>M358/W358</f>
        <v>521180</v>
      </c>
      <c r="V358" s="41">
        <f t="shared" si="63"/>
        <v>1042360</v>
      </c>
      <c r="W358" s="41">
        <v>132</v>
      </c>
      <c r="X358" s="41">
        <v>132</v>
      </c>
      <c r="Y358" s="41">
        <v>0</v>
      </c>
      <c r="Z358" s="41">
        <v>0</v>
      </c>
      <c r="AA358" s="41">
        <v>0</v>
      </c>
      <c r="AB358" s="41">
        <v>0</v>
      </c>
      <c r="AC358" s="41">
        <v>0</v>
      </c>
      <c r="AD358" s="41">
        <v>0</v>
      </c>
      <c r="AE358" s="41">
        <v>0</v>
      </c>
      <c r="AF358" s="41">
        <v>0</v>
      </c>
      <c r="AG358" s="41">
        <v>0</v>
      </c>
      <c r="AH358" s="41">
        <v>0</v>
      </c>
      <c r="AI358" s="41">
        <v>0</v>
      </c>
      <c r="AJ358" s="41">
        <v>0</v>
      </c>
      <c r="AK358" s="41">
        <v>0</v>
      </c>
      <c r="AL358" s="41">
        <v>0</v>
      </c>
      <c r="AM358" s="41"/>
      <c r="AN358" s="41">
        <f t="shared" ref="AN358:AN372" si="72">W358/T358</f>
        <v>66</v>
      </c>
      <c r="AO358" s="41">
        <f t="shared" si="66"/>
        <v>66</v>
      </c>
      <c r="AP358" s="40" t="s">
        <v>1353</v>
      </c>
      <c r="AQ358" s="36">
        <v>45016</v>
      </c>
      <c r="AR358" s="36"/>
      <c r="AS358" s="36"/>
      <c r="AT358" s="36">
        <v>45000</v>
      </c>
      <c r="AU358" s="36"/>
      <c r="AV358" s="38"/>
      <c r="AW358" s="40" t="s">
        <v>87</v>
      </c>
    </row>
    <row r="359" spans="1:49" s="34" customFormat="1" ht="92.25" customHeight="1" x14ac:dyDescent="0.3">
      <c r="A359" s="35" t="s">
        <v>2223</v>
      </c>
      <c r="B359" s="36">
        <v>44960</v>
      </c>
      <c r="C359" s="37" t="s">
        <v>162</v>
      </c>
      <c r="D359" s="39" t="s">
        <v>2224</v>
      </c>
      <c r="E359" s="1" t="s">
        <v>2225</v>
      </c>
      <c r="F359" s="36">
        <v>44984</v>
      </c>
      <c r="G359" s="35" t="s">
        <v>2226</v>
      </c>
      <c r="H359" s="40" t="s">
        <v>571</v>
      </c>
      <c r="I359" s="40" t="s">
        <v>1127</v>
      </c>
      <c r="J359" s="41">
        <v>74464854</v>
      </c>
      <c r="K359" s="41">
        <v>59496092</v>
      </c>
      <c r="L359" s="30">
        <v>61031426.399999999</v>
      </c>
      <c r="M359" s="30">
        <f t="shared" si="69"/>
        <v>61031426.399999999</v>
      </c>
      <c r="N359" s="40" t="s">
        <v>1128</v>
      </c>
      <c r="O359" s="40" t="s">
        <v>2227</v>
      </c>
      <c r="P359" s="40" t="s">
        <v>47</v>
      </c>
      <c r="Q359" s="44">
        <v>100</v>
      </c>
      <c r="R359" s="37">
        <v>0</v>
      </c>
      <c r="S359" s="37" t="s">
        <v>1964</v>
      </c>
      <c r="T359" s="48">
        <v>30</v>
      </c>
      <c r="U359" s="30">
        <f>M359/W359</f>
        <v>6.28</v>
      </c>
      <c r="V359" s="41">
        <f t="shared" si="63"/>
        <v>188.4</v>
      </c>
      <c r="W359" s="41">
        <f t="shared" si="71"/>
        <v>9718380</v>
      </c>
      <c r="X359" s="41">
        <v>9718380</v>
      </c>
      <c r="Y359" s="41">
        <v>0</v>
      </c>
      <c r="Z359" s="41">
        <v>0</v>
      </c>
      <c r="AA359" s="41">
        <v>0</v>
      </c>
      <c r="AB359" s="41">
        <v>0</v>
      </c>
      <c r="AC359" s="41">
        <v>0</v>
      </c>
      <c r="AD359" s="41">
        <v>0</v>
      </c>
      <c r="AE359" s="41">
        <v>0</v>
      </c>
      <c r="AF359" s="41">
        <v>0</v>
      </c>
      <c r="AG359" s="41">
        <v>0</v>
      </c>
      <c r="AH359" s="41">
        <v>0</v>
      </c>
      <c r="AI359" s="41">
        <v>0</v>
      </c>
      <c r="AJ359" s="41">
        <v>0</v>
      </c>
      <c r="AK359" s="41">
        <v>0</v>
      </c>
      <c r="AL359" s="41">
        <v>0</v>
      </c>
      <c r="AM359" s="41"/>
      <c r="AN359" s="41">
        <f t="shared" si="72"/>
        <v>323946</v>
      </c>
      <c r="AO359" s="41">
        <f t="shared" si="66"/>
        <v>323946</v>
      </c>
      <c r="AP359" s="40"/>
      <c r="AQ359" s="36">
        <v>45047</v>
      </c>
      <c r="AR359" s="36"/>
      <c r="AS359" s="36"/>
      <c r="AT359" s="36">
        <v>45061</v>
      </c>
      <c r="AU359" s="36"/>
      <c r="AV359" s="38"/>
      <c r="AW359" s="40" t="s">
        <v>87</v>
      </c>
    </row>
    <row r="360" spans="1:49" s="34" customFormat="1" ht="92.25" customHeight="1" x14ac:dyDescent="0.3">
      <c r="A360" s="35" t="s">
        <v>2228</v>
      </c>
      <c r="B360" s="36">
        <v>44960</v>
      </c>
      <c r="C360" s="37" t="s">
        <v>162</v>
      </c>
      <c r="D360" s="39" t="s">
        <v>2229</v>
      </c>
      <c r="E360" s="1" t="s">
        <v>2230</v>
      </c>
      <c r="F360" s="36">
        <v>44985</v>
      </c>
      <c r="G360" s="37" t="s">
        <v>2231</v>
      </c>
      <c r="H360" s="40" t="s">
        <v>2232</v>
      </c>
      <c r="I360" s="40" t="s">
        <v>2233</v>
      </c>
      <c r="J360" s="41">
        <v>47304230.939999998</v>
      </c>
      <c r="K360" s="41">
        <v>24090982.199999999</v>
      </c>
      <c r="L360" s="30">
        <f t="shared" si="70"/>
        <v>24090982.199999999</v>
      </c>
      <c r="M360" s="30">
        <f t="shared" si="69"/>
        <v>24090982.199999999</v>
      </c>
      <c r="N360" s="40" t="s">
        <v>2234</v>
      </c>
      <c r="O360" s="40" t="s">
        <v>2235</v>
      </c>
      <c r="P360" s="40" t="s">
        <v>47</v>
      </c>
      <c r="Q360" s="44">
        <v>100</v>
      </c>
      <c r="R360" s="37">
        <v>0</v>
      </c>
      <c r="S360" s="37" t="s">
        <v>1964</v>
      </c>
      <c r="T360" s="48">
        <v>30</v>
      </c>
      <c r="U360" s="30">
        <f>M360/W360</f>
        <v>12.9</v>
      </c>
      <c r="V360" s="41">
        <f t="shared" si="63"/>
        <v>387</v>
      </c>
      <c r="W360" s="41">
        <f t="shared" si="71"/>
        <v>1867518</v>
      </c>
      <c r="X360" s="41">
        <v>1867518</v>
      </c>
      <c r="Y360" s="41">
        <v>0</v>
      </c>
      <c r="Z360" s="41">
        <v>0</v>
      </c>
      <c r="AA360" s="41">
        <v>0</v>
      </c>
      <c r="AB360" s="41">
        <v>0</v>
      </c>
      <c r="AC360" s="41">
        <v>0</v>
      </c>
      <c r="AD360" s="41">
        <v>0</v>
      </c>
      <c r="AE360" s="41">
        <v>0</v>
      </c>
      <c r="AF360" s="41">
        <v>0</v>
      </c>
      <c r="AG360" s="41">
        <v>0</v>
      </c>
      <c r="AH360" s="41">
        <v>0</v>
      </c>
      <c r="AI360" s="41">
        <v>0</v>
      </c>
      <c r="AJ360" s="41">
        <v>0</v>
      </c>
      <c r="AK360" s="41">
        <v>0</v>
      </c>
      <c r="AL360" s="41">
        <v>0</v>
      </c>
      <c r="AM360" s="41"/>
      <c r="AN360" s="41">
        <f t="shared" si="72"/>
        <v>62250.6</v>
      </c>
      <c r="AO360" s="41">
        <f t="shared" si="66"/>
        <v>62251</v>
      </c>
      <c r="AP360" s="40"/>
      <c r="AQ360" s="36">
        <v>45078</v>
      </c>
      <c r="AR360" s="36"/>
      <c r="AS360" s="36"/>
      <c r="AT360" s="36">
        <v>45092</v>
      </c>
      <c r="AU360" s="36"/>
      <c r="AV360" s="38"/>
      <c r="AW360" s="40" t="s">
        <v>87</v>
      </c>
    </row>
    <row r="361" spans="1:49" s="34" customFormat="1" ht="92.25" customHeight="1" x14ac:dyDescent="0.3">
      <c r="A361" s="35" t="s">
        <v>2236</v>
      </c>
      <c r="B361" s="36">
        <v>44960</v>
      </c>
      <c r="C361" s="37" t="s">
        <v>162</v>
      </c>
      <c r="D361" s="39" t="s">
        <v>2237</v>
      </c>
      <c r="E361" s="1" t="s">
        <v>2238</v>
      </c>
      <c r="F361" s="36">
        <v>44984</v>
      </c>
      <c r="G361" s="37" t="s">
        <v>2239</v>
      </c>
      <c r="H361" s="40" t="s">
        <v>571</v>
      </c>
      <c r="I361" s="40" t="s">
        <v>1069</v>
      </c>
      <c r="J361" s="41">
        <v>34364412</v>
      </c>
      <c r="K361" s="41">
        <v>34364412</v>
      </c>
      <c r="L361" s="30">
        <f t="shared" si="70"/>
        <v>34364412</v>
      </c>
      <c r="M361" s="30">
        <f t="shared" si="69"/>
        <v>34364412</v>
      </c>
      <c r="N361" s="40" t="s">
        <v>2240</v>
      </c>
      <c r="O361" s="40" t="s">
        <v>2241</v>
      </c>
      <c r="P361" s="40" t="s">
        <v>47</v>
      </c>
      <c r="Q361" s="44">
        <v>100</v>
      </c>
      <c r="R361" s="37">
        <v>0</v>
      </c>
      <c r="S361" s="37" t="s">
        <v>1964</v>
      </c>
      <c r="T361" s="48">
        <v>60</v>
      </c>
      <c r="U361" s="30">
        <f>M361/W361</f>
        <v>91.8</v>
      </c>
      <c r="V361" s="41">
        <f t="shared" si="63"/>
        <v>5508</v>
      </c>
      <c r="W361" s="41">
        <f t="shared" si="71"/>
        <v>374340</v>
      </c>
      <c r="X361" s="41">
        <v>374340</v>
      </c>
      <c r="Y361" s="41">
        <v>0</v>
      </c>
      <c r="Z361" s="41">
        <v>0</v>
      </c>
      <c r="AA361" s="41">
        <v>0</v>
      </c>
      <c r="AB361" s="41">
        <v>0</v>
      </c>
      <c r="AC361" s="41">
        <v>0</v>
      </c>
      <c r="AD361" s="41">
        <v>0</v>
      </c>
      <c r="AE361" s="41">
        <v>0</v>
      </c>
      <c r="AF361" s="41">
        <v>0</v>
      </c>
      <c r="AG361" s="41">
        <v>0</v>
      </c>
      <c r="AH361" s="41">
        <v>0</v>
      </c>
      <c r="AI361" s="41">
        <v>0</v>
      </c>
      <c r="AJ361" s="41">
        <v>0</v>
      </c>
      <c r="AK361" s="41">
        <v>0</v>
      </c>
      <c r="AL361" s="41">
        <v>0</v>
      </c>
      <c r="AM361" s="41"/>
      <c r="AN361" s="41">
        <f t="shared" si="72"/>
        <v>6239</v>
      </c>
      <c r="AO361" s="41">
        <f t="shared" si="66"/>
        <v>6239</v>
      </c>
      <c r="AP361" s="40"/>
      <c r="AQ361" s="36">
        <v>45047</v>
      </c>
      <c r="AR361" s="36"/>
      <c r="AS361" s="36"/>
      <c r="AT361" s="36">
        <v>45061</v>
      </c>
      <c r="AU361" s="36"/>
      <c r="AV361" s="38"/>
      <c r="AW361" s="40" t="s">
        <v>87</v>
      </c>
    </row>
    <row r="362" spans="1:49" s="34" customFormat="1" ht="92.25" customHeight="1" x14ac:dyDescent="0.3">
      <c r="A362" s="35" t="s">
        <v>2242</v>
      </c>
      <c r="B362" s="36">
        <v>44960</v>
      </c>
      <c r="C362" s="37" t="s">
        <v>2077</v>
      </c>
      <c r="D362" s="39" t="s">
        <v>459</v>
      </c>
      <c r="E362" s="1" t="s">
        <v>2243</v>
      </c>
      <c r="F362" s="36" t="s">
        <v>459</v>
      </c>
      <c r="G362" s="37" t="s">
        <v>459</v>
      </c>
      <c r="H362" s="40" t="s">
        <v>459</v>
      </c>
      <c r="I362" s="40" t="s">
        <v>2244</v>
      </c>
      <c r="J362" s="41">
        <v>10272531.9</v>
      </c>
      <c r="K362" s="41">
        <v>0</v>
      </c>
      <c r="L362" s="30">
        <f t="shared" si="70"/>
        <v>0</v>
      </c>
      <c r="M362" s="30">
        <f t="shared" si="69"/>
        <v>0</v>
      </c>
      <c r="N362" s="40"/>
      <c r="O362" s="40"/>
      <c r="P362" s="40"/>
      <c r="Q362" s="44"/>
      <c r="R362" s="37"/>
      <c r="S362" s="37"/>
      <c r="T362" s="48"/>
      <c r="U362" s="30" t="e">
        <f>M362/W362</f>
        <v>#DIV/0!</v>
      </c>
      <c r="V362" s="41" t="e">
        <f t="shared" si="63"/>
        <v>#DIV/0!</v>
      </c>
      <c r="W362" s="41">
        <f t="shared" si="71"/>
        <v>0</v>
      </c>
      <c r="X362" s="41"/>
      <c r="Y362" s="41"/>
      <c r="Z362" s="41"/>
      <c r="AA362" s="41"/>
      <c r="AB362" s="41"/>
      <c r="AC362" s="41"/>
      <c r="AD362" s="41"/>
      <c r="AE362" s="41"/>
      <c r="AF362" s="41"/>
      <c r="AG362" s="41"/>
      <c r="AH362" s="41"/>
      <c r="AI362" s="41"/>
      <c r="AJ362" s="41"/>
      <c r="AK362" s="41"/>
      <c r="AL362" s="41"/>
      <c r="AM362" s="41"/>
      <c r="AN362" s="41" t="e">
        <f t="shared" si="72"/>
        <v>#DIV/0!</v>
      </c>
      <c r="AO362" s="41" t="e">
        <f t="shared" si="66"/>
        <v>#DIV/0!</v>
      </c>
      <c r="AP362" s="40"/>
      <c r="AQ362" s="36"/>
      <c r="AR362" s="36"/>
      <c r="AS362" s="36"/>
      <c r="AT362" s="36"/>
      <c r="AU362" s="36"/>
      <c r="AV362" s="38"/>
      <c r="AW362" s="40"/>
    </row>
    <row r="363" spans="1:49" s="34" customFormat="1" ht="92.25" customHeight="1" x14ac:dyDescent="0.3">
      <c r="A363" s="35" t="s">
        <v>2245</v>
      </c>
      <c r="B363" s="36">
        <v>44960</v>
      </c>
      <c r="C363" s="37" t="s">
        <v>162</v>
      </c>
      <c r="D363" s="39" t="s">
        <v>2246</v>
      </c>
      <c r="E363" s="1" t="s">
        <v>2247</v>
      </c>
      <c r="F363" s="36">
        <v>44984</v>
      </c>
      <c r="G363" s="35" t="s">
        <v>2248</v>
      </c>
      <c r="H363" s="40" t="s">
        <v>177</v>
      </c>
      <c r="I363" s="40" t="s">
        <v>2249</v>
      </c>
      <c r="J363" s="41">
        <v>4309022.4000000004</v>
      </c>
      <c r="K363" s="41">
        <v>4309022.4000000004</v>
      </c>
      <c r="L363" s="30">
        <f t="shared" si="70"/>
        <v>4309022.4000000004</v>
      </c>
      <c r="M363" s="30">
        <f t="shared" si="69"/>
        <v>4309022.4000000004</v>
      </c>
      <c r="N363" s="40" t="s">
        <v>179</v>
      </c>
      <c r="O363" s="40" t="s">
        <v>1031</v>
      </c>
      <c r="P363" s="40" t="s">
        <v>1032</v>
      </c>
      <c r="Q363" s="44">
        <v>0</v>
      </c>
      <c r="R363" s="37">
        <v>100</v>
      </c>
      <c r="S363" s="37" t="s">
        <v>1964</v>
      </c>
      <c r="T363" s="48">
        <v>60</v>
      </c>
      <c r="U363" s="30">
        <f>M363/W363</f>
        <v>33.940000000000005</v>
      </c>
      <c r="V363" s="41">
        <f t="shared" si="63"/>
        <v>2036.4000000000003</v>
      </c>
      <c r="W363" s="41">
        <f t="shared" si="71"/>
        <v>126960</v>
      </c>
      <c r="X363" s="41">
        <v>126960</v>
      </c>
      <c r="Y363" s="41">
        <v>0</v>
      </c>
      <c r="Z363" s="41">
        <v>0</v>
      </c>
      <c r="AA363" s="41">
        <v>0</v>
      </c>
      <c r="AB363" s="41">
        <v>0</v>
      </c>
      <c r="AC363" s="41">
        <v>0</v>
      </c>
      <c r="AD363" s="41">
        <v>0</v>
      </c>
      <c r="AE363" s="41">
        <v>0</v>
      </c>
      <c r="AF363" s="41">
        <v>0</v>
      </c>
      <c r="AG363" s="41">
        <v>0</v>
      </c>
      <c r="AH363" s="41">
        <v>0</v>
      </c>
      <c r="AI363" s="41">
        <v>0</v>
      </c>
      <c r="AJ363" s="41">
        <v>0</v>
      </c>
      <c r="AK363" s="41">
        <v>0</v>
      </c>
      <c r="AL363" s="41">
        <v>0</v>
      </c>
      <c r="AM363" s="41"/>
      <c r="AN363" s="41">
        <f t="shared" si="72"/>
        <v>2116</v>
      </c>
      <c r="AO363" s="41">
        <f t="shared" si="66"/>
        <v>2116</v>
      </c>
      <c r="AP363" s="40"/>
      <c r="AQ363" s="36">
        <v>45139</v>
      </c>
      <c r="AR363" s="36"/>
      <c r="AS363" s="36"/>
      <c r="AT363" s="36">
        <v>45153</v>
      </c>
      <c r="AU363" s="36"/>
      <c r="AV363" s="38"/>
      <c r="AW363" s="40" t="s">
        <v>49</v>
      </c>
    </row>
    <row r="364" spans="1:49" s="34" customFormat="1" ht="81.599999999999994" customHeight="1" x14ac:dyDescent="0.3">
      <c r="A364" s="35" t="s">
        <v>2250</v>
      </c>
      <c r="B364" s="36">
        <v>44960</v>
      </c>
      <c r="C364" s="37" t="s">
        <v>162</v>
      </c>
      <c r="D364" s="39" t="s">
        <v>2251</v>
      </c>
      <c r="E364" s="1" t="s">
        <v>2252</v>
      </c>
      <c r="F364" s="36">
        <v>44984</v>
      </c>
      <c r="G364" s="35" t="s">
        <v>2253</v>
      </c>
      <c r="H364" s="40" t="s">
        <v>571</v>
      </c>
      <c r="I364" s="40" t="s">
        <v>1181</v>
      </c>
      <c r="J364" s="41">
        <v>243625947.09999999</v>
      </c>
      <c r="K364" s="41">
        <v>131131540.09999999</v>
      </c>
      <c r="L364" s="30">
        <v>131145598.09999999</v>
      </c>
      <c r="M364" s="30">
        <f t="shared" si="69"/>
        <v>131145598.09999999</v>
      </c>
      <c r="N364" s="40" t="s">
        <v>2254</v>
      </c>
      <c r="O364" s="40" t="s">
        <v>2255</v>
      </c>
      <c r="P364" s="40" t="s">
        <v>47</v>
      </c>
      <c r="Q364" s="44">
        <v>100</v>
      </c>
      <c r="R364" s="37">
        <v>0</v>
      </c>
      <c r="S364" s="37" t="s">
        <v>1964</v>
      </c>
      <c r="T364" s="48">
        <v>30</v>
      </c>
      <c r="U364" s="30">
        <f>M364/W364</f>
        <v>7.81</v>
      </c>
      <c r="V364" s="41">
        <f t="shared" si="63"/>
        <v>234.29999999999998</v>
      </c>
      <c r="W364" s="41">
        <v>16792010</v>
      </c>
      <c r="X364" s="41">
        <v>16790210</v>
      </c>
      <c r="Y364" s="41">
        <v>0</v>
      </c>
      <c r="Z364" s="41">
        <v>0</v>
      </c>
      <c r="AA364" s="41">
        <v>0</v>
      </c>
      <c r="AB364" s="41">
        <v>0</v>
      </c>
      <c r="AC364" s="41">
        <v>0</v>
      </c>
      <c r="AD364" s="41">
        <v>0</v>
      </c>
      <c r="AE364" s="41">
        <v>0</v>
      </c>
      <c r="AF364" s="41">
        <v>0</v>
      </c>
      <c r="AG364" s="41">
        <v>0</v>
      </c>
      <c r="AH364" s="41">
        <v>0</v>
      </c>
      <c r="AI364" s="41">
        <v>0</v>
      </c>
      <c r="AJ364" s="41">
        <v>0</v>
      </c>
      <c r="AK364" s="41">
        <v>0</v>
      </c>
      <c r="AL364" s="41">
        <v>0</v>
      </c>
      <c r="AM364" s="41"/>
      <c r="AN364" s="41">
        <f t="shared" si="72"/>
        <v>559733.66666666663</v>
      </c>
      <c r="AO364" s="41">
        <f t="shared" si="66"/>
        <v>559734</v>
      </c>
      <c r="AP364" s="40"/>
      <c r="AQ364" s="36">
        <v>45047</v>
      </c>
      <c r="AR364" s="36"/>
      <c r="AS364" s="36"/>
      <c r="AT364" s="36">
        <v>45061</v>
      </c>
      <c r="AU364" s="36"/>
      <c r="AV364" s="38"/>
      <c r="AW364" s="40" t="s">
        <v>87</v>
      </c>
    </row>
    <row r="365" spans="1:49" s="34" customFormat="1" ht="81.599999999999994" customHeight="1" x14ac:dyDescent="0.3">
      <c r="A365" s="35" t="s">
        <v>2256</v>
      </c>
      <c r="B365" s="36">
        <v>44964</v>
      </c>
      <c r="C365" s="37" t="s">
        <v>162</v>
      </c>
      <c r="D365" s="39" t="s">
        <v>459</v>
      </c>
      <c r="E365" s="1" t="s">
        <v>2257</v>
      </c>
      <c r="F365" s="36" t="s">
        <v>459</v>
      </c>
      <c r="G365" s="37" t="s">
        <v>459</v>
      </c>
      <c r="H365" s="40" t="s">
        <v>459</v>
      </c>
      <c r="I365" s="40" t="s">
        <v>2258</v>
      </c>
      <c r="J365" s="41">
        <v>11424842</v>
      </c>
      <c r="K365" s="41">
        <v>0</v>
      </c>
      <c r="L365" s="30">
        <f t="shared" si="70"/>
        <v>0</v>
      </c>
      <c r="M365" s="30">
        <f t="shared" si="69"/>
        <v>0</v>
      </c>
      <c r="N365" s="40"/>
      <c r="O365" s="40"/>
      <c r="P365" s="40"/>
      <c r="Q365" s="44"/>
      <c r="R365" s="37"/>
      <c r="S365" s="37"/>
      <c r="T365" s="48"/>
      <c r="U365" s="30" t="e">
        <f>M365/W365</f>
        <v>#DIV/0!</v>
      </c>
      <c r="V365" s="41" t="e">
        <f t="shared" si="63"/>
        <v>#DIV/0!</v>
      </c>
      <c r="W365" s="41">
        <f t="shared" si="71"/>
        <v>0</v>
      </c>
      <c r="X365" s="41"/>
      <c r="Y365" s="41"/>
      <c r="Z365" s="41"/>
      <c r="AA365" s="41"/>
      <c r="AB365" s="41"/>
      <c r="AC365" s="41"/>
      <c r="AD365" s="41"/>
      <c r="AE365" s="41"/>
      <c r="AF365" s="41"/>
      <c r="AG365" s="41"/>
      <c r="AH365" s="41"/>
      <c r="AI365" s="41"/>
      <c r="AJ365" s="41"/>
      <c r="AK365" s="41"/>
      <c r="AL365" s="41"/>
      <c r="AM365" s="41"/>
      <c r="AN365" s="41" t="e">
        <f t="shared" si="72"/>
        <v>#DIV/0!</v>
      </c>
      <c r="AO365" s="41" t="e">
        <f t="shared" si="66"/>
        <v>#DIV/0!</v>
      </c>
      <c r="AP365" s="40"/>
      <c r="AQ365" s="36"/>
      <c r="AR365" s="36"/>
      <c r="AS365" s="36"/>
      <c r="AT365" s="36"/>
      <c r="AU365" s="36"/>
      <c r="AV365" s="38"/>
      <c r="AW365" s="40"/>
    </row>
    <row r="366" spans="1:49" s="34" customFormat="1" ht="81.599999999999994" customHeight="1" x14ac:dyDescent="0.3">
      <c r="A366" s="35" t="s">
        <v>2259</v>
      </c>
      <c r="B366" s="36">
        <v>44964</v>
      </c>
      <c r="C366" s="37" t="s">
        <v>162</v>
      </c>
      <c r="D366" s="39" t="s">
        <v>2260</v>
      </c>
      <c r="E366" s="1" t="s">
        <v>2261</v>
      </c>
      <c r="F366" s="36">
        <v>44986</v>
      </c>
      <c r="G366" s="35" t="s">
        <v>2262</v>
      </c>
      <c r="H366" s="40" t="s">
        <v>177</v>
      </c>
      <c r="I366" s="40" t="s">
        <v>1053</v>
      </c>
      <c r="J366" s="41">
        <v>173187191.08000001</v>
      </c>
      <c r="K366" s="41">
        <v>172290622.36000001</v>
      </c>
      <c r="L366" s="30">
        <f t="shared" si="70"/>
        <v>172290622.36000001</v>
      </c>
      <c r="M366" s="30">
        <f t="shared" si="69"/>
        <v>172290622.36000001</v>
      </c>
      <c r="N366" s="40" t="s">
        <v>2263</v>
      </c>
      <c r="O366" s="40" t="s">
        <v>2264</v>
      </c>
      <c r="P366" s="40" t="s">
        <v>47</v>
      </c>
      <c r="Q366" s="44">
        <v>100</v>
      </c>
      <c r="R366" s="37">
        <v>0</v>
      </c>
      <c r="S366" s="37" t="s">
        <v>1964</v>
      </c>
      <c r="T366" s="48">
        <v>30</v>
      </c>
      <c r="U366" s="30">
        <f>M366/W366</f>
        <v>23.060000000000002</v>
      </c>
      <c r="V366" s="41">
        <f t="shared" si="63"/>
        <v>691.80000000000007</v>
      </c>
      <c r="W366" s="41">
        <f t="shared" si="71"/>
        <v>7471406</v>
      </c>
      <c r="X366" s="41">
        <v>7471406</v>
      </c>
      <c r="Y366" s="41">
        <v>0</v>
      </c>
      <c r="Z366" s="41">
        <v>0</v>
      </c>
      <c r="AA366" s="41">
        <v>0</v>
      </c>
      <c r="AB366" s="41">
        <v>0</v>
      </c>
      <c r="AC366" s="41">
        <v>0</v>
      </c>
      <c r="AD366" s="41">
        <v>0</v>
      </c>
      <c r="AE366" s="41">
        <v>0</v>
      </c>
      <c r="AF366" s="41">
        <v>0</v>
      </c>
      <c r="AG366" s="41">
        <v>0</v>
      </c>
      <c r="AH366" s="41">
        <v>0</v>
      </c>
      <c r="AI366" s="41">
        <v>0</v>
      </c>
      <c r="AJ366" s="41">
        <v>0</v>
      </c>
      <c r="AK366" s="41">
        <v>0</v>
      </c>
      <c r="AL366" s="41">
        <v>0</v>
      </c>
      <c r="AM366" s="41"/>
      <c r="AN366" s="41">
        <f t="shared" si="72"/>
        <v>249046.86666666667</v>
      </c>
      <c r="AO366" s="41">
        <f t="shared" si="66"/>
        <v>249047</v>
      </c>
      <c r="AP366" s="40"/>
      <c r="AQ366" s="36">
        <v>45047</v>
      </c>
      <c r="AR366" s="36"/>
      <c r="AS366" s="36"/>
      <c r="AT366" s="36">
        <v>45061</v>
      </c>
      <c r="AU366" s="36"/>
      <c r="AV366" s="38"/>
      <c r="AW366" s="40" t="s">
        <v>87</v>
      </c>
    </row>
    <row r="367" spans="1:49" s="34" customFormat="1" ht="81.599999999999994" customHeight="1" x14ac:dyDescent="0.3">
      <c r="A367" s="35" t="s">
        <v>2265</v>
      </c>
      <c r="B367" s="36">
        <v>44964</v>
      </c>
      <c r="C367" s="37" t="s">
        <v>162</v>
      </c>
      <c r="D367" s="39" t="s">
        <v>2266</v>
      </c>
      <c r="E367" s="1" t="s">
        <v>2267</v>
      </c>
      <c r="F367" s="36">
        <v>44985</v>
      </c>
      <c r="G367" s="37" t="s">
        <v>2268</v>
      </c>
      <c r="H367" s="40" t="s">
        <v>555</v>
      </c>
      <c r="I367" s="40" t="s">
        <v>2269</v>
      </c>
      <c r="J367" s="41">
        <v>4569460</v>
      </c>
      <c r="K367" s="41">
        <v>4569460</v>
      </c>
      <c r="L367" s="30">
        <v>4713894</v>
      </c>
      <c r="M367" s="30">
        <f t="shared" si="69"/>
        <v>4713894</v>
      </c>
      <c r="N367" s="40" t="s">
        <v>2270</v>
      </c>
      <c r="O367" s="40" t="s">
        <v>1115</v>
      </c>
      <c r="P367" s="40" t="s">
        <v>47</v>
      </c>
      <c r="Q367" s="44">
        <v>100</v>
      </c>
      <c r="R367" s="37">
        <v>0</v>
      </c>
      <c r="S367" s="37" t="s">
        <v>219</v>
      </c>
      <c r="T367" s="48">
        <v>200</v>
      </c>
      <c r="U367" s="30">
        <f>M367/W367</f>
        <v>2.57</v>
      </c>
      <c r="V367" s="41">
        <f t="shared" si="63"/>
        <v>514</v>
      </c>
      <c r="W367" s="41">
        <f t="shared" si="71"/>
        <v>1834200</v>
      </c>
      <c r="X367" s="41">
        <v>1834200</v>
      </c>
      <c r="Y367" s="41">
        <v>0</v>
      </c>
      <c r="Z367" s="41">
        <v>0</v>
      </c>
      <c r="AA367" s="41">
        <v>0</v>
      </c>
      <c r="AB367" s="41">
        <v>0</v>
      </c>
      <c r="AC367" s="41">
        <v>0</v>
      </c>
      <c r="AD367" s="41">
        <v>0</v>
      </c>
      <c r="AE367" s="41">
        <v>0</v>
      </c>
      <c r="AF367" s="41">
        <v>0</v>
      </c>
      <c r="AG367" s="41">
        <v>0</v>
      </c>
      <c r="AH367" s="41">
        <v>0</v>
      </c>
      <c r="AI367" s="41">
        <v>0</v>
      </c>
      <c r="AJ367" s="41">
        <v>0</v>
      </c>
      <c r="AK367" s="41">
        <v>0</v>
      </c>
      <c r="AL367" s="41">
        <v>0</v>
      </c>
      <c r="AM367" s="41"/>
      <c r="AN367" s="41">
        <f t="shared" si="72"/>
        <v>9171</v>
      </c>
      <c r="AO367" s="41">
        <f t="shared" si="66"/>
        <v>9171</v>
      </c>
      <c r="AP367" s="40"/>
      <c r="AQ367" s="36">
        <v>45047</v>
      </c>
      <c r="AR367" s="36"/>
      <c r="AS367" s="36"/>
      <c r="AT367" s="36">
        <v>45061</v>
      </c>
      <c r="AU367" s="36"/>
      <c r="AV367" s="38"/>
      <c r="AW367" s="40" t="s">
        <v>49</v>
      </c>
    </row>
    <row r="368" spans="1:49" s="34" customFormat="1" ht="81.599999999999994" customHeight="1" x14ac:dyDescent="0.3">
      <c r="A368" s="35" t="s">
        <v>2271</v>
      </c>
      <c r="B368" s="36">
        <v>44964</v>
      </c>
      <c r="C368" s="37" t="s">
        <v>162</v>
      </c>
      <c r="D368" s="39" t="s">
        <v>2272</v>
      </c>
      <c r="E368" s="1" t="s">
        <v>2273</v>
      </c>
      <c r="F368" s="36">
        <v>44984</v>
      </c>
      <c r="G368" s="37" t="s">
        <v>2274</v>
      </c>
      <c r="H368" s="40" t="s">
        <v>571</v>
      </c>
      <c r="I368" s="40" t="s">
        <v>915</v>
      </c>
      <c r="J368" s="41">
        <v>16878672</v>
      </c>
      <c r="K368" s="41">
        <v>16032816</v>
      </c>
      <c r="L368" s="30">
        <f t="shared" si="70"/>
        <v>16032816</v>
      </c>
      <c r="M368" s="30">
        <f t="shared" si="69"/>
        <v>16032816</v>
      </c>
      <c r="N368" s="40" t="s">
        <v>916</v>
      </c>
      <c r="O368" s="40" t="s">
        <v>2275</v>
      </c>
      <c r="P368" s="40" t="s">
        <v>47</v>
      </c>
      <c r="Q368" s="44">
        <v>100</v>
      </c>
      <c r="R368" s="37">
        <v>0</v>
      </c>
      <c r="S368" s="37" t="s">
        <v>1964</v>
      </c>
      <c r="T368" s="48">
        <v>120</v>
      </c>
      <c r="U368" s="30">
        <f>M368/W368</f>
        <v>62.55</v>
      </c>
      <c r="V368" s="41">
        <f t="shared" ref="V368:V384" si="73">U368*T368</f>
        <v>7506</v>
      </c>
      <c r="W368" s="41">
        <f t="shared" si="71"/>
        <v>256320</v>
      </c>
      <c r="X368" s="41">
        <v>256320</v>
      </c>
      <c r="Y368" s="41">
        <v>0</v>
      </c>
      <c r="Z368" s="41">
        <v>0</v>
      </c>
      <c r="AA368" s="41">
        <v>0</v>
      </c>
      <c r="AB368" s="41">
        <v>0</v>
      </c>
      <c r="AC368" s="41">
        <v>0</v>
      </c>
      <c r="AD368" s="41">
        <v>0</v>
      </c>
      <c r="AE368" s="41">
        <v>0</v>
      </c>
      <c r="AF368" s="41">
        <v>0</v>
      </c>
      <c r="AG368" s="41">
        <v>0</v>
      </c>
      <c r="AH368" s="41">
        <v>0</v>
      </c>
      <c r="AI368" s="41">
        <v>0</v>
      </c>
      <c r="AJ368" s="41">
        <v>0</v>
      </c>
      <c r="AK368" s="41">
        <v>0</v>
      </c>
      <c r="AL368" s="41">
        <v>0</v>
      </c>
      <c r="AM368" s="41"/>
      <c r="AN368" s="41">
        <f t="shared" si="72"/>
        <v>2136</v>
      </c>
      <c r="AO368" s="41">
        <f t="shared" si="66"/>
        <v>2136</v>
      </c>
      <c r="AP368" s="40"/>
      <c r="AQ368" s="36">
        <v>45047</v>
      </c>
      <c r="AR368" s="36"/>
      <c r="AS368" s="36"/>
      <c r="AT368" s="36">
        <v>45061</v>
      </c>
      <c r="AU368" s="36"/>
      <c r="AV368" s="38"/>
      <c r="AW368" s="40" t="s">
        <v>87</v>
      </c>
    </row>
    <row r="369" spans="1:49" ht="81.599999999999994" customHeight="1" x14ac:dyDescent="0.3">
      <c r="A369" s="35" t="s">
        <v>2276</v>
      </c>
      <c r="B369" s="36">
        <v>44964</v>
      </c>
      <c r="C369" s="37" t="s">
        <v>162</v>
      </c>
      <c r="D369" s="39" t="s">
        <v>2277</v>
      </c>
      <c r="E369" s="1" t="s">
        <v>2278</v>
      </c>
      <c r="F369" s="36">
        <v>44984</v>
      </c>
      <c r="G369" s="37" t="s">
        <v>2279</v>
      </c>
      <c r="H369" s="40" t="s">
        <v>571</v>
      </c>
      <c r="I369" s="40" t="s">
        <v>1190</v>
      </c>
      <c r="J369" s="41">
        <v>3806992.8</v>
      </c>
      <c r="K369" s="41">
        <v>3806992.8</v>
      </c>
      <c r="L369" s="30">
        <f t="shared" si="70"/>
        <v>3806992.8</v>
      </c>
      <c r="M369" s="30">
        <f t="shared" si="69"/>
        <v>3806992.8</v>
      </c>
      <c r="N369" s="40" t="s">
        <v>2280</v>
      </c>
      <c r="O369" s="40" t="s">
        <v>2281</v>
      </c>
      <c r="P369" s="40" t="s">
        <v>47</v>
      </c>
      <c r="Q369" s="44">
        <v>100</v>
      </c>
      <c r="R369" s="37">
        <v>0</v>
      </c>
      <c r="S369" s="37" t="s">
        <v>1964</v>
      </c>
      <c r="T369" s="48">
        <v>60</v>
      </c>
      <c r="U369" s="30">
        <f>M369/W369</f>
        <v>4.5699999999999994</v>
      </c>
      <c r="V369" s="41">
        <f t="shared" si="73"/>
        <v>274.2</v>
      </c>
      <c r="W369" s="41">
        <f t="shared" si="71"/>
        <v>833040</v>
      </c>
      <c r="X369" s="41">
        <v>833040</v>
      </c>
      <c r="Y369" s="41">
        <v>0</v>
      </c>
      <c r="Z369" s="41">
        <v>0</v>
      </c>
      <c r="AA369" s="41">
        <v>0</v>
      </c>
      <c r="AB369" s="41">
        <v>0</v>
      </c>
      <c r="AC369" s="41">
        <v>0</v>
      </c>
      <c r="AD369" s="41">
        <v>0</v>
      </c>
      <c r="AE369" s="41">
        <v>0</v>
      </c>
      <c r="AF369" s="41">
        <v>0</v>
      </c>
      <c r="AG369" s="41">
        <v>0</v>
      </c>
      <c r="AH369" s="41">
        <v>0</v>
      </c>
      <c r="AI369" s="41">
        <v>0</v>
      </c>
      <c r="AJ369" s="41">
        <v>0</v>
      </c>
      <c r="AK369" s="41">
        <v>0</v>
      </c>
      <c r="AL369" s="41">
        <v>0</v>
      </c>
      <c r="AM369" s="41"/>
      <c r="AN369" s="41">
        <f t="shared" si="72"/>
        <v>13884</v>
      </c>
      <c r="AO369" s="41">
        <f t="shared" si="66"/>
        <v>13884</v>
      </c>
      <c r="AP369" s="40"/>
      <c r="AQ369" s="36">
        <v>45047</v>
      </c>
      <c r="AR369" s="36"/>
      <c r="AS369" s="36"/>
      <c r="AT369" s="36">
        <v>45061</v>
      </c>
      <c r="AU369" s="36"/>
      <c r="AV369" s="38"/>
      <c r="AW369" s="40" t="s">
        <v>87</v>
      </c>
    </row>
    <row r="370" spans="1:49" ht="81.599999999999994" customHeight="1" x14ac:dyDescent="0.3">
      <c r="A370" s="35" t="s">
        <v>2282</v>
      </c>
      <c r="B370" s="36">
        <v>44965</v>
      </c>
      <c r="C370" s="37" t="s">
        <v>162</v>
      </c>
      <c r="D370" s="39" t="s">
        <v>2283</v>
      </c>
      <c r="E370" s="1" t="s">
        <v>2284</v>
      </c>
      <c r="F370" s="36">
        <v>44991</v>
      </c>
      <c r="G370" s="35" t="s">
        <v>2285</v>
      </c>
      <c r="H370" s="40" t="s">
        <v>177</v>
      </c>
      <c r="I370" s="40" t="s">
        <v>1107</v>
      </c>
      <c r="J370" s="41">
        <v>88686628.799999997</v>
      </c>
      <c r="K370" s="41">
        <v>88686628.799999997</v>
      </c>
      <c r="L370" s="30">
        <v>89008735.200000003</v>
      </c>
      <c r="M370" s="30">
        <f t="shared" si="69"/>
        <v>89008735.200000003</v>
      </c>
      <c r="N370" s="40" t="s">
        <v>179</v>
      </c>
      <c r="O370" s="40" t="s">
        <v>1108</v>
      </c>
      <c r="P370" s="40" t="s">
        <v>1032</v>
      </c>
      <c r="Q370" s="44">
        <v>100</v>
      </c>
      <c r="R370" s="37">
        <v>0</v>
      </c>
      <c r="S370" s="37" t="s">
        <v>1964</v>
      </c>
      <c r="T370" s="48">
        <v>60</v>
      </c>
      <c r="U370" s="30">
        <f>M370/W370</f>
        <v>127.82000000000001</v>
      </c>
      <c r="V370" s="41">
        <f t="shared" si="73"/>
        <v>7669.2000000000007</v>
      </c>
      <c r="W370" s="41">
        <f t="shared" si="71"/>
        <v>696360</v>
      </c>
      <c r="X370" s="41">
        <f>694695+1665</f>
        <v>696360</v>
      </c>
      <c r="Y370" s="41">
        <v>0</v>
      </c>
      <c r="Z370" s="41">
        <v>0</v>
      </c>
      <c r="AA370" s="41">
        <v>0</v>
      </c>
      <c r="AB370" s="41">
        <v>0</v>
      </c>
      <c r="AC370" s="41">
        <v>0</v>
      </c>
      <c r="AD370" s="41">
        <v>0</v>
      </c>
      <c r="AE370" s="41">
        <v>0</v>
      </c>
      <c r="AF370" s="41">
        <v>0</v>
      </c>
      <c r="AG370" s="41">
        <v>0</v>
      </c>
      <c r="AH370" s="41">
        <v>0</v>
      </c>
      <c r="AI370" s="41">
        <v>0</v>
      </c>
      <c r="AJ370" s="41">
        <v>0</v>
      </c>
      <c r="AK370" s="41">
        <v>0</v>
      </c>
      <c r="AL370" s="41">
        <v>0</v>
      </c>
      <c r="AM370" s="41"/>
      <c r="AN370" s="41">
        <f t="shared" si="72"/>
        <v>11606</v>
      </c>
      <c r="AO370" s="41">
        <f t="shared" si="66"/>
        <v>11606</v>
      </c>
      <c r="AP370" s="40"/>
      <c r="AQ370" s="36">
        <v>45139</v>
      </c>
      <c r="AR370" s="36"/>
      <c r="AS370" s="36"/>
      <c r="AT370" s="36">
        <v>45153</v>
      </c>
      <c r="AU370" s="36"/>
      <c r="AV370" s="38"/>
      <c r="AW370" s="40" t="s">
        <v>49</v>
      </c>
    </row>
    <row r="371" spans="1:49" ht="81.599999999999994" customHeight="1" x14ac:dyDescent="0.3">
      <c r="A371" s="35" t="s">
        <v>2286</v>
      </c>
      <c r="B371" s="36">
        <v>44965</v>
      </c>
      <c r="C371" s="37" t="s">
        <v>162</v>
      </c>
      <c r="D371" s="39" t="s">
        <v>2287</v>
      </c>
      <c r="E371" s="1" t="s">
        <v>2288</v>
      </c>
      <c r="F371" s="36">
        <v>44991</v>
      </c>
      <c r="G371" s="35" t="s">
        <v>2289</v>
      </c>
      <c r="H371" s="40" t="s">
        <v>177</v>
      </c>
      <c r="I371" s="40" t="s">
        <v>2290</v>
      </c>
      <c r="J371" s="41">
        <v>61216234.200000003</v>
      </c>
      <c r="K371" s="41">
        <v>61216234.200000003</v>
      </c>
      <c r="L371" s="30">
        <f t="shared" si="70"/>
        <v>61216234.200000003</v>
      </c>
      <c r="M371" s="30">
        <f t="shared" si="69"/>
        <v>61216234.200000003</v>
      </c>
      <c r="N371" s="40" t="s">
        <v>1086</v>
      </c>
      <c r="O371" s="40" t="s">
        <v>1087</v>
      </c>
      <c r="P371" s="40" t="s">
        <v>199</v>
      </c>
      <c r="Q371" s="44">
        <v>100</v>
      </c>
      <c r="R371" s="37">
        <v>0</v>
      </c>
      <c r="S371" s="37" t="s">
        <v>1964</v>
      </c>
      <c r="T371" s="48">
        <v>30</v>
      </c>
      <c r="U371" s="30">
        <f>M371/W371</f>
        <v>387.42</v>
      </c>
      <c r="V371" s="41">
        <f t="shared" si="73"/>
        <v>11622.6</v>
      </c>
      <c r="W371" s="41">
        <f t="shared" si="71"/>
        <v>158010</v>
      </c>
      <c r="X371" s="41">
        <v>158010</v>
      </c>
      <c r="Y371" s="41">
        <v>0</v>
      </c>
      <c r="Z371" s="41">
        <v>0</v>
      </c>
      <c r="AA371" s="41">
        <v>0</v>
      </c>
      <c r="AB371" s="41">
        <v>0</v>
      </c>
      <c r="AC371" s="41">
        <v>0</v>
      </c>
      <c r="AD371" s="41">
        <v>0</v>
      </c>
      <c r="AE371" s="41">
        <v>0</v>
      </c>
      <c r="AF371" s="41">
        <v>0</v>
      </c>
      <c r="AG371" s="41">
        <v>0</v>
      </c>
      <c r="AH371" s="41">
        <v>0</v>
      </c>
      <c r="AI371" s="41">
        <v>0</v>
      </c>
      <c r="AJ371" s="41">
        <v>0</v>
      </c>
      <c r="AK371" s="41">
        <v>0</v>
      </c>
      <c r="AL371" s="41">
        <v>0</v>
      </c>
      <c r="AM371" s="41"/>
      <c r="AN371" s="41">
        <f t="shared" si="72"/>
        <v>5267</v>
      </c>
      <c r="AO371" s="41">
        <f t="shared" si="66"/>
        <v>5267</v>
      </c>
      <c r="AP371" s="40"/>
      <c r="AQ371" s="36">
        <v>45078</v>
      </c>
      <c r="AR371" s="36"/>
      <c r="AS371" s="36"/>
      <c r="AT371" s="36">
        <v>45092</v>
      </c>
      <c r="AU371" s="36"/>
      <c r="AV371" s="38"/>
      <c r="AW371" s="40" t="s">
        <v>87</v>
      </c>
    </row>
    <row r="372" spans="1:49" ht="81.599999999999994" customHeight="1" x14ac:dyDescent="0.3">
      <c r="A372" s="35" t="s">
        <v>2291</v>
      </c>
      <c r="B372" s="36">
        <v>44965</v>
      </c>
      <c r="C372" s="37" t="s">
        <v>2077</v>
      </c>
      <c r="D372" s="39" t="s">
        <v>2287</v>
      </c>
      <c r="E372" s="1" t="s">
        <v>2292</v>
      </c>
      <c r="F372" s="36">
        <v>44991</v>
      </c>
      <c r="G372" s="35" t="s">
        <v>2293</v>
      </c>
      <c r="H372" s="40" t="s">
        <v>2003</v>
      </c>
      <c r="I372" s="40" t="s">
        <v>2294</v>
      </c>
      <c r="J372" s="41">
        <v>11908356.199999999</v>
      </c>
      <c r="K372" s="41">
        <v>11908356.199999999</v>
      </c>
      <c r="L372" s="30">
        <v>11928975.699999999</v>
      </c>
      <c r="M372" s="30">
        <f t="shared" si="69"/>
        <v>11928975.699999999</v>
      </c>
      <c r="N372" s="40" t="s">
        <v>2295</v>
      </c>
      <c r="O372" s="40" t="s">
        <v>2296</v>
      </c>
      <c r="P372" s="40" t="s">
        <v>47</v>
      </c>
      <c r="Q372" s="44">
        <v>100</v>
      </c>
      <c r="R372" s="37">
        <v>0</v>
      </c>
      <c r="S372" s="37" t="s">
        <v>1964</v>
      </c>
      <c r="T372" s="48">
        <v>100</v>
      </c>
      <c r="U372" s="30">
        <f>M372/W372</f>
        <v>16.3</v>
      </c>
      <c r="V372" s="41">
        <f t="shared" si="73"/>
        <v>1630</v>
      </c>
      <c r="W372" s="41">
        <f t="shared" si="71"/>
        <v>731839</v>
      </c>
      <c r="X372" s="41">
        <v>511400</v>
      </c>
      <c r="Y372" s="41">
        <v>0</v>
      </c>
      <c r="Z372" s="41">
        <v>0</v>
      </c>
      <c r="AA372" s="41">
        <v>0</v>
      </c>
      <c r="AB372" s="41">
        <v>0</v>
      </c>
      <c r="AC372" s="41">
        <f>219174+1265</f>
        <v>220439</v>
      </c>
      <c r="AD372" s="41">
        <v>0</v>
      </c>
      <c r="AE372" s="41">
        <v>0</v>
      </c>
      <c r="AF372" s="41">
        <v>0</v>
      </c>
      <c r="AG372" s="41">
        <v>0</v>
      </c>
      <c r="AH372" s="41">
        <v>0</v>
      </c>
      <c r="AI372" s="41">
        <v>0</v>
      </c>
      <c r="AJ372" s="41">
        <v>0</v>
      </c>
      <c r="AK372" s="41">
        <v>0</v>
      </c>
      <c r="AL372" s="41">
        <v>0</v>
      </c>
      <c r="AM372" s="41"/>
      <c r="AN372" s="41">
        <f t="shared" si="72"/>
        <v>7318.39</v>
      </c>
      <c r="AO372" s="41">
        <f t="shared" si="66"/>
        <v>7319</v>
      </c>
      <c r="AP372" s="40"/>
      <c r="AQ372" s="36">
        <v>45047</v>
      </c>
      <c r="AR372" s="36">
        <v>45170</v>
      </c>
      <c r="AS372" s="36"/>
      <c r="AT372" s="36">
        <v>45061</v>
      </c>
      <c r="AU372" s="36">
        <v>45184</v>
      </c>
      <c r="AV372" s="38"/>
      <c r="AW372" s="40" t="s">
        <v>75</v>
      </c>
    </row>
    <row r="373" spans="1:49" ht="81.599999999999994" customHeight="1" x14ac:dyDescent="0.3">
      <c r="A373" s="35" t="s">
        <v>2297</v>
      </c>
      <c r="B373" s="36">
        <v>44965</v>
      </c>
      <c r="C373" s="37" t="s">
        <v>2077</v>
      </c>
      <c r="D373" s="39" t="s">
        <v>2298</v>
      </c>
      <c r="E373" s="1" t="s">
        <v>2299</v>
      </c>
      <c r="F373" s="36">
        <v>44994</v>
      </c>
      <c r="G373" s="37" t="s">
        <v>2300</v>
      </c>
      <c r="H373" s="40" t="s">
        <v>2081</v>
      </c>
      <c r="I373" s="40" t="s">
        <v>2301</v>
      </c>
      <c r="J373" s="41">
        <v>293140418.04000002</v>
      </c>
      <c r="K373" s="41">
        <v>291519962.44</v>
      </c>
      <c r="L373" s="30">
        <v>294577830.68000001</v>
      </c>
      <c r="M373" s="30">
        <f t="shared" si="69"/>
        <v>294577830.68000001</v>
      </c>
      <c r="N373" s="40" t="s">
        <v>2302</v>
      </c>
      <c r="O373" s="40" t="s">
        <v>2303</v>
      </c>
      <c r="P373" s="40" t="s">
        <v>47</v>
      </c>
      <c r="Q373" s="44">
        <v>100</v>
      </c>
      <c r="R373" s="37">
        <v>0</v>
      </c>
      <c r="S373" s="37" t="s">
        <v>1964</v>
      </c>
      <c r="T373" s="54" t="s">
        <v>2304</v>
      </c>
      <c r="U373" s="30">
        <f>M373/W373</f>
        <v>17.990000000000002</v>
      </c>
      <c r="V373" s="57" t="s">
        <v>2305</v>
      </c>
      <c r="W373" s="41">
        <f t="shared" si="71"/>
        <v>16374532</v>
      </c>
      <c r="X373" s="41">
        <v>11343100</v>
      </c>
      <c r="Y373" s="41">
        <v>0</v>
      </c>
      <c r="Z373" s="41">
        <v>0</v>
      </c>
      <c r="AA373" s="41">
        <v>0</v>
      </c>
      <c r="AB373" s="41">
        <v>0</v>
      </c>
      <c r="AC373" s="41">
        <v>5031432</v>
      </c>
      <c r="AD373" s="41">
        <v>0</v>
      </c>
      <c r="AE373" s="41">
        <v>0</v>
      </c>
      <c r="AF373" s="41">
        <v>0</v>
      </c>
      <c r="AG373" s="41">
        <v>0</v>
      </c>
      <c r="AH373" s="41">
        <v>0</v>
      </c>
      <c r="AI373" s="41">
        <v>0</v>
      </c>
      <c r="AJ373" s="41">
        <v>0</v>
      </c>
      <c r="AK373" s="41">
        <v>0</v>
      </c>
      <c r="AL373" s="41">
        <v>0</v>
      </c>
      <c r="AM373" s="41"/>
      <c r="AN373" s="57" t="s">
        <v>2306</v>
      </c>
      <c r="AO373" s="57" t="s">
        <v>2307</v>
      </c>
      <c r="AP373" s="40"/>
      <c r="AQ373" s="36">
        <v>45047</v>
      </c>
      <c r="AR373" s="36">
        <v>45170</v>
      </c>
      <c r="AS373" s="36"/>
      <c r="AT373" s="36">
        <v>45061</v>
      </c>
      <c r="AU373" s="36">
        <v>45184</v>
      </c>
      <c r="AV373" s="38"/>
      <c r="AW373" s="40" t="s">
        <v>49</v>
      </c>
    </row>
    <row r="374" spans="1:49" ht="133.5" customHeight="1" x14ac:dyDescent="0.3">
      <c r="A374" s="35" t="s">
        <v>2308</v>
      </c>
      <c r="B374" s="36">
        <v>44965</v>
      </c>
      <c r="C374" s="37" t="s">
        <v>2077</v>
      </c>
      <c r="D374" s="39" t="s">
        <v>2309</v>
      </c>
      <c r="E374" s="1" t="s">
        <v>2310</v>
      </c>
      <c r="F374" s="36">
        <v>44998</v>
      </c>
      <c r="G374" s="37" t="s">
        <v>2311</v>
      </c>
      <c r="H374" s="40" t="s">
        <v>2312</v>
      </c>
      <c r="I374" s="40" t="s">
        <v>2313</v>
      </c>
      <c r="J374" s="41">
        <v>2334182.62</v>
      </c>
      <c r="K374" s="41">
        <v>594042.63</v>
      </c>
      <c r="L374" s="30">
        <v>593836.88</v>
      </c>
      <c r="M374" s="30">
        <f t="shared" si="69"/>
        <v>593836.88</v>
      </c>
      <c r="N374" s="40" t="s">
        <v>2314</v>
      </c>
      <c r="O374" s="40" t="s">
        <v>2315</v>
      </c>
      <c r="P374" s="40" t="s">
        <v>47</v>
      </c>
      <c r="Q374" s="44">
        <v>100</v>
      </c>
      <c r="R374" s="37">
        <v>0</v>
      </c>
      <c r="S374" s="37" t="s">
        <v>1489</v>
      </c>
      <c r="T374" s="48">
        <v>12</v>
      </c>
      <c r="U374" s="30">
        <f>M374/W374</f>
        <v>22.36</v>
      </c>
      <c r="V374" s="41">
        <f t="shared" ref="V374:V380" si="74">U374*T374</f>
        <v>268.32</v>
      </c>
      <c r="W374" s="41">
        <f t="shared" si="71"/>
        <v>26558</v>
      </c>
      <c r="X374" s="41">
        <v>26558</v>
      </c>
      <c r="Y374" s="41">
        <v>0</v>
      </c>
      <c r="Z374" s="41">
        <v>0</v>
      </c>
      <c r="AA374" s="41">
        <v>0</v>
      </c>
      <c r="AB374" s="41">
        <v>0</v>
      </c>
      <c r="AC374" s="41">
        <v>0</v>
      </c>
      <c r="AD374" s="41">
        <v>0</v>
      </c>
      <c r="AE374" s="41">
        <v>0</v>
      </c>
      <c r="AF374" s="41">
        <v>0</v>
      </c>
      <c r="AG374" s="41">
        <v>0</v>
      </c>
      <c r="AH374" s="41">
        <v>0</v>
      </c>
      <c r="AI374" s="41">
        <v>0</v>
      </c>
      <c r="AJ374" s="41">
        <v>0</v>
      </c>
      <c r="AK374" s="41">
        <v>0</v>
      </c>
      <c r="AL374" s="41">
        <v>0</v>
      </c>
      <c r="AM374" s="41"/>
      <c r="AN374" s="41">
        <f t="shared" ref="AN374:AN380" si="75">W374/T374</f>
        <v>2213.1666666666665</v>
      </c>
      <c r="AO374" s="41">
        <f t="shared" ref="AO374:AO380" si="76">_xlfn.CEILING.MATH(AN374)</f>
        <v>2214</v>
      </c>
      <c r="AP374" s="40"/>
      <c r="AQ374" s="36">
        <v>45047</v>
      </c>
      <c r="AR374" s="36"/>
      <c r="AS374" s="36"/>
      <c r="AT374" s="36">
        <v>45061</v>
      </c>
      <c r="AU374" s="36"/>
      <c r="AV374" s="38"/>
      <c r="AW374" s="40" t="s">
        <v>49</v>
      </c>
    </row>
    <row r="375" spans="1:49" ht="72" x14ac:dyDescent="0.3">
      <c r="A375" s="35" t="s">
        <v>2316</v>
      </c>
      <c r="B375" s="36">
        <v>44966</v>
      </c>
      <c r="C375" s="37" t="s">
        <v>162</v>
      </c>
      <c r="D375" s="39" t="s">
        <v>2317</v>
      </c>
      <c r="E375" s="1" t="s">
        <v>2318</v>
      </c>
      <c r="F375" s="36">
        <v>45001</v>
      </c>
      <c r="G375" s="37" t="s">
        <v>2319</v>
      </c>
      <c r="H375" s="40" t="s">
        <v>186</v>
      </c>
      <c r="I375" s="40" t="s">
        <v>1166</v>
      </c>
      <c r="J375" s="41">
        <v>1128184523.4000001</v>
      </c>
      <c r="K375" s="41">
        <v>1128184523.4000001</v>
      </c>
      <c r="L375" s="30">
        <f t="shared" si="70"/>
        <v>1128184523.4000001</v>
      </c>
      <c r="M375" s="30">
        <f t="shared" si="69"/>
        <v>1128184523.4000001</v>
      </c>
      <c r="N375" s="40" t="s">
        <v>2320</v>
      </c>
      <c r="O375" s="40" t="s">
        <v>2321</v>
      </c>
      <c r="P375" s="40" t="s">
        <v>47</v>
      </c>
      <c r="Q375" s="44">
        <v>100</v>
      </c>
      <c r="R375" s="37">
        <v>0</v>
      </c>
      <c r="S375" s="37" t="s">
        <v>1964</v>
      </c>
      <c r="T375" s="48">
        <v>30</v>
      </c>
      <c r="U375" s="30">
        <f>M375/W375</f>
        <v>183.34</v>
      </c>
      <c r="V375" s="41">
        <f t="shared" si="74"/>
        <v>5500.2</v>
      </c>
      <c r="W375" s="41">
        <f t="shared" si="71"/>
        <v>6153510</v>
      </c>
      <c r="X375" s="41">
        <v>6153510</v>
      </c>
      <c r="Y375" s="41">
        <v>0</v>
      </c>
      <c r="Z375" s="41">
        <v>0</v>
      </c>
      <c r="AA375" s="41">
        <v>0</v>
      </c>
      <c r="AB375" s="41">
        <v>0</v>
      </c>
      <c r="AC375" s="41">
        <v>0</v>
      </c>
      <c r="AD375" s="41">
        <v>0</v>
      </c>
      <c r="AE375" s="41">
        <v>0</v>
      </c>
      <c r="AF375" s="41">
        <v>0</v>
      </c>
      <c r="AG375" s="41">
        <v>0</v>
      </c>
      <c r="AH375" s="41">
        <v>0</v>
      </c>
      <c r="AI375" s="41">
        <v>0</v>
      </c>
      <c r="AJ375" s="41">
        <v>0</v>
      </c>
      <c r="AK375" s="41">
        <v>0</v>
      </c>
      <c r="AL375" s="41">
        <v>0</v>
      </c>
      <c r="AM375" s="41"/>
      <c r="AN375" s="41">
        <f t="shared" si="75"/>
        <v>205117</v>
      </c>
      <c r="AO375" s="41">
        <f t="shared" si="76"/>
        <v>205117</v>
      </c>
      <c r="AP375" s="40"/>
      <c r="AQ375" s="36">
        <v>45078</v>
      </c>
      <c r="AR375" s="36"/>
      <c r="AS375" s="36"/>
      <c r="AT375" s="36">
        <v>45092</v>
      </c>
      <c r="AU375" s="36"/>
      <c r="AV375" s="38"/>
      <c r="AW375" s="40" t="s">
        <v>87</v>
      </c>
    </row>
    <row r="376" spans="1:49" ht="72" x14ac:dyDescent="0.3">
      <c r="A376" s="35" t="s">
        <v>2322</v>
      </c>
      <c r="B376" s="36">
        <v>44966</v>
      </c>
      <c r="C376" s="37" t="s">
        <v>162</v>
      </c>
      <c r="D376" s="39" t="s">
        <v>2323</v>
      </c>
      <c r="E376" s="1" t="s">
        <v>2324</v>
      </c>
      <c r="F376" s="36">
        <v>45001</v>
      </c>
      <c r="G376" s="37" t="s">
        <v>2325</v>
      </c>
      <c r="H376" s="40" t="s">
        <v>186</v>
      </c>
      <c r="I376" s="40" t="s">
        <v>1166</v>
      </c>
      <c r="J376" s="41">
        <v>1688874911.4000001</v>
      </c>
      <c r="K376" s="41">
        <v>1688874911.4000001</v>
      </c>
      <c r="L376" s="30">
        <f t="shared" si="70"/>
        <v>1688874911.4000001</v>
      </c>
      <c r="M376" s="30">
        <f t="shared" si="69"/>
        <v>1688874911.4000001</v>
      </c>
      <c r="N376" s="40" t="s">
        <v>2320</v>
      </c>
      <c r="O376" s="40" t="s">
        <v>2321</v>
      </c>
      <c r="P376" s="40" t="s">
        <v>47</v>
      </c>
      <c r="Q376" s="44">
        <v>100</v>
      </c>
      <c r="R376" s="37">
        <v>0</v>
      </c>
      <c r="S376" s="37" t="s">
        <v>1964</v>
      </c>
      <c r="T376" s="48">
        <v>30</v>
      </c>
      <c r="U376" s="30">
        <f>M376/W376</f>
        <v>183.34</v>
      </c>
      <c r="V376" s="41">
        <f t="shared" si="74"/>
        <v>5500.2</v>
      </c>
      <c r="W376" s="41">
        <f t="shared" si="71"/>
        <v>9211710</v>
      </c>
      <c r="X376" s="41">
        <v>9211710</v>
      </c>
      <c r="Y376" s="41">
        <v>0</v>
      </c>
      <c r="Z376" s="41">
        <v>0</v>
      </c>
      <c r="AA376" s="41">
        <v>0</v>
      </c>
      <c r="AB376" s="41">
        <v>0</v>
      </c>
      <c r="AC376" s="41">
        <v>0</v>
      </c>
      <c r="AD376" s="41">
        <v>0</v>
      </c>
      <c r="AE376" s="41">
        <v>0</v>
      </c>
      <c r="AF376" s="41">
        <v>0</v>
      </c>
      <c r="AG376" s="41">
        <v>0</v>
      </c>
      <c r="AH376" s="41">
        <v>0</v>
      </c>
      <c r="AI376" s="41">
        <v>0</v>
      </c>
      <c r="AJ376" s="41">
        <v>0</v>
      </c>
      <c r="AK376" s="41">
        <v>0</v>
      </c>
      <c r="AL376" s="41">
        <v>0</v>
      </c>
      <c r="AM376" s="41"/>
      <c r="AN376" s="41">
        <f t="shared" si="75"/>
        <v>307057</v>
      </c>
      <c r="AO376" s="41">
        <f t="shared" si="76"/>
        <v>307057</v>
      </c>
      <c r="AP376" s="40"/>
      <c r="AQ376" s="36">
        <v>45078</v>
      </c>
      <c r="AR376" s="36"/>
      <c r="AS376" s="36"/>
      <c r="AT376" s="36">
        <v>45092</v>
      </c>
      <c r="AU376" s="36"/>
      <c r="AV376" s="38"/>
      <c r="AW376" s="40" t="s">
        <v>87</v>
      </c>
    </row>
    <row r="377" spans="1:49" ht="78" x14ac:dyDescent="0.3">
      <c r="A377" s="35" t="s">
        <v>2326</v>
      </c>
      <c r="B377" s="36">
        <v>44966</v>
      </c>
      <c r="C377" s="37" t="s">
        <v>162</v>
      </c>
      <c r="D377" s="39" t="s">
        <v>459</v>
      </c>
      <c r="E377" s="1" t="s">
        <v>2327</v>
      </c>
      <c r="F377" s="36" t="s">
        <v>459</v>
      </c>
      <c r="G377" s="37" t="s">
        <v>459</v>
      </c>
      <c r="H377" s="40" t="s">
        <v>459</v>
      </c>
      <c r="I377" s="40" t="s">
        <v>2328</v>
      </c>
      <c r="J377" s="41">
        <v>980891599.89999998</v>
      </c>
      <c r="K377" s="41">
        <v>0</v>
      </c>
      <c r="L377" s="30">
        <f t="shared" si="70"/>
        <v>0</v>
      </c>
      <c r="M377" s="30">
        <f t="shared" si="69"/>
        <v>0</v>
      </c>
      <c r="N377" s="40"/>
      <c r="O377" s="40"/>
      <c r="P377" s="40"/>
      <c r="Q377" s="44"/>
      <c r="R377" s="37"/>
      <c r="S377" s="37"/>
      <c r="T377" s="48"/>
      <c r="U377" s="30" t="e">
        <f>M377/W377</f>
        <v>#DIV/0!</v>
      </c>
      <c r="V377" s="41" t="e">
        <f t="shared" si="74"/>
        <v>#DIV/0!</v>
      </c>
      <c r="W377" s="41">
        <f t="shared" si="71"/>
        <v>0</v>
      </c>
      <c r="X377" s="41">
        <v>0</v>
      </c>
      <c r="Y377" s="41">
        <v>0</v>
      </c>
      <c r="Z377" s="41">
        <v>0</v>
      </c>
      <c r="AA377" s="41">
        <v>0</v>
      </c>
      <c r="AB377" s="41">
        <v>0</v>
      </c>
      <c r="AC377" s="41">
        <v>0</v>
      </c>
      <c r="AD377" s="41">
        <v>0</v>
      </c>
      <c r="AE377" s="41">
        <v>0</v>
      </c>
      <c r="AF377" s="41">
        <v>0</v>
      </c>
      <c r="AG377" s="41">
        <v>0</v>
      </c>
      <c r="AH377" s="41">
        <v>0</v>
      </c>
      <c r="AI377" s="41">
        <v>0</v>
      </c>
      <c r="AJ377" s="41">
        <v>0</v>
      </c>
      <c r="AK377" s="41">
        <v>0</v>
      </c>
      <c r="AL377" s="41">
        <v>0</v>
      </c>
      <c r="AM377" s="41"/>
      <c r="AN377" s="41" t="e">
        <f t="shared" si="75"/>
        <v>#DIV/0!</v>
      </c>
      <c r="AO377" s="41" t="e">
        <f t="shared" si="76"/>
        <v>#DIV/0!</v>
      </c>
      <c r="AP377" s="40"/>
      <c r="AQ377" s="36"/>
      <c r="AR377" s="36"/>
      <c r="AS377" s="36"/>
      <c r="AT377" s="36"/>
      <c r="AU377" s="36"/>
      <c r="AV377" s="38"/>
      <c r="AW377" s="40"/>
    </row>
    <row r="378" spans="1:49" ht="105" customHeight="1" x14ac:dyDescent="0.3">
      <c r="A378" s="35" t="s">
        <v>2329</v>
      </c>
      <c r="B378" s="36">
        <v>44966</v>
      </c>
      <c r="C378" s="37" t="s">
        <v>162</v>
      </c>
      <c r="D378" s="39" t="s">
        <v>2330</v>
      </c>
      <c r="E378" s="1" t="s">
        <v>2331</v>
      </c>
      <c r="F378" s="36">
        <v>44999</v>
      </c>
      <c r="G378" s="37" t="s">
        <v>2332</v>
      </c>
      <c r="H378" s="40" t="s">
        <v>186</v>
      </c>
      <c r="I378" s="40" t="s">
        <v>2333</v>
      </c>
      <c r="J378" s="41">
        <v>799157569.5</v>
      </c>
      <c r="K378" s="41">
        <v>799157569.5</v>
      </c>
      <c r="L378" s="30">
        <v>801839517.45000005</v>
      </c>
      <c r="M378" s="30">
        <f t="shared" si="69"/>
        <v>801839517.45000005</v>
      </c>
      <c r="N378" s="40" t="s">
        <v>2334</v>
      </c>
      <c r="O378" s="40" t="s">
        <v>2335</v>
      </c>
      <c r="P378" s="40" t="s">
        <v>199</v>
      </c>
      <c r="Q378" s="44">
        <v>0</v>
      </c>
      <c r="R378" s="37">
        <v>100</v>
      </c>
      <c r="S378" s="37" t="s">
        <v>200</v>
      </c>
      <c r="T378" s="48">
        <v>30</v>
      </c>
      <c r="U378" s="30">
        <f>M378/W378</f>
        <v>524.33000000000004</v>
      </c>
      <c r="V378" s="41">
        <f t="shared" si="74"/>
        <v>15729.900000000001</v>
      </c>
      <c r="W378" s="41">
        <f t="shared" si="71"/>
        <v>1529265</v>
      </c>
      <c r="X378" s="41">
        <f>1524150+5115</f>
        <v>1529265</v>
      </c>
      <c r="Y378" s="41">
        <v>0</v>
      </c>
      <c r="Z378" s="41">
        <v>0</v>
      </c>
      <c r="AA378" s="41">
        <v>0</v>
      </c>
      <c r="AB378" s="41">
        <v>0</v>
      </c>
      <c r="AC378" s="41">
        <v>0</v>
      </c>
      <c r="AD378" s="41">
        <v>0</v>
      </c>
      <c r="AE378" s="41">
        <v>0</v>
      </c>
      <c r="AF378" s="41">
        <v>0</v>
      </c>
      <c r="AG378" s="41">
        <v>0</v>
      </c>
      <c r="AH378" s="41">
        <v>0</v>
      </c>
      <c r="AI378" s="41">
        <v>0</v>
      </c>
      <c r="AJ378" s="41">
        <v>0</v>
      </c>
      <c r="AK378" s="41">
        <v>0</v>
      </c>
      <c r="AL378" s="41">
        <v>0</v>
      </c>
      <c r="AM378" s="41"/>
      <c r="AN378" s="41">
        <f t="shared" si="75"/>
        <v>50975.5</v>
      </c>
      <c r="AO378" s="41">
        <f t="shared" si="76"/>
        <v>50976</v>
      </c>
      <c r="AP378" s="40"/>
      <c r="AQ378" s="36">
        <v>45107</v>
      </c>
      <c r="AR378" s="36"/>
      <c r="AS378" s="36"/>
      <c r="AT378" s="36">
        <v>45122</v>
      </c>
      <c r="AU378" s="36"/>
      <c r="AV378" s="38"/>
      <c r="AW378" s="40" t="s">
        <v>49</v>
      </c>
    </row>
    <row r="379" spans="1:49" ht="114.6" customHeight="1" x14ac:dyDescent="0.3">
      <c r="A379" s="35" t="s">
        <v>2336</v>
      </c>
      <c r="B379" s="36">
        <v>44966</v>
      </c>
      <c r="C379" s="37">
        <v>545</v>
      </c>
      <c r="D379" s="39" t="s">
        <v>2337</v>
      </c>
      <c r="E379" s="1" t="s">
        <v>2338</v>
      </c>
      <c r="F379" s="36">
        <v>44986</v>
      </c>
      <c r="G379" s="35" t="s">
        <v>2339</v>
      </c>
      <c r="H379" s="40" t="s">
        <v>224</v>
      </c>
      <c r="I379" s="40" t="s">
        <v>1358</v>
      </c>
      <c r="J379" s="41">
        <v>79295287.5</v>
      </c>
      <c r="K379" s="41">
        <v>79295287.5</v>
      </c>
      <c r="L379" s="30">
        <f t="shared" si="70"/>
        <v>79295287.5</v>
      </c>
      <c r="M379" s="30">
        <f t="shared" si="69"/>
        <v>79295287.5</v>
      </c>
      <c r="N379" s="40" t="s">
        <v>936</v>
      </c>
      <c r="O379" s="40" t="s">
        <v>2340</v>
      </c>
      <c r="P379" s="40" t="s">
        <v>348</v>
      </c>
      <c r="Q379" s="44">
        <v>0</v>
      </c>
      <c r="R379" s="37">
        <v>100</v>
      </c>
      <c r="S379" s="37" t="s">
        <v>219</v>
      </c>
      <c r="T379" s="48">
        <v>1</v>
      </c>
      <c r="U379" s="30">
        <f>M379/W379</f>
        <v>554512.5</v>
      </c>
      <c r="V379" s="41">
        <f t="shared" si="74"/>
        <v>554512.5</v>
      </c>
      <c r="W379" s="41">
        <f t="shared" si="71"/>
        <v>143</v>
      </c>
      <c r="X379" s="41">
        <v>143</v>
      </c>
      <c r="Y379" s="41">
        <v>0</v>
      </c>
      <c r="Z379" s="41">
        <v>0</v>
      </c>
      <c r="AA379" s="41">
        <v>0</v>
      </c>
      <c r="AB379" s="41">
        <v>0</v>
      </c>
      <c r="AC379" s="41">
        <v>0</v>
      </c>
      <c r="AD379" s="41">
        <v>0</v>
      </c>
      <c r="AE379" s="41">
        <v>0</v>
      </c>
      <c r="AF379" s="41">
        <v>0</v>
      </c>
      <c r="AG379" s="41">
        <v>0</v>
      </c>
      <c r="AH379" s="41">
        <v>0</v>
      </c>
      <c r="AI379" s="41">
        <v>0</v>
      </c>
      <c r="AJ379" s="41">
        <v>0</v>
      </c>
      <c r="AK379" s="41">
        <v>0</v>
      </c>
      <c r="AL379" s="41">
        <v>0</v>
      </c>
      <c r="AM379" s="41"/>
      <c r="AN379" s="41">
        <f t="shared" si="75"/>
        <v>143</v>
      </c>
      <c r="AO379" s="41">
        <f t="shared" si="76"/>
        <v>143</v>
      </c>
      <c r="AP379" s="40"/>
      <c r="AQ379" s="36">
        <v>45031</v>
      </c>
      <c r="AR379" s="36"/>
      <c r="AS379" s="36"/>
      <c r="AT379" s="36">
        <v>45046</v>
      </c>
      <c r="AU379" s="36"/>
      <c r="AV379" s="38"/>
      <c r="AW379" s="40" t="s">
        <v>87</v>
      </c>
    </row>
    <row r="380" spans="1:49" ht="114.6" customHeight="1" x14ac:dyDescent="0.3">
      <c r="A380" s="35" t="s">
        <v>2341</v>
      </c>
      <c r="B380" s="36">
        <v>44966</v>
      </c>
      <c r="C380" s="37">
        <v>545</v>
      </c>
      <c r="D380" s="39" t="s">
        <v>2342</v>
      </c>
      <c r="E380" s="1" t="s">
        <v>2343</v>
      </c>
      <c r="F380" s="36">
        <v>44986</v>
      </c>
      <c r="G380" s="35" t="s">
        <v>2344</v>
      </c>
      <c r="H380" s="40" t="s">
        <v>224</v>
      </c>
      <c r="I380" s="40" t="s">
        <v>1339</v>
      </c>
      <c r="J380" s="41">
        <v>278487000</v>
      </c>
      <c r="K380" s="41">
        <v>278487000</v>
      </c>
      <c r="L380" s="30">
        <f t="shared" si="70"/>
        <v>278487000</v>
      </c>
      <c r="M380" s="30">
        <f t="shared" si="69"/>
        <v>278487000</v>
      </c>
      <c r="N380" s="40" t="s">
        <v>1300</v>
      </c>
      <c r="O380" s="40" t="s">
        <v>1301</v>
      </c>
      <c r="P380" s="40" t="s">
        <v>1032</v>
      </c>
      <c r="Q380" s="44">
        <v>0</v>
      </c>
      <c r="R380" s="37">
        <v>100</v>
      </c>
      <c r="S380" s="37" t="s">
        <v>1964</v>
      </c>
      <c r="T380" s="48">
        <v>60</v>
      </c>
      <c r="U380" s="30">
        <f>M380/W380</f>
        <v>15950</v>
      </c>
      <c r="V380" s="41">
        <f t="shared" si="74"/>
        <v>957000</v>
      </c>
      <c r="W380" s="41">
        <f t="shared" si="71"/>
        <v>17460</v>
      </c>
      <c r="X380" s="41">
        <v>17460</v>
      </c>
      <c r="Y380" s="41">
        <v>0</v>
      </c>
      <c r="Z380" s="41">
        <v>0</v>
      </c>
      <c r="AA380" s="41">
        <v>0</v>
      </c>
      <c r="AB380" s="41">
        <v>0</v>
      </c>
      <c r="AC380" s="41">
        <v>0</v>
      </c>
      <c r="AD380" s="41">
        <v>0</v>
      </c>
      <c r="AE380" s="41">
        <v>0</v>
      </c>
      <c r="AF380" s="41">
        <v>0</v>
      </c>
      <c r="AG380" s="41">
        <v>0</v>
      </c>
      <c r="AH380" s="41">
        <v>0</v>
      </c>
      <c r="AI380" s="41">
        <v>0</v>
      </c>
      <c r="AJ380" s="41">
        <v>0</v>
      </c>
      <c r="AK380" s="41">
        <v>0</v>
      </c>
      <c r="AL380" s="41">
        <v>0</v>
      </c>
      <c r="AM380" s="41"/>
      <c r="AN380" s="41">
        <f t="shared" si="75"/>
        <v>291</v>
      </c>
      <c r="AO380" s="41">
        <f t="shared" si="76"/>
        <v>291</v>
      </c>
      <c r="AP380" s="40"/>
      <c r="AQ380" s="36">
        <v>45016</v>
      </c>
      <c r="AR380" s="36"/>
      <c r="AS380" s="36"/>
      <c r="AT380" s="36">
        <v>45031</v>
      </c>
      <c r="AU380" s="36"/>
      <c r="AV380" s="38"/>
      <c r="AW380" s="40" t="s">
        <v>87</v>
      </c>
    </row>
    <row r="381" spans="1:49" ht="114.6" customHeight="1" x14ac:dyDescent="0.3">
      <c r="A381" s="35" t="s">
        <v>2345</v>
      </c>
      <c r="B381" s="38">
        <v>44967</v>
      </c>
      <c r="C381" s="40" t="s">
        <v>2077</v>
      </c>
      <c r="D381" s="39" t="s">
        <v>2346</v>
      </c>
      <c r="E381" s="1" t="s">
        <v>2347</v>
      </c>
      <c r="F381" s="36">
        <v>44992</v>
      </c>
      <c r="G381" s="37" t="s">
        <v>2348</v>
      </c>
      <c r="H381" s="40" t="s">
        <v>971</v>
      </c>
      <c r="I381" s="40" t="s">
        <v>2349</v>
      </c>
      <c r="J381" s="57">
        <v>7232495</v>
      </c>
      <c r="K381" s="41">
        <v>7232495</v>
      </c>
      <c r="L381" s="30">
        <f t="shared" si="70"/>
        <v>7232495</v>
      </c>
      <c r="M381" s="30">
        <f t="shared" si="69"/>
        <v>7232495</v>
      </c>
      <c r="N381" s="40" t="s">
        <v>2350</v>
      </c>
      <c r="O381" s="40" t="s">
        <v>2351</v>
      </c>
      <c r="P381" s="40" t="s">
        <v>47</v>
      </c>
      <c r="Q381" s="44">
        <v>100</v>
      </c>
      <c r="R381" s="37">
        <v>0</v>
      </c>
      <c r="S381" s="37" t="s">
        <v>1964</v>
      </c>
      <c r="T381" s="54" t="s">
        <v>2352</v>
      </c>
      <c r="U381" s="30">
        <f>M381/W381</f>
        <v>3.58</v>
      </c>
      <c r="V381" s="57" t="s">
        <v>2353</v>
      </c>
      <c r="W381" s="41">
        <f t="shared" si="71"/>
        <v>2020250</v>
      </c>
      <c r="X381" s="41">
        <v>1414280</v>
      </c>
      <c r="Y381" s="41">
        <v>0</v>
      </c>
      <c r="Z381" s="41">
        <v>0</v>
      </c>
      <c r="AA381" s="41">
        <v>0</v>
      </c>
      <c r="AB381" s="41">
        <v>0</v>
      </c>
      <c r="AC381" s="41">
        <v>605970</v>
      </c>
      <c r="AD381" s="41">
        <v>0</v>
      </c>
      <c r="AE381" s="41">
        <v>0</v>
      </c>
      <c r="AF381" s="41">
        <v>0</v>
      </c>
      <c r="AG381" s="41">
        <v>0</v>
      </c>
      <c r="AH381" s="41">
        <v>0</v>
      </c>
      <c r="AI381" s="41">
        <v>0</v>
      </c>
      <c r="AJ381" s="41">
        <v>0</v>
      </c>
      <c r="AK381" s="41">
        <v>0</v>
      </c>
      <c r="AL381" s="41">
        <v>0</v>
      </c>
      <c r="AM381" s="41"/>
      <c r="AN381" s="57" t="s">
        <v>2354</v>
      </c>
      <c r="AO381" s="57" t="s">
        <v>2355</v>
      </c>
      <c r="AP381" s="40"/>
      <c r="AQ381" s="36">
        <v>45047</v>
      </c>
      <c r="AR381" s="36">
        <v>45170</v>
      </c>
      <c r="AS381" s="36"/>
      <c r="AT381" s="36">
        <v>45061</v>
      </c>
      <c r="AU381" s="36">
        <v>45184</v>
      </c>
      <c r="AV381" s="38"/>
      <c r="AW381" s="40" t="s">
        <v>87</v>
      </c>
    </row>
    <row r="382" spans="1:49" ht="114.6" customHeight="1" x14ac:dyDescent="0.3">
      <c r="A382" s="35" t="s">
        <v>2356</v>
      </c>
      <c r="B382" s="38">
        <v>44974</v>
      </c>
      <c r="C382" s="40" t="s">
        <v>2077</v>
      </c>
      <c r="D382" s="39" t="s">
        <v>2357</v>
      </c>
      <c r="E382" s="1" t="s">
        <v>2358</v>
      </c>
      <c r="F382" s="36">
        <v>45000</v>
      </c>
      <c r="G382" s="37" t="s">
        <v>2359</v>
      </c>
      <c r="H382" s="40" t="s">
        <v>571</v>
      </c>
      <c r="I382" s="40" t="s">
        <v>2360</v>
      </c>
      <c r="J382" s="57">
        <v>119427462</v>
      </c>
      <c r="K382" s="41">
        <v>119427462</v>
      </c>
      <c r="L382" s="30">
        <f t="shared" si="70"/>
        <v>119427462</v>
      </c>
      <c r="M382" s="30">
        <f t="shared" si="69"/>
        <v>119427462</v>
      </c>
      <c r="N382" s="40" t="s">
        <v>2361</v>
      </c>
      <c r="O382" s="40" t="s">
        <v>2362</v>
      </c>
      <c r="P382" s="40" t="s">
        <v>47</v>
      </c>
      <c r="Q382" s="44">
        <v>100</v>
      </c>
      <c r="R382" s="37">
        <v>0</v>
      </c>
      <c r="S382" s="37" t="s">
        <v>1964</v>
      </c>
      <c r="T382" s="54" t="s">
        <v>2363</v>
      </c>
      <c r="U382" s="30">
        <f>M382/W382</f>
        <v>83.58</v>
      </c>
      <c r="V382" s="41" t="e">
        <f t="shared" ref="V382:V436" si="77">U382*T382</f>
        <v>#VALUE!</v>
      </c>
      <c r="W382" s="41">
        <f t="shared" si="71"/>
        <v>1428900</v>
      </c>
      <c r="X382" s="41">
        <v>1002300</v>
      </c>
      <c r="Y382" s="41">
        <v>0</v>
      </c>
      <c r="Z382" s="41">
        <v>0</v>
      </c>
      <c r="AA382" s="41">
        <v>0</v>
      </c>
      <c r="AB382" s="41">
        <v>0</v>
      </c>
      <c r="AC382" s="41">
        <v>426600</v>
      </c>
      <c r="AD382" s="41">
        <v>0</v>
      </c>
      <c r="AE382" s="41">
        <v>0</v>
      </c>
      <c r="AF382" s="41">
        <v>0</v>
      </c>
      <c r="AG382" s="41">
        <v>0</v>
      </c>
      <c r="AH382" s="41">
        <v>0</v>
      </c>
      <c r="AI382" s="41">
        <v>0</v>
      </c>
      <c r="AJ382" s="41">
        <v>0</v>
      </c>
      <c r="AK382" s="41">
        <v>0</v>
      </c>
      <c r="AL382" s="41">
        <v>0</v>
      </c>
      <c r="AM382" s="41"/>
      <c r="AN382" s="41" t="e">
        <f>W382/T382</f>
        <v>#VALUE!</v>
      </c>
      <c r="AO382" s="41" t="e">
        <f t="shared" ref="AO382:AO441" si="78">_xlfn.CEILING.MATH(AN382)</f>
        <v>#VALUE!</v>
      </c>
      <c r="AP382" s="40"/>
      <c r="AQ382" s="36">
        <v>45047</v>
      </c>
      <c r="AR382" s="36">
        <v>45170</v>
      </c>
      <c r="AS382" s="36"/>
      <c r="AT382" s="36">
        <v>45061</v>
      </c>
      <c r="AU382" s="36">
        <v>45184</v>
      </c>
      <c r="AV382" s="38"/>
      <c r="AW382" s="40" t="s">
        <v>87</v>
      </c>
    </row>
    <row r="383" spans="1:49" ht="114.6" customHeight="1" x14ac:dyDescent="0.3">
      <c r="A383" s="35" t="s">
        <v>2364</v>
      </c>
      <c r="B383" s="38">
        <v>44974</v>
      </c>
      <c r="C383" s="40" t="s">
        <v>2077</v>
      </c>
      <c r="D383" s="39" t="s">
        <v>459</v>
      </c>
      <c r="E383" s="1" t="s">
        <v>2365</v>
      </c>
      <c r="F383" s="36" t="s">
        <v>459</v>
      </c>
      <c r="G383" s="37" t="s">
        <v>459</v>
      </c>
      <c r="H383" s="40" t="s">
        <v>459</v>
      </c>
      <c r="I383" s="40" t="s">
        <v>2366</v>
      </c>
      <c r="J383" s="57">
        <v>353204.5</v>
      </c>
      <c r="K383" s="41">
        <v>0</v>
      </c>
      <c r="L383" s="30">
        <f t="shared" si="70"/>
        <v>0</v>
      </c>
      <c r="M383" s="30">
        <f t="shared" si="69"/>
        <v>0</v>
      </c>
      <c r="N383" s="40"/>
      <c r="O383" s="40"/>
      <c r="P383" s="40"/>
      <c r="Q383" s="44"/>
      <c r="R383" s="37"/>
      <c r="S383" s="37"/>
      <c r="T383" s="48"/>
      <c r="U383" s="30" t="e">
        <f>M383/W383</f>
        <v>#DIV/0!</v>
      </c>
      <c r="V383" s="41" t="e">
        <f t="shared" si="77"/>
        <v>#DIV/0!</v>
      </c>
      <c r="W383" s="41">
        <f t="shared" si="71"/>
        <v>0</v>
      </c>
      <c r="X383" s="41">
        <v>0</v>
      </c>
      <c r="Y383" s="41">
        <v>0</v>
      </c>
      <c r="Z383" s="41">
        <v>0</v>
      </c>
      <c r="AA383" s="41">
        <v>0</v>
      </c>
      <c r="AB383" s="41">
        <v>0</v>
      </c>
      <c r="AC383" s="41">
        <v>0</v>
      </c>
      <c r="AD383" s="41">
        <v>0</v>
      </c>
      <c r="AE383" s="41">
        <v>0</v>
      </c>
      <c r="AF383" s="41">
        <v>0</v>
      </c>
      <c r="AG383" s="41">
        <v>0</v>
      </c>
      <c r="AH383" s="41">
        <v>0</v>
      </c>
      <c r="AI383" s="41">
        <v>0</v>
      </c>
      <c r="AJ383" s="41">
        <v>0</v>
      </c>
      <c r="AK383" s="41">
        <v>0</v>
      </c>
      <c r="AL383" s="41">
        <v>0</v>
      </c>
      <c r="AM383" s="41"/>
      <c r="AN383" s="41" t="e">
        <f>W383/T383</f>
        <v>#DIV/0!</v>
      </c>
      <c r="AO383" s="41" t="e">
        <f t="shared" si="78"/>
        <v>#DIV/0!</v>
      </c>
      <c r="AP383" s="40"/>
      <c r="AQ383" s="36"/>
      <c r="AR383" s="36"/>
      <c r="AS383" s="36"/>
      <c r="AT383" s="36"/>
      <c r="AU383" s="36"/>
      <c r="AV383" s="38"/>
      <c r="AW383" s="40"/>
    </row>
    <row r="384" spans="1:49" ht="114.6" customHeight="1" x14ac:dyDescent="0.3">
      <c r="A384" s="35" t="s">
        <v>2367</v>
      </c>
      <c r="B384" s="38">
        <v>44974</v>
      </c>
      <c r="C384" s="40" t="s">
        <v>2077</v>
      </c>
      <c r="D384" s="39" t="s">
        <v>2368</v>
      </c>
      <c r="E384" s="1" t="s">
        <v>2369</v>
      </c>
      <c r="F384" s="36">
        <v>45000</v>
      </c>
      <c r="G384" s="37" t="s">
        <v>2370</v>
      </c>
      <c r="H384" s="40" t="s">
        <v>571</v>
      </c>
      <c r="I384" s="40" t="s">
        <v>2371</v>
      </c>
      <c r="J384" s="57">
        <v>111157200</v>
      </c>
      <c r="K384" s="41">
        <v>111157200</v>
      </c>
      <c r="L384" s="30">
        <f t="shared" si="70"/>
        <v>111157200</v>
      </c>
      <c r="M384" s="30">
        <f t="shared" si="69"/>
        <v>111157200</v>
      </c>
      <c r="N384" s="40" t="s">
        <v>2372</v>
      </c>
      <c r="O384" s="40" t="s">
        <v>2373</v>
      </c>
      <c r="P384" s="40" t="s">
        <v>47</v>
      </c>
      <c r="Q384" s="44">
        <v>100</v>
      </c>
      <c r="R384" s="37">
        <v>0</v>
      </c>
      <c r="S384" s="37" t="s">
        <v>1964</v>
      </c>
      <c r="T384" s="48">
        <v>100</v>
      </c>
      <c r="U384" s="30">
        <f>M384/W384</f>
        <v>396</v>
      </c>
      <c r="V384" s="41">
        <f t="shared" si="77"/>
        <v>39600</v>
      </c>
      <c r="W384" s="41">
        <f t="shared" si="71"/>
        <v>280700</v>
      </c>
      <c r="X384" s="41">
        <v>280700</v>
      </c>
      <c r="Y384" s="41">
        <v>0</v>
      </c>
      <c r="Z384" s="41">
        <v>0</v>
      </c>
      <c r="AA384" s="41">
        <v>0</v>
      </c>
      <c r="AB384" s="41">
        <v>0</v>
      </c>
      <c r="AC384" s="41">
        <v>0</v>
      </c>
      <c r="AD384" s="41">
        <v>0</v>
      </c>
      <c r="AE384" s="41">
        <v>0</v>
      </c>
      <c r="AF384" s="41">
        <v>0</v>
      </c>
      <c r="AG384" s="41">
        <v>0</v>
      </c>
      <c r="AH384" s="41">
        <v>0</v>
      </c>
      <c r="AI384" s="41">
        <v>0</v>
      </c>
      <c r="AJ384" s="41">
        <v>0</v>
      </c>
      <c r="AK384" s="41">
        <v>0</v>
      </c>
      <c r="AL384" s="41">
        <v>0</v>
      </c>
      <c r="AM384" s="41"/>
      <c r="AN384" s="41">
        <f>W384/T384</f>
        <v>2807</v>
      </c>
      <c r="AO384" s="41">
        <f t="shared" si="78"/>
        <v>2807</v>
      </c>
      <c r="AP384" s="40"/>
      <c r="AQ384" s="36">
        <v>45047</v>
      </c>
      <c r="AR384" s="36"/>
      <c r="AS384" s="36"/>
      <c r="AT384" s="36">
        <v>45061</v>
      </c>
      <c r="AU384" s="36"/>
      <c r="AV384" s="38"/>
      <c r="AW384" s="40" t="s">
        <v>87</v>
      </c>
    </row>
    <row r="385" spans="1:49" ht="114.6" customHeight="1" x14ac:dyDescent="0.3">
      <c r="A385" s="35" t="s">
        <v>2374</v>
      </c>
      <c r="B385" s="38">
        <v>44974</v>
      </c>
      <c r="C385" s="40" t="s">
        <v>2077</v>
      </c>
      <c r="D385" s="39" t="s">
        <v>459</v>
      </c>
      <c r="E385" s="1" t="s">
        <v>2375</v>
      </c>
      <c r="F385" s="36" t="s">
        <v>459</v>
      </c>
      <c r="G385" s="37" t="s">
        <v>459</v>
      </c>
      <c r="H385" s="40" t="s">
        <v>459</v>
      </c>
      <c r="I385" s="40" t="s">
        <v>2376</v>
      </c>
      <c r="J385" s="57">
        <v>4045426</v>
      </c>
      <c r="K385" s="41">
        <v>0</v>
      </c>
      <c r="L385" s="30">
        <f t="shared" si="70"/>
        <v>0</v>
      </c>
      <c r="M385" s="30">
        <f t="shared" si="69"/>
        <v>0</v>
      </c>
      <c r="N385" s="40"/>
      <c r="O385" s="40"/>
      <c r="P385" s="40"/>
      <c r="Q385" s="44"/>
      <c r="R385" s="37"/>
      <c r="S385" s="37"/>
      <c r="T385" s="48"/>
      <c r="U385" s="30" t="e">
        <f>M385/W385</f>
        <v>#DIV/0!</v>
      </c>
      <c r="V385" s="41" t="e">
        <f t="shared" si="77"/>
        <v>#DIV/0!</v>
      </c>
      <c r="W385" s="41">
        <f t="shared" si="71"/>
        <v>0</v>
      </c>
      <c r="X385" s="41">
        <v>0</v>
      </c>
      <c r="Y385" s="41">
        <v>0</v>
      </c>
      <c r="Z385" s="41">
        <v>0</v>
      </c>
      <c r="AA385" s="41">
        <v>0</v>
      </c>
      <c r="AB385" s="41">
        <v>0</v>
      </c>
      <c r="AC385" s="41">
        <v>0</v>
      </c>
      <c r="AD385" s="41">
        <v>0</v>
      </c>
      <c r="AE385" s="41">
        <v>0</v>
      </c>
      <c r="AF385" s="41">
        <v>0</v>
      </c>
      <c r="AG385" s="41">
        <v>0</v>
      </c>
      <c r="AH385" s="41">
        <v>0</v>
      </c>
      <c r="AI385" s="41">
        <v>0</v>
      </c>
      <c r="AJ385" s="41">
        <v>0</v>
      </c>
      <c r="AK385" s="41">
        <v>0</v>
      </c>
      <c r="AL385" s="41">
        <v>0</v>
      </c>
      <c r="AM385" s="41"/>
      <c r="AN385" s="41" t="e">
        <f>W385/T385</f>
        <v>#DIV/0!</v>
      </c>
      <c r="AO385" s="41" t="e">
        <f t="shared" si="78"/>
        <v>#DIV/0!</v>
      </c>
      <c r="AP385" s="40"/>
      <c r="AQ385" s="36"/>
      <c r="AR385" s="36"/>
      <c r="AS385" s="36"/>
      <c r="AT385" s="36"/>
      <c r="AU385" s="36"/>
      <c r="AV385" s="38"/>
      <c r="AW385" s="40"/>
    </row>
    <row r="386" spans="1:49" ht="114.6" customHeight="1" x14ac:dyDescent="0.3">
      <c r="A386" s="35" t="s">
        <v>2377</v>
      </c>
      <c r="B386" s="38">
        <v>44974</v>
      </c>
      <c r="C386" s="40">
        <v>545</v>
      </c>
      <c r="D386" s="39" t="s">
        <v>2378</v>
      </c>
      <c r="E386" s="1" t="s">
        <v>2379</v>
      </c>
      <c r="F386" s="36">
        <v>44999</v>
      </c>
      <c r="G386" s="37" t="s">
        <v>2380</v>
      </c>
      <c r="H386" s="40" t="s">
        <v>224</v>
      </c>
      <c r="I386" s="40" t="s">
        <v>2381</v>
      </c>
      <c r="J386" s="57">
        <v>29557866</v>
      </c>
      <c r="K386" s="41">
        <v>29557866</v>
      </c>
      <c r="L386" s="30">
        <f t="shared" si="70"/>
        <v>29557866</v>
      </c>
      <c r="M386" s="30">
        <f t="shared" si="69"/>
        <v>29557866</v>
      </c>
      <c r="N386" s="40" t="s">
        <v>2382</v>
      </c>
      <c r="O386" s="40" t="s">
        <v>2383</v>
      </c>
      <c r="P386" s="40" t="s">
        <v>348</v>
      </c>
      <c r="Q386" s="44">
        <v>0</v>
      </c>
      <c r="R386" s="37">
        <v>100</v>
      </c>
      <c r="S386" s="37" t="s">
        <v>219</v>
      </c>
      <c r="T386" s="54" t="s">
        <v>2384</v>
      </c>
      <c r="U386" s="30">
        <f>M386/W386</f>
        <v>668.73</v>
      </c>
      <c r="V386" s="57" t="s">
        <v>2385</v>
      </c>
      <c r="W386" s="41">
        <f t="shared" si="71"/>
        <v>44200</v>
      </c>
      <c r="X386" s="41">
        <v>44200</v>
      </c>
      <c r="Y386" s="41">
        <v>0</v>
      </c>
      <c r="Z386" s="41">
        <v>0</v>
      </c>
      <c r="AA386" s="41">
        <v>0</v>
      </c>
      <c r="AB386" s="41">
        <v>0</v>
      </c>
      <c r="AC386" s="41">
        <v>0</v>
      </c>
      <c r="AD386" s="41">
        <v>0</v>
      </c>
      <c r="AE386" s="41">
        <v>0</v>
      </c>
      <c r="AF386" s="41">
        <v>0</v>
      </c>
      <c r="AG386" s="41">
        <v>0</v>
      </c>
      <c r="AH386" s="41">
        <v>0</v>
      </c>
      <c r="AI386" s="41">
        <v>0</v>
      </c>
      <c r="AJ386" s="41">
        <v>0</v>
      </c>
      <c r="AK386" s="41">
        <v>0</v>
      </c>
      <c r="AL386" s="41">
        <v>0</v>
      </c>
      <c r="AM386" s="41"/>
      <c r="AN386" s="57" t="s">
        <v>2386</v>
      </c>
      <c r="AO386" s="57" t="s">
        <v>2386</v>
      </c>
      <c r="AP386" s="40" t="s">
        <v>1353</v>
      </c>
      <c r="AQ386" s="36">
        <v>45031</v>
      </c>
      <c r="AR386" s="36"/>
      <c r="AS386" s="36"/>
      <c r="AT386" s="36">
        <v>45046</v>
      </c>
      <c r="AU386" s="36"/>
      <c r="AV386" s="38"/>
      <c r="AW386" s="40" t="s">
        <v>87</v>
      </c>
    </row>
    <row r="387" spans="1:49" ht="93" customHeight="1" x14ac:dyDescent="0.3">
      <c r="A387" s="35" t="s">
        <v>2387</v>
      </c>
      <c r="B387" s="38">
        <v>44974</v>
      </c>
      <c r="C387" s="40">
        <v>545</v>
      </c>
      <c r="D387" s="39" t="s">
        <v>2388</v>
      </c>
      <c r="E387" s="1" t="s">
        <v>2389</v>
      </c>
      <c r="F387" s="36">
        <v>44999</v>
      </c>
      <c r="G387" s="37" t="s">
        <v>2390</v>
      </c>
      <c r="H387" s="40" t="s">
        <v>224</v>
      </c>
      <c r="I387" s="40" t="s">
        <v>2391</v>
      </c>
      <c r="J387" s="57">
        <v>175788777.30000001</v>
      </c>
      <c r="K387" s="41">
        <v>175788777.30000001</v>
      </c>
      <c r="L387" s="30">
        <f t="shared" si="70"/>
        <v>175788777.30000001</v>
      </c>
      <c r="M387" s="30">
        <f t="shared" si="69"/>
        <v>175788777.30000001</v>
      </c>
      <c r="N387" s="40" t="s">
        <v>2392</v>
      </c>
      <c r="O387" s="40" t="s">
        <v>2393</v>
      </c>
      <c r="P387" s="40" t="s">
        <v>2394</v>
      </c>
      <c r="Q387" s="44">
        <v>0</v>
      </c>
      <c r="R387" s="37">
        <v>100</v>
      </c>
      <c r="S387" s="37" t="s">
        <v>1489</v>
      </c>
      <c r="T387" s="48">
        <v>30</v>
      </c>
      <c r="U387" s="30">
        <f>M387/W387</f>
        <v>25813.33</v>
      </c>
      <c r="V387" s="41">
        <f t="shared" si="77"/>
        <v>774399.9</v>
      </c>
      <c r="W387" s="41">
        <f t="shared" si="71"/>
        <v>6810</v>
      </c>
      <c r="X387" s="41">
        <v>6810</v>
      </c>
      <c r="Y387" s="41">
        <v>0</v>
      </c>
      <c r="Z387" s="41">
        <v>0</v>
      </c>
      <c r="AA387" s="41">
        <v>0</v>
      </c>
      <c r="AB387" s="41">
        <v>0</v>
      </c>
      <c r="AC387" s="41">
        <v>0</v>
      </c>
      <c r="AD387" s="41">
        <v>0</v>
      </c>
      <c r="AE387" s="41">
        <v>0</v>
      </c>
      <c r="AF387" s="41">
        <v>0</v>
      </c>
      <c r="AG387" s="41">
        <v>0</v>
      </c>
      <c r="AH387" s="41">
        <v>0</v>
      </c>
      <c r="AI387" s="41">
        <v>0</v>
      </c>
      <c r="AJ387" s="41">
        <v>0</v>
      </c>
      <c r="AK387" s="41">
        <v>0</v>
      </c>
      <c r="AL387" s="41">
        <v>0</v>
      </c>
      <c r="AM387" s="41"/>
      <c r="AN387" s="41">
        <f t="shared" ref="AN387:AN434" si="79">W387/T387</f>
        <v>227</v>
      </c>
      <c r="AO387" s="41">
        <f t="shared" si="78"/>
        <v>227</v>
      </c>
      <c r="AP387" s="40" t="s">
        <v>1409</v>
      </c>
      <c r="AQ387" s="36">
        <v>45061</v>
      </c>
      <c r="AR387" s="36"/>
      <c r="AS387" s="36"/>
      <c r="AT387" s="36">
        <v>45076</v>
      </c>
      <c r="AU387" s="36"/>
      <c r="AV387" s="38"/>
      <c r="AW387" s="40" t="s">
        <v>87</v>
      </c>
    </row>
    <row r="388" spans="1:49" ht="93" customHeight="1" x14ac:dyDescent="0.3">
      <c r="A388" s="35" t="s">
        <v>2395</v>
      </c>
      <c r="B388" s="38">
        <v>44974</v>
      </c>
      <c r="C388" s="40">
        <v>545</v>
      </c>
      <c r="D388" s="39" t="s">
        <v>2396</v>
      </c>
      <c r="E388" s="1" t="s">
        <v>2397</v>
      </c>
      <c r="F388" s="36">
        <v>44999</v>
      </c>
      <c r="G388" s="37" t="s">
        <v>2398</v>
      </c>
      <c r="H388" s="40" t="s">
        <v>224</v>
      </c>
      <c r="I388" s="40" t="s">
        <v>1706</v>
      </c>
      <c r="J388" s="57">
        <v>179660776.80000001</v>
      </c>
      <c r="K388" s="41">
        <v>179660776.80000001</v>
      </c>
      <c r="L388" s="30">
        <f t="shared" si="70"/>
        <v>179660776.80000001</v>
      </c>
      <c r="M388" s="30">
        <f t="shared" si="69"/>
        <v>179660776.80000001</v>
      </c>
      <c r="N388" s="40" t="s">
        <v>2392</v>
      </c>
      <c r="O388" s="40" t="s">
        <v>2393</v>
      </c>
      <c r="P388" s="40" t="s">
        <v>2394</v>
      </c>
      <c r="Q388" s="44">
        <v>0</v>
      </c>
      <c r="R388" s="37">
        <v>100</v>
      </c>
      <c r="S388" s="37" t="s">
        <v>1489</v>
      </c>
      <c r="T388" s="48">
        <v>30</v>
      </c>
      <c r="U388" s="30">
        <f>M388/W388</f>
        <v>25813.33</v>
      </c>
      <c r="V388" s="41">
        <f t="shared" si="77"/>
        <v>774399.9</v>
      </c>
      <c r="W388" s="41">
        <f t="shared" si="71"/>
        <v>6960</v>
      </c>
      <c r="X388" s="41">
        <v>6960</v>
      </c>
      <c r="Y388" s="41">
        <v>0</v>
      </c>
      <c r="Z388" s="41">
        <v>0</v>
      </c>
      <c r="AA388" s="41">
        <v>0</v>
      </c>
      <c r="AB388" s="41">
        <v>0</v>
      </c>
      <c r="AC388" s="41">
        <v>0</v>
      </c>
      <c r="AD388" s="41">
        <v>0</v>
      </c>
      <c r="AE388" s="41">
        <v>0</v>
      </c>
      <c r="AF388" s="41">
        <v>0</v>
      </c>
      <c r="AG388" s="41">
        <v>0</v>
      </c>
      <c r="AH388" s="41">
        <v>0</v>
      </c>
      <c r="AI388" s="41">
        <v>0</v>
      </c>
      <c r="AJ388" s="41">
        <v>0</v>
      </c>
      <c r="AK388" s="41">
        <v>0</v>
      </c>
      <c r="AL388" s="41">
        <v>0</v>
      </c>
      <c r="AM388" s="41"/>
      <c r="AN388" s="41">
        <f t="shared" si="79"/>
        <v>232</v>
      </c>
      <c r="AO388" s="41">
        <f t="shared" si="78"/>
        <v>232</v>
      </c>
      <c r="AP388" s="40" t="s">
        <v>1353</v>
      </c>
      <c r="AQ388" s="36">
        <v>45061</v>
      </c>
      <c r="AR388" s="36"/>
      <c r="AS388" s="36"/>
      <c r="AT388" s="36">
        <v>45076</v>
      </c>
      <c r="AU388" s="36"/>
      <c r="AV388" s="38"/>
      <c r="AW388" s="40" t="s">
        <v>87</v>
      </c>
    </row>
    <row r="389" spans="1:49" ht="93" customHeight="1" x14ac:dyDescent="0.3">
      <c r="A389" s="35" t="s">
        <v>2399</v>
      </c>
      <c r="B389" s="38">
        <v>44974</v>
      </c>
      <c r="C389" s="40">
        <v>545</v>
      </c>
      <c r="D389" s="39" t="s">
        <v>2400</v>
      </c>
      <c r="E389" s="1" t="s">
        <v>2401</v>
      </c>
      <c r="F389" s="36">
        <v>44999</v>
      </c>
      <c r="G389" s="37" t="s">
        <v>2402</v>
      </c>
      <c r="H389" s="40" t="s">
        <v>224</v>
      </c>
      <c r="I389" s="40" t="s">
        <v>2391</v>
      </c>
      <c r="J389" s="57">
        <v>295820761.80000001</v>
      </c>
      <c r="K389" s="41">
        <v>295820761.80000001</v>
      </c>
      <c r="L389" s="30">
        <v>350803154.69999999</v>
      </c>
      <c r="M389" s="30">
        <f t="shared" si="69"/>
        <v>350803154.69999999</v>
      </c>
      <c r="N389" s="40" t="s">
        <v>2392</v>
      </c>
      <c r="O389" s="40" t="s">
        <v>2393</v>
      </c>
      <c r="P389" s="40" t="s">
        <v>2394</v>
      </c>
      <c r="Q389" s="44">
        <v>0</v>
      </c>
      <c r="R389" s="37">
        <v>100</v>
      </c>
      <c r="S389" s="37" t="s">
        <v>1489</v>
      </c>
      <c r="T389" s="48">
        <v>30</v>
      </c>
      <c r="U389" s="30">
        <f>M389/W389</f>
        <v>25813.329999999998</v>
      </c>
      <c r="V389" s="41">
        <f t="shared" si="77"/>
        <v>774399.89999999991</v>
      </c>
      <c r="W389" s="41">
        <f t="shared" si="71"/>
        <v>13590</v>
      </c>
      <c r="X389" s="41">
        <v>13590</v>
      </c>
      <c r="Y389" s="41">
        <v>0</v>
      </c>
      <c r="Z389" s="41">
        <v>0</v>
      </c>
      <c r="AA389" s="41">
        <v>0</v>
      </c>
      <c r="AB389" s="41">
        <v>0</v>
      </c>
      <c r="AC389" s="41">
        <v>0</v>
      </c>
      <c r="AD389" s="41">
        <v>0</v>
      </c>
      <c r="AE389" s="41">
        <v>0</v>
      </c>
      <c r="AF389" s="41">
        <v>0</v>
      </c>
      <c r="AG389" s="41">
        <v>0</v>
      </c>
      <c r="AH389" s="41">
        <v>0</v>
      </c>
      <c r="AI389" s="41">
        <v>0</v>
      </c>
      <c r="AJ389" s="41">
        <v>0</v>
      </c>
      <c r="AK389" s="41">
        <v>0</v>
      </c>
      <c r="AL389" s="41">
        <v>0</v>
      </c>
      <c r="AM389" s="41"/>
      <c r="AN389" s="41">
        <f t="shared" si="79"/>
        <v>453</v>
      </c>
      <c r="AO389" s="41">
        <f t="shared" si="78"/>
        <v>453</v>
      </c>
      <c r="AP389" s="40" t="s">
        <v>2403</v>
      </c>
      <c r="AQ389" s="36">
        <v>45061</v>
      </c>
      <c r="AR389" s="36"/>
      <c r="AS389" s="36"/>
      <c r="AT389" s="36">
        <v>45076</v>
      </c>
      <c r="AU389" s="36"/>
      <c r="AV389" s="38"/>
      <c r="AW389" s="40" t="s">
        <v>87</v>
      </c>
    </row>
    <row r="390" spans="1:49" ht="93" customHeight="1" x14ac:dyDescent="0.3">
      <c r="A390" s="35" t="s">
        <v>2404</v>
      </c>
      <c r="B390" s="38">
        <v>44974</v>
      </c>
      <c r="C390" s="40">
        <v>545</v>
      </c>
      <c r="D390" s="39" t="s">
        <v>2405</v>
      </c>
      <c r="E390" s="1" t="s">
        <v>2406</v>
      </c>
      <c r="F390" s="36">
        <v>44999</v>
      </c>
      <c r="G390" s="37" t="s">
        <v>2407</v>
      </c>
      <c r="H390" s="40" t="s">
        <v>224</v>
      </c>
      <c r="I390" s="40" t="s">
        <v>2391</v>
      </c>
      <c r="J390" s="57">
        <v>275686364.39999998</v>
      </c>
      <c r="K390" s="41">
        <v>275686364.39999998</v>
      </c>
      <c r="L390" s="30">
        <f t="shared" si="70"/>
        <v>275686364.39999998</v>
      </c>
      <c r="M390" s="30">
        <f t="shared" si="69"/>
        <v>275686364.39999998</v>
      </c>
      <c r="N390" s="40" t="s">
        <v>2392</v>
      </c>
      <c r="O390" s="40" t="s">
        <v>2393</v>
      </c>
      <c r="P390" s="40" t="s">
        <v>2394</v>
      </c>
      <c r="Q390" s="44">
        <v>0</v>
      </c>
      <c r="R390" s="37">
        <v>100</v>
      </c>
      <c r="S390" s="37" t="s">
        <v>1489</v>
      </c>
      <c r="T390" s="48">
        <v>30</v>
      </c>
      <c r="U390" s="30">
        <f>M390/W390</f>
        <v>25813.329999999998</v>
      </c>
      <c r="V390" s="41">
        <f>U390*T390</f>
        <v>774399.89999999991</v>
      </c>
      <c r="W390" s="41">
        <f t="shared" si="71"/>
        <v>10680</v>
      </c>
      <c r="X390" s="41">
        <v>10680</v>
      </c>
      <c r="Y390" s="41">
        <v>0</v>
      </c>
      <c r="Z390" s="41">
        <v>0</v>
      </c>
      <c r="AA390" s="41">
        <v>0</v>
      </c>
      <c r="AB390" s="41">
        <v>0</v>
      </c>
      <c r="AC390" s="41">
        <v>0</v>
      </c>
      <c r="AD390" s="41">
        <v>0</v>
      </c>
      <c r="AE390" s="41">
        <v>0</v>
      </c>
      <c r="AF390" s="41">
        <v>0</v>
      </c>
      <c r="AG390" s="41">
        <v>0</v>
      </c>
      <c r="AH390" s="41">
        <v>0</v>
      </c>
      <c r="AI390" s="41">
        <v>0</v>
      </c>
      <c r="AJ390" s="41">
        <v>0</v>
      </c>
      <c r="AK390" s="41">
        <v>0</v>
      </c>
      <c r="AL390" s="41">
        <v>0</v>
      </c>
      <c r="AM390" s="41"/>
      <c r="AN390" s="41">
        <f t="shared" si="79"/>
        <v>356</v>
      </c>
      <c r="AO390" s="41">
        <f t="shared" si="78"/>
        <v>356</v>
      </c>
      <c r="AP390" s="40" t="s">
        <v>2408</v>
      </c>
      <c r="AQ390" s="36">
        <v>45061</v>
      </c>
      <c r="AR390" s="36"/>
      <c r="AS390" s="36"/>
      <c r="AT390" s="36">
        <v>45076</v>
      </c>
      <c r="AU390" s="36"/>
      <c r="AV390" s="38"/>
      <c r="AW390" s="40" t="s">
        <v>87</v>
      </c>
    </row>
    <row r="391" spans="1:49" ht="93" customHeight="1" x14ac:dyDescent="0.3">
      <c r="A391" s="35" t="s">
        <v>2409</v>
      </c>
      <c r="B391" s="38">
        <v>44974</v>
      </c>
      <c r="C391" s="40">
        <v>545</v>
      </c>
      <c r="D391" s="39" t="s">
        <v>2410</v>
      </c>
      <c r="E391" s="1" t="s">
        <v>2411</v>
      </c>
      <c r="F391" s="36">
        <v>44999</v>
      </c>
      <c r="G391" s="37" t="s">
        <v>2412</v>
      </c>
      <c r="H391" s="40" t="s">
        <v>224</v>
      </c>
      <c r="I391" s="40" t="s">
        <v>1660</v>
      </c>
      <c r="J391" s="57">
        <v>212573101.94999999</v>
      </c>
      <c r="K391" s="41">
        <v>212573101.94999999</v>
      </c>
      <c r="L391" s="30">
        <v>251680357.5</v>
      </c>
      <c r="M391" s="30">
        <f t="shared" si="69"/>
        <v>251680357.5</v>
      </c>
      <c r="N391" s="40" t="s">
        <v>2392</v>
      </c>
      <c r="O391" s="40" t="s">
        <v>2413</v>
      </c>
      <c r="P391" s="40" t="s">
        <v>1032</v>
      </c>
      <c r="Q391" s="44">
        <v>0</v>
      </c>
      <c r="R391" s="37">
        <v>100</v>
      </c>
      <c r="S391" s="37" t="s">
        <v>1489</v>
      </c>
      <c r="T391" s="48">
        <v>15</v>
      </c>
      <c r="U391" s="30">
        <f>M391/W391</f>
        <v>25813.37</v>
      </c>
      <c r="V391" s="41">
        <f t="shared" si="77"/>
        <v>387200.55</v>
      </c>
      <c r="W391" s="41">
        <f t="shared" si="71"/>
        <v>9750</v>
      </c>
      <c r="X391" s="41">
        <v>9750</v>
      </c>
      <c r="Y391" s="41">
        <v>0</v>
      </c>
      <c r="Z391" s="41">
        <v>0</v>
      </c>
      <c r="AA391" s="41">
        <v>0</v>
      </c>
      <c r="AB391" s="41">
        <v>0</v>
      </c>
      <c r="AC391" s="41">
        <v>0</v>
      </c>
      <c r="AD391" s="41">
        <v>0</v>
      </c>
      <c r="AE391" s="41">
        <v>0</v>
      </c>
      <c r="AF391" s="41">
        <v>0</v>
      </c>
      <c r="AG391" s="41">
        <v>0</v>
      </c>
      <c r="AH391" s="41">
        <v>0</v>
      </c>
      <c r="AI391" s="41">
        <v>0</v>
      </c>
      <c r="AJ391" s="41">
        <v>0</v>
      </c>
      <c r="AK391" s="41">
        <v>0</v>
      </c>
      <c r="AL391" s="41">
        <v>0</v>
      </c>
      <c r="AM391" s="41"/>
      <c r="AN391" s="41">
        <f t="shared" si="79"/>
        <v>650</v>
      </c>
      <c r="AO391" s="41">
        <f t="shared" si="78"/>
        <v>650</v>
      </c>
      <c r="AP391" s="40" t="s">
        <v>1353</v>
      </c>
      <c r="AQ391" s="36">
        <v>45061</v>
      </c>
      <c r="AR391" s="36"/>
      <c r="AS391" s="36"/>
      <c r="AT391" s="36">
        <v>45076</v>
      </c>
      <c r="AU391" s="36"/>
      <c r="AV391" s="38"/>
      <c r="AW391" s="40" t="s">
        <v>87</v>
      </c>
    </row>
    <row r="392" spans="1:49" ht="90.75" customHeight="1" x14ac:dyDescent="0.3">
      <c r="A392" s="35" t="s">
        <v>2414</v>
      </c>
      <c r="B392" s="38">
        <v>44977</v>
      </c>
      <c r="C392" s="40" t="s">
        <v>2077</v>
      </c>
      <c r="D392" s="39" t="s">
        <v>2415</v>
      </c>
      <c r="E392" s="1" t="s">
        <v>2416</v>
      </c>
      <c r="F392" s="36">
        <v>45002</v>
      </c>
      <c r="G392" s="37" t="s">
        <v>2417</v>
      </c>
      <c r="H392" s="40" t="s">
        <v>2081</v>
      </c>
      <c r="I392" s="40" t="s">
        <v>2418</v>
      </c>
      <c r="J392" s="57">
        <v>11289757.5</v>
      </c>
      <c r="K392" s="41">
        <v>11289757.5</v>
      </c>
      <c r="L392" s="30">
        <f t="shared" si="70"/>
        <v>11289757.5</v>
      </c>
      <c r="M392" s="30">
        <f t="shared" si="69"/>
        <v>11289757.5</v>
      </c>
      <c r="N392" s="40" t="s">
        <v>2419</v>
      </c>
      <c r="O392" s="40" t="s">
        <v>2420</v>
      </c>
      <c r="P392" s="40" t="s">
        <v>47</v>
      </c>
      <c r="Q392" s="44">
        <v>100</v>
      </c>
      <c r="R392" s="37">
        <v>0</v>
      </c>
      <c r="S392" s="37" t="s">
        <v>1489</v>
      </c>
      <c r="T392" s="54" t="s">
        <v>2421</v>
      </c>
      <c r="U392" s="30">
        <f>M392/W392</f>
        <v>53.75</v>
      </c>
      <c r="V392" s="41" t="e">
        <f t="shared" si="77"/>
        <v>#VALUE!</v>
      </c>
      <c r="W392" s="41">
        <f t="shared" si="71"/>
        <v>210042</v>
      </c>
      <c r="X392" s="41">
        <v>210042</v>
      </c>
      <c r="Y392" s="41">
        <v>0</v>
      </c>
      <c r="Z392" s="41">
        <v>0</v>
      </c>
      <c r="AA392" s="41">
        <v>0</v>
      </c>
      <c r="AB392" s="41">
        <v>0</v>
      </c>
      <c r="AC392" s="41">
        <v>0</v>
      </c>
      <c r="AD392" s="41">
        <v>0</v>
      </c>
      <c r="AE392" s="41">
        <v>0</v>
      </c>
      <c r="AF392" s="41">
        <v>0</v>
      </c>
      <c r="AG392" s="41">
        <v>0</v>
      </c>
      <c r="AH392" s="41">
        <v>0</v>
      </c>
      <c r="AI392" s="41">
        <v>0</v>
      </c>
      <c r="AJ392" s="41">
        <v>0</v>
      </c>
      <c r="AK392" s="41">
        <v>0</v>
      </c>
      <c r="AL392" s="41">
        <v>0</v>
      </c>
      <c r="AM392" s="41"/>
      <c r="AN392" s="41" t="e">
        <f t="shared" si="79"/>
        <v>#VALUE!</v>
      </c>
      <c r="AO392" s="41" t="e">
        <f t="shared" si="78"/>
        <v>#VALUE!</v>
      </c>
      <c r="AP392" s="40"/>
      <c r="AQ392" s="36">
        <v>45047</v>
      </c>
      <c r="AR392" s="36"/>
      <c r="AS392" s="36"/>
      <c r="AT392" s="36">
        <v>45076</v>
      </c>
      <c r="AU392" s="36"/>
      <c r="AV392" s="38"/>
      <c r="AW392" s="40" t="s">
        <v>87</v>
      </c>
    </row>
    <row r="393" spans="1:49" ht="90.75" customHeight="1" x14ac:dyDescent="0.3">
      <c r="A393" s="35" t="s">
        <v>2422</v>
      </c>
      <c r="B393" s="38">
        <v>44977</v>
      </c>
      <c r="C393" s="40" t="s">
        <v>2077</v>
      </c>
      <c r="D393" s="39" t="s">
        <v>2423</v>
      </c>
      <c r="E393" s="1" t="s">
        <v>2424</v>
      </c>
      <c r="F393" s="36">
        <v>45002</v>
      </c>
      <c r="G393" s="37" t="s">
        <v>2425</v>
      </c>
      <c r="H393" s="40" t="s">
        <v>2089</v>
      </c>
      <c r="I393" s="40" t="s">
        <v>2426</v>
      </c>
      <c r="J393" s="57">
        <v>6475999.2000000002</v>
      </c>
      <c r="K393" s="41">
        <v>6475999.2000000002</v>
      </c>
      <c r="L393" s="30">
        <f t="shared" si="70"/>
        <v>6475999.2000000002</v>
      </c>
      <c r="M393" s="30">
        <f t="shared" si="69"/>
        <v>6475999.2000000002</v>
      </c>
      <c r="N393" s="40" t="s">
        <v>2427</v>
      </c>
      <c r="O393" s="40" t="s">
        <v>2428</v>
      </c>
      <c r="P393" s="40" t="s">
        <v>47</v>
      </c>
      <c r="Q393" s="44">
        <v>100</v>
      </c>
      <c r="R393" s="37">
        <v>0</v>
      </c>
      <c r="S393" s="37" t="s">
        <v>1489</v>
      </c>
      <c r="T393" s="41">
        <v>0.75</v>
      </c>
      <c r="U393" s="30">
        <f>M393/W393</f>
        <v>180.4</v>
      </c>
      <c r="V393" s="41">
        <f t="shared" si="77"/>
        <v>135.30000000000001</v>
      </c>
      <c r="W393" s="41">
        <f t="shared" si="71"/>
        <v>35898</v>
      </c>
      <c r="X393" s="41">
        <v>35898</v>
      </c>
      <c r="Y393" s="41">
        <v>0</v>
      </c>
      <c r="Z393" s="41">
        <v>0</v>
      </c>
      <c r="AA393" s="41">
        <v>0</v>
      </c>
      <c r="AB393" s="41">
        <v>0</v>
      </c>
      <c r="AC393" s="41">
        <v>0</v>
      </c>
      <c r="AD393" s="41">
        <v>0</v>
      </c>
      <c r="AE393" s="41">
        <v>0</v>
      </c>
      <c r="AF393" s="41">
        <v>0</v>
      </c>
      <c r="AG393" s="41">
        <v>0</v>
      </c>
      <c r="AH393" s="41">
        <v>0</v>
      </c>
      <c r="AI393" s="41">
        <v>0</v>
      </c>
      <c r="AJ393" s="41">
        <v>0</v>
      </c>
      <c r="AK393" s="41">
        <v>0</v>
      </c>
      <c r="AL393" s="41">
        <v>0</v>
      </c>
      <c r="AM393" s="41"/>
      <c r="AN393" s="41">
        <f t="shared" si="79"/>
        <v>47864</v>
      </c>
      <c r="AO393" s="41">
        <f t="shared" si="78"/>
        <v>47864</v>
      </c>
      <c r="AP393" s="40"/>
      <c r="AQ393" s="36">
        <v>45047</v>
      </c>
      <c r="AR393" s="36"/>
      <c r="AS393" s="36"/>
      <c r="AT393" s="36">
        <v>45076</v>
      </c>
      <c r="AU393" s="36"/>
      <c r="AV393" s="38"/>
      <c r="AW393" s="40" t="s">
        <v>87</v>
      </c>
    </row>
    <row r="394" spans="1:49" ht="90.75" customHeight="1" x14ac:dyDescent="0.3">
      <c r="A394" s="35" t="s">
        <v>2429</v>
      </c>
      <c r="B394" s="38">
        <v>44977</v>
      </c>
      <c r="C394" s="40" t="s">
        <v>2077</v>
      </c>
      <c r="D394" s="39" t="s">
        <v>2430</v>
      </c>
      <c r="E394" s="1" t="s">
        <v>2431</v>
      </c>
      <c r="F394" s="36">
        <v>45005</v>
      </c>
      <c r="G394" s="37" t="s">
        <v>2432</v>
      </c>
      <c r="H394" s="40" t="s">
        <v>571</v>
      </c>
      <c r="I394" s="40" t="s">
        <v>2433</v>
      </c>
      <c r="J394" s="57">
        <v>13965289.060000001</v>
      </c>
      <c r="K394" s="41">
        <v>5290034.5999999996</v>
      </c>
      <c r="L394" s="30">
        <f t="shared" si="70"/>
        <v>5290034.5999999996</v>
      </c>
      <c r="M394" s="30">
        <f t="shared" si="69"/>
        <v>5290034.5999999996</v>
      </c>
      <c r="N394" s="40" t="s">
        <v>2434</v>
      </c>
      <c r="O394" s="40" t="s">
        <v>2435</v>
      </c>
      <c r="P394" s="40" t="s">
        <v>47</v>
      </c>
      <c r="Q394" s="44">
        <v>100</v>
      </c>
      <c r="R394" s="37">
        <v>0</v>
      </c>
      <c r="S394" s="37" t="s">
        <v>1489</v>
      </c>
      <c r="T394" s="48">
        <v>12</v>
      </c>
      <c r="U394" s="30">
        <f>M394/W394</f>
        <v>26.299999999999997</v>
      </c>
      <c r="V394" s="41">
        <f t="shared" si="77"/>
        <v>315.59999999999997</v>
      </c>
      <c r="W394" s="41">
        <f t="shared" si="71"/>
        <v>201142</v>
      </c>
      <c r="X394" s="41">
        <v>201142</v>
      </c>
      <c r="Y394" s="41">
        <v>0</v>
      </c>
      <c r="Z394" s="41">
        <v>0</v>
      </c>
      <c r="AA394" s="41">
        <v>0</v>
      </c>
      <c r="AB394" s="41">
        <v>0</v>
      </c>
      <c r="AC394" s="41">
        <v>0</v>
      </c>
      <c r="AD394" s="41">
        <v>0</v>
      </c>
      <c r="AE394" s="41">
        <v>0</v>
      </c>
      <c r="AF394" s="41">
        <v>0</v>
      </c>
      <c r="AG394" s="41">
        <v>0</v>
      </c>
      <c r="AH394" s="41">
        <v>0</v>
      </c>
      <c r="AI394" s="41">
        <v>0</v>
      </c>
      <c r="AJ394" s="41">
        <v>0</v>
      </c>
      <c r="AK394" s="41">
        <v>0</v>
      </c>
      <c r="AL394" s="41">
        <v>0</v>
      </c>
      <c r="AM394" s="41"/>
      <c r="AN394" s="41">
        <f t="shared" si="79"/>
        <v>16761.833333333332</v>
      </c>
      <c r="AO394" s="41">
        <f t="shared" si="78"/>
        <v>16762</v>
      </c>
      <c r="AP394" s="40"/>
      <c r="AQ394" s="36">
        <v>45047</v>
      </c>
      <c r="AR394" s="36"/>
      <c r="AS394" s="36"/>
      <c r="AT394" s="36">
        <v>45061</v>
      </c>
      <c r="AU394" s="36"/>
      <c r="AV394" s="38"/>
      <c r="AW394" s="40" t="s">
        <v>87</v>
      </c>
    </row>
    <row r="395" spans="1:49" ht="90.75" customHeight="1" x14ac:dyDescent="0.3">
      <c r="A395" s="35" t="s">
        <v>2436</v>
      </c>
      <c r="B395" s="38">
        <v>44977</v>
      </c>
      <c r="C395" s="40">
        <v>545</v>
      </c>
      <c r="D395" s="39" t="s">
        <v>2437</v>
      </c>
      <c r="E395" s="1" t="s">
        <v>2438</v>
      </c>
      <c r="F395" s="36">
        <v>45002</v>
      </c>
      <c r="G395" s="37" t="s">
        <v>2439</v>
      </c>
      <c r="H395" s="40" t="s">
        <v>224</v>
      </c>
      <c r="I395" s="40" t="s">
        <v>1906</v>
      </c>
      <c r="J395" s="57">
        <v>80537714.400000006</v>
      </c>
      <c r="K395" s="41">
        <v>80537714.400000006</v>
      </c>
      <c r="L395" s="30">
        <f t="shared" si="70"/>
        <v>80537714.400000006</v>
      </c>
      <c r="M395" s="30">
        <f t="shared" si="69"/>
        <v>80537714.400000006</v>
      </c>
      <c r="N395" s="40" t="s">
        <v>2392</v>
      </c>
      <c r="O395" s="40" t="s">
        <v>2440</v>
      </c>
      <c r="P395" s="40" t="s">
        <v>2394</v>
      </c>
      <c r="Q395" s="44">
        <v>100</v>
      </c>
      <c r="R395" s="37">
        <v>0</v>
      </c>
      <c r="S395" s="37" t="s">
        <v>1489</v>
      </c>
      <c r="T395" s="48">
        <v>120</v>
      </c>
      <c r="U395" s="30">
        <f>M395/W395</f>
        <v>25813.370000000003</v>
      </c>
      <c r="V395" s="41">
        <f t="shared" si="77"/>
        <v>3097604.4000000004</v>
      </c>
      <c r="W395" s="41">
        <f t="shared" si="71"/>
        <v>3120</v>
      </c>
      <c r="X395" s="41">
        <v>3120</v>
      </c>
      <c r="Y395" s="41">
        <v>0</v>
      </c>
      <c r="Z395" s="41">
        <v>0</v>
      </c>
      <c r="AA395" s="41">
        <v>0</v>
      </c>
      <c r="AB395" s="41">
        <v>0</v>
      </c>
      <c r="AC395" s="41">
        <v>0</v>
      </c>
      <c r="AD395" s="41">
        <v>0</v>
      </c>
      <c r="AE395" s="41">
        <v>0</v>
      </c>
      <c r="AF395" s="41">
        <v>0</v>
      </c>
      <c r="AG395" s="41">
        <v>0</v>
      </c>
      <c r="AH395" s="41">
        <v>0</v>
      </c>
      <c r="AI395" s="41">
        <v>0</v>
      </c>
      <c r="AJ395" s="41">
        <v>0</v>
      </c>
      <c r="AK395" s="41">
        <v>0</v>
      </c>
      <c r="AL395" s="41">
        <v>0</v>
      </c>
      <c r="AM395" s="41"/>
      <c r="AN395" s="41">
        <f t="shared" si="79"/>
        <v>26</v>
      </c>
      <c r="AO395" s="41">
        <f t="shared" si="78"/>
        <v>26</v>
      </c>
      <c r="AP395" s="40" t="s">
        <v>1353</v>
      </c>
      <c r="AQ395" s="36">
        <v>45061</v>
      </c>
      <c r="AR395" s="36"/>
      <c r="AS395" s="36"/>
      <c r="AT395" s="36">
        <v>45076</v>
      </c>
      <c r="AU395" s="36"/>
      <c r="AV395" s="38"/>
      <c r="AW395" s="40" t="s">
        <v>87</v>
      </c>
    </row>
    <row r="396" spans="1:49" ht="90.75" customHeight="1" x14ac:dyDescent="0.3">
      <c r="A396" s="35" t="s">
        <v>2441</v>
      </c>
      <c r="B396" s="38">
        <v>44977</v>
      </c>
      <c r="C396" s="40" t="s">
        <v>162</v>
      </c>
      <c r="D396" s="39" t="s">
        <v>2442</v>
      </c>
      <c r="E396" s="1" t="s">
        <v>2443</v>
      </c>
      <c r="F396" s="36">
        <v>45005</v>
      </c>
      <c r="G396" s="37" t="s">
        <v>2444</v>
      </c>
      <c r="H396" s="40" t="s">
        <v>555</v>
      </c>
      <c r="I396" s="40" t="s">
        <v>2445</v>
      </c>
      <c r="J396" s="57">
        <v>1863892.8</v>
      </c>
      <c r="K396" s="41">
        <v>1853913.6</v>
      </c>
      <c r="L396" s="30">
        <f t="shared" si="70"/>
        <v>1853913.6</v>
      </c>
      <c r="M396" s="30">
        <f t="shared" si="69"/>
        <v>1853913.6</v>
      </c>
      <c r="N396" s="40" t="s">
        <v>909</v>
      </c>
      <c r="O396" s="40" t="s">
        <v>2446</v>
      </c>
      <c r="P396" s="40" t="s">
        <v>218</v>
      </c>
      <c r="Q396" s="44">
        <v>0</v>
      </c>
      <c r="R396" s="37">
        <v>100</v>
      </c>
      <c r="S396" s="37" t="s">
        <v>1964</v>
      </c>
      <c r="T396" s="48">
        <v>60</v>
      </c>
      <c r="U396" s="30">
        <f>M396/W396</f>
        <v>183.92000000000002</v>
      </c>
      <c r="V396" s="41">
        <f t="shared" si="77"/>
        <v>11035.2</v>
      </c>
      <c r="W396" s="41">
        <f t="shared" si="71"/>
        <v>10080</v>
      </c>
      <c r="X396" s="41">
        <v>10080</v>
      </c>
      <c r="Y396" s="41">
        <v>0</v>
      </c>
      <c r="Z396" s="41">
        <v>0</v>
      </c>
      <c r="AA396" s="41">
        <v>0</v>
      </c>
      <c r="AB396" s="41">
        <v>0</v>
      </c>
      <c r="AC396" s="41">
        <v>0</v>
      </c>
      <c r="AD396" s="41">
        <v>0</v>
      </c>
      <c r="AE396" s="41">
        <v>0</v>
      </c>
      <c r="AF396" s="41">
        <v>0</v>
      </c>
      <c r="AG396" s="41">
        <v>0</v>
      </c>
      <c r="AH396" s="41">
        <v>0</v>
      </c>
      <c r="AI396" s="41">
        <v>0</v>
      </c>
      <c r="AJ396" s="41">
        <v>0</v>
      </c>
      <c r="AK396" s="41">
        <v>0</v>
      </c>
      <c r="AL396" s="41">
        <v>0</v>
      </c>
      <c r="AM396" s="41"/>
      <c r="AN396" s="41">
        <f t="shared" si="79"/>
        <v>168</v>
      </c>
      <c r="AO396" s="41">
        <f t="shared" si="78"/>
        <v>168</v>
      </c>
      <c r="AP396" s="40"/>
      <c r="AQ396" s="36">
        <v>45078</v>
      </c>
      <c r="AR396" s="36"/>
      <c r="AS396" s="36"/>
      <c r="AT396" s="36">
        <v>45092</v>
      </c>
      <c r="AU396" s="36"/>
      <c r="AV396" s="38"/>
      <c r="AW396" s="40" t="s">
        <v>49</v>
      </c>
    </row>
    <row r="397" spans="1:49" ht="90.75" customHeight="1" x14ac:dyDescent="0.3">
      <c r="A397" s="35" t="s">
        <v>2447</v>
      </c>
      <c r="B397" s="38">
        <v>44977</v>
      </c>
      <c r="C397" s="40" t="s">
        <v>162</v>
      </c>
      <c r="D397" s="39" t="s">
        <v>2448</v>
      </c>
      <c r="E397" s="1" t="s">
        <v>2449</v>
      </c>
      <c r="F397" s="36">
        <v>45002</v>
      </c>
      <c r="G397" s="37" t="s">
        <v>2450</v>
      </c>
      <c r="H397" s="40" t="s">
        <v>555</v>
      </c>
      <c r="I397" s="40" t="s">
        <v>2451</v>
      </c>
      <c r="J397" s="57">
        <v>725868</v>
      </c>
      <c r="K397" s="41">
        <v>725868</v>
      </c>
      <c r="L397" s="30">
        <f t="shared" si="70"/>
        <v>725868</v>
      </c>
      <c r="M397" s="30">
        <f t="shared" si="69"/>
        <v>725868</v>
      </c>
      <c r="N397" s="40" t="s">
        <v>909</v>
      </c>
      <c r="O397" s="40" t="s">
        <v>2452</v>
      </c>
      <c r="P397" s="40" t="s">
        <v>218</v>
      </c>
      <c r="Q397" s="44">
        <v>0</v>
      </c>
      <c r="R397" s="37">
        <v>100</v>
      </c>
      <c r="S397" s="37" t="s">
        <v>1964</v>
      </c>
      <c r="T397" s="48">
        <v>60</v>
      </c>
      <c r="U397" s="30">
        <f>M397/W397</f>
        <v>336.05</v>
      </c>
      <c r="V397" s="41">
        <f t="shared" si="77"/>
        <v>20163</v>
      </c>
      <c r="W397" s="41">
        <f t="shared" si="71"/>
        <v>2160</v>
      </c>
      <c r="X397" s="41">
        <v>2160</v>
      </c>
      <c r="Y397" s="41">
        <v>0</v>
      </c>
      <c r="Z397" s="41">
        <v>0</v>
      </c>
      <c r="AA397" s="41">
        <v>0</v>
      </c>
      <c r="AB397" s="41">
        <v>0</v>
      </c>
      <c r="AC397" s="41">
        <v>0</v>
      </c>
      <c r="AD397" s="41">
        <v>0</v>
      </c>
      <c r="AE397" s="41">
        <v>0</v>
      </c>
      <c r="AF397" s="41">
        <v>0</v>
      </c>
      <c r="AG397" s="41">
        <v>0</v>
      </c>
      <c r="AH397" s="41">
        <v>0</v>
      </c>
      <c r="AI397" s="41">
        <v>0</v>
      </c>
      <c r="AJ397" s="41">
        <v>0</v>
      </c>
      <c r="AK397" s="41">
        <v>0</v>
      </c>
      <c r="AL397" s="41">
        <v>0</v>
      </c>
      <c r="AM397" s="41"/>
      <c r="AN397" s="41">
        <f t="shared" si="79"/>
        <v>36</v>
      </c>
      <c r="AO397" s="41">
        <f t="shared" si="78"/>
        <v>36</v>
      </c>
      <c r="AP397" s="40"/>
      <c r="AQ397" s="36">
        <v>45061</v>
      </c>
      <c r="AR397" s="36"/>
      <c r="AS397" s="36"/>
      <c r="AT397" s="36">
        <v>45076</v>
      </c>
      <c r="AU397" s="36"/>
      <c r="AV397" s="38"/>
      <c r="AW397" s="40" t="s">
        <v>49</v>
      </c>
    </row>
    <row r="398" spans="1:49" ht="90.75" customHeight="1" x14ac:dyDescent="0.3">
      <c r="A398" s="35" t="s">
        <v>2453</v>
      </c>
      <c r="B398" s="38">
        <v>44977</v>
      </c>
      <c r="C398" s="40">
        <v>1688</v>
      </c>
      <c r="D398" s="39" t="s">
        <v>459</v>
      </c>
      <c r="E398" s="1" t="s">
        <v>2454</v>
      </c>
      <c r="F398" s="36" t="s">
        <v>459</v>
      </c>
      <c r="G398" s="37" t="s">
        <v>459</v>
      </c>
      <c r="H398" s="40" t="s">
        <v>459</v>
      </c>
      <c r="I398" s="40" t="s">
        <v>2455</v>
      </c>
      <c r="J398" s="57">
        <v>561544330.44000006</v>
      </c>
      <c r="K398" s="41">
        <v>0</v>
      </c>
      <c r="L398" s="30">
        <f t="shared" si="70"/>
        <v>0</v>
      </c>
      <c r="M398" s="30">
        <f t="shared" si="69"/>
        <v>0</v>
      </c>
      <c r="N398" s="40"/>
      <c r="O398" s="40"/>
      <c r="P398" s="40"/>
      <c r="Q398" s="44"/>
      <c r="R398" s="37"/>
      <c r="S398" s="37"/>
      <c r="T398" s="48"/>
      <c r="U398" s="30" t="e">
        <f>M398/W398</f>
        <v>#DIV/0!</v>
      </c>
      <c r="V398" s="41" t="e">
        <f t="shared" si="77"/>
        <v>#DIV/0!</v>
      </c>
      <c r="W398" s="41">
        <f t="shared" si="71"/>
        <v>0</v>
      </c>
      <c r="X398" s="41">
        <v>0</v>
      </c>
      <c r="Y398" s="41">
        <v>0</v>
      </c>
      <c r="Z398" s="41">
        <v>0</v>
      </c>
      <c r="AA398" s="41">
        <v>0</v>
      </c>
      <c r="AB398" s="41">
        <v>0</v>
      </c>
      <c r="AC398" s="41">
        <v>0</v>
      </c>
      <c r="AD398" s="41">
        <v>0</v>
      </c>
      <c r="AE398" s="41">
        <v>0</v>
      </c>
      <c r="AF398" s="41">
        <v>0</v>
      </c>
      <c r="AG398" s="41">
        <v>0</v>
      </c>
      <c r="AH398" s="41">
        <v>0</v>
      </c>
      <c r="AI398" s="41">
        <v>0</v>
      </c>
      <c r="AJ398" s="41">
        <v>0</v>
      </c>
      <c r="AK398" s="41">
        <v>0</v>
      </c>
      <c r="AL398" s="41">
        <v>0</v>
      </c>
      <c r="AM398" s="41"/>
      <c r="AN398" s="41" t="e">
        <f t="shared" si="79"/>
        <v>#DIV/0!</v>
      </c>
      <c r="AO398" s="41" t="e">
        <f t="shared" si="78"/>
        <v>#DIV/0!</v>
      </c>
      <c r="AP398" s="40"/>
      <c r="AQ398" s="36"/>
      <c r="AR398" s="36"/>
      <c r="AS398" s="36"/>
      <c r="AT398" s="36"/>
      <c r="AU398" s="36"/>
      <c r="AV398" s="38"/>
      <c r="AW398" s="40"/>
    </row>
    <row r="399" spans="1:49" ht="90.75" customHeight="1" x14ac:dyDescent="0.3">
      <c r="A399" s="35" t="s">
        <v>2456</v>
      </c>
      <c r="B399" s="38">
        <v>44977</v>
      </c>
      <c r="C399" s="40" t="s">
        <v>2077</v>
      </c>
      <c r="D399" s="39" t="s">
        <v>2457</v>
      </c>
      <c r="E399" s="1" t="s">
        <v>2458</v>
      </c>
      <c r="F399" s="36">
        <v>45002</v>
      </c>
      <c r="G399" s="35" t="s">
        <v>2459</v>
      </c>
      <c r="H399" s="40" t="s">
        <v>971</v>
      </c>
      <c r="I399" s="40" t="s">
        <v>2460</v>
      </c>
      <c r="J399" s="57">
        <v>25168984.5</v>
      </c>
      <c r="K399" s="41">
        <v>25168984.5</v>
      </c>
      <c r="L399" s="30">
        <v>25180597.199999999</v>
      </c>
      <c r="M399" s="30">
        <f t="shared" si="69"/>
        <v>25180597.199999999</v>
      </c>
      <c r="N399" s="40" t="s">
        <v>2461</v>
      </c>
      <c r="O399" s="40" t="s">
        <v>2462</v>
      </c>
      <c r="P399" s="40" t="s">
        <v>47</v>
      </c>
      <c r="Q399" s="44">
        <v>100</v>
      </c>
      <c r="R399" s="37">
        <v>0</v>
      </c>
      <c r="S399" s="37" t="s">
        <v>1964</v>
      </c>
      <c r="T399" s="48">
        <v>10</v>
      </c>
      <c r="U399" s="30">
        <f>M399/W399</f>
        <v>9.35</v>
      </c>
      <c r="V399" s="41">
        <f t="shared" si="77"/>
        <v>93.5</v>
      </c>
      <c r="W399" s="41">
        <f t="shared" si="71"/>
        <v>2693112</v>
      </c>
      <c r="X399" s="41">
        <v>1884490</v>
      </c>
      <c r="Y399" s="41">
        <v>0</v>
      </c>
      <c r="Z399" s="41">
        <v>0</v>
      </c>
      <c r="AA399" s="41">
        <v>0</v>
      </c>
      <c r="AB399" s="41">
        <v>0</v>
      </c>
      <c r="AC399" s="41">
        <f>807380+1242</f>
        <v>808622</v>
      </c>
      <c r="AD399" s="41">
        <v>0</v>
      </c>
      <c r="AE399" s="41">
        <v>0</v>
      </c>
      <c r="AF399" s="41">
        <v>0</v>
      </c>
      <c r="AG399" s="41">
        <v>0</v>
      </c>
      <c r="AH399" s="41">
        <v>0</v>
      </c>
      <c r="AI399" s="41">
        <v>0</v>
      </c>
      <c r="AJ399" s="41">
        <v>0</v>
      </c>
      <c r="AK399" s="41">
        <v>0</v>
      </c>
      <c r="AL399" s="41">
        <v>0</v>
      </c>
      <c r="AM399" s="41"/>
      <c r="AN399" s="41">
        <f t="shared" si="79"/>
        <v>269311.2</v>
      </c>
      <c r="AO399" s="41">
        <f t="shared" si="78"/>
        <v>269312</v>
      </c>
      <c r="AP399" s="40"/>
      <c r="AQ399" s="36">
        <v>45047</v>
      </c>
      <c r="AR399" s="36">
        <v>45170</v>
      </c>
      <c r="AS399" s="36"/>
      <c r="AT399" s="36">
        <v>45061</v>
      </c>
      <c r="AU399" s="36">
        <v>45184</v>
      </c>
      <c r="AV399" s="38"/>
      <c r="AW399" s="40" t="s">
        <v>87</v>
      </c>
    </row>
    <row r="400" spans="1:49" ht="90.75" customHeight="1" x14ac:dyDescent="0.3">
      <c r="A400" s="35" t="s">
        <v>2463</v>
      </c>
      <c r="B400" s="38">
        <v>44978</v>
      </c>
      <c r="C400" s="40" t="s">
        <v>2077</v>
      </c>
      <c r="D400" s="39" t="s">
        <v>459</v>
      </c>
      <c r="E400" s="1" t="s">
        <v>2464</v>
      </c>
      <c r="F400" s="36" t="s">
        <v>459</v>
      </c>
      <c r="G400" s="37" t="s">
        <v>459</v>
      </c>
      <c r="H400" s="40" t="s">
        <v>459</v>
      </c>
      <c r="I400" s="40" t="s">
        <v>2465</v>
      </c>
      <c r="J400" s="57">
        <v>11384901.439999999</v>
      </c>
      <c r="K400" s="41">
        <v>0</v>
      </c>
      <c r="L400" s="30">
        <f t="shared" si="70"/>
        <v>0</v>
      </c>
      <c r="M400" s="30">
        <f t="shared" si="69"/>
        <v>0</v>
      </c>
      <c r="N400" s="40"/>
      <c r="O400" s="40"/>
      <c r="P400" s="40"/>
      <c r="Q400" s="44"/>
      <c r="R400" s="37"/>
      <c r="S400" s="37"/>
      <c r="T400" s="48"/>
      <c r="U400" s="30" t="e">
        <f>M400/W400</f>
        <v>#DIV/0!</v>
      </c>
      <c r="V400" s="41" t="e">
        <f t="shared" si="77"/>
        <v>#DIV/0!</v>
      </c>
      <c r="W400" s="41">
        <f t="shared" si="71"/>
        <v>0</v>
      </c>
      <c r="X400" s="41">
        <v>0</v>
      </c>
      <c r="Y400" s="41">
        <v>0</v>
      </c>
      <c r="Z400" s="41">
        <v>0</v>
      </c>
      <c r="AA400" s="41">
        <v>0</v>
      </c>
      <c r="AB400" s="41">
        <v>0</v>
      </c>
      <c r="AC400" s="41">
        <v>0</v>
      </c>
      <c r="AD400" s="41">
        <v>0</v>
      </c>
      <c r="AE400" s="41">
        <v>0</v>
      </c>
      <c r="AF400" s="41">
        <v>0</v>
      </c>
      <c r="AG400" s="41">
        <v>0</v>
      </c>
      <c r="AH400" s="41">
        <v>0</v>
      </c>
      <c r="AI400" s="41">
        <v>0</v>
      </c>
      <c r="AJ400" s="41">
        <v>0</v>
      </c>
      <c r="AK400" s="41">
        <v>0</v>
      </c>
      <c r="AL400" s="41">
        <v>0</v>
      </c>
      <c r="AM400" s="41"/>
      <c r="AN400" s="41" t="e">
        <f t="shared" si="79"/>
        <v>#DIV/0!</v>
      </c>
      <c r="AO400" s="41" t="e">
        <f t="shared" si="78"/>
        <v>#DIV/0!</v>
      </c>
      <c r="AP400" s="40"/>
      <c r="AQ400" s="36"/>
      <c r="AR400" s="36"/>
      <c r="AS400" s="36"/>
      <c r="AT400" s="36"/>
      <c r="AU400" s="36"/>
      <c r="AV400" s="38"/>
      <c r="AW400" s="40"/>
    </row>
    <row r="401" spans="1:49" ht="90.75" customHeight="1" x14ac:dyDescent="0.3">
      <c r="A401" s="35" t="s">
        <v>2466</v>
      </c>
      <c r="B401" s="38">
        <v>44978</v>
      </c>
      <c r="C401" s="40" t="s">
        <v>2077</v>
      </c>
      <c r="D401" s="39" t="s">
        <v>2467</v>
      </c>
      <c r="E401" s="1" t="s">
        <v>2468</v>
      </c>
      <c r="F401" s="36">
        <v>45002</v>
      </c>
      <c r="G401" s="35" t="s">
        <v>2469</v>
      </c>
      <c r="H401" s="40" t="s">
        <v>2089</v>
      </c>
      <c r="I401" s="40" t="s">
        <v>2470</v>
      </c>
      <c r="J401" s="57">
        <v>3295366.8</v>
      </c>
      <c r="K401" s="41">
        <v>3295366.8</v>
      </c>
      <c r="L401" s="30">
        <f t="shared" si="70"/>
        <v>3295366.8</v>
      </c>
      <c r="M401" s="30">
        <f t="shared" si="69"/>
        <v>3295366.8</v>
      </c>
      <c r="N401" s="40" t="s">
        <v>2471</v>
      </c>
      <c r="O401" s="40" t="s">
        <v>2472</v>
      </c>
      <c r="P401" s="40" t="s">
        <v>47</v>
      </c>
      <c r="Q401" s="44">
        <v>100</v>
      </c>
      <c r="R401" s="37">
        <v>0</v>
      </c>
      <c r="S401" s="37" t="s">
        <v>1489</v>
      </c>
      <c r="T401" s="67">
        <v>0.5</v>
      </c>
      <c r="U401" s="30">
        <f>M401/W401</f>
        <v>180.39999999999998</v>
      </c>
      <c r="V401" s="41">
        <f t="shared" si="77"/>
        <v>90.199999999999989</v>
      </c>
      <c r="W401" s="41">
        <f t="shared" si="71"/>
        <v>18267</v>
      </c>
      <c r="X401" s="41">
        <v>18267</v>
      </c>
      <c r="Y401" s="41">
        <v>0</v>
      </c>
      <c r="Z401" s="41">
        <v>0</v>
      </c>
      <c r="AA401" s="41">
        <v>0</v>
      </c>
      <c r="AB401" s="41">
        <v>0</v>
      </c>
      <c r="AC401" s="41">
        <v>0</v>
      </c>
      <c r="AD401" s="41">
        <v>0</v>
      </c>
      <c r="AE401" s="41">
        <v>0</v>
      </c>
      <c r="AF401" s="41">
        <v>0</v>
      </c>
      <c r="AG401" s="41">
        <v>0</v>
      </c>
      <c r="AH401" s="41">
        <v>0</v>
      </c>
      <c r="AI401" s="41">
        <v>0</v>
      </c>
      <c r="AJ401" s="41">
        <v>0</v>
      </c>
      <c r="AK401" s="41">
        <v>0</v>
      </c>
      <c r="AL401" s="41">
        <v>0</v>
      </c>
      <c r="AM401" s="41"/>
      <c r="AN401" s="41">
        <f t="shared" si="79"/>
        <v>36534</v>
      </c>
      <c r="AO401" s="41">
        <f t="shared" si="78"/>
        <v>36534</v>
      </c>
      <c r="AP401" s="40"/>
      <c r="AQ401" s="36">
        <v>45047</v>
      </c>
      <c r="AR401" s="36"/>
      <c r="AS401" s="36"/>
      <c r="AT401" s="36">
        <v>45076</v>
      </c>
      <c r="AU401" s="36"/>
      <c r="AV401" s="38"/>
      <c r="AW401" s="40" t="s">
        <v>87</v>
      </c>
    </row>
    <row r="402" spans="1:49" ht="90.75" customHeight="1" x14ac:dyDescent="0.3">
      <c r="A402" s="35" t="s">
        <v>2473</v>
      </c>
      <c r="B402" s="38">
        <v>44978</v>
      </c>
      <c r="C402" s="40">
        <v>1688</v>
      </c>
      <c r="D402" s="39" t="s">
        <v>491</v>
      </c>
      <c r="E402" s="1" t="s">
        <v>2474</v>
      </c>
      <c r="F402" s="36" t="s">
        <v>491</v>
      </c>
      <c r="G402" s="37" t="s">
        <v>491</v>
      </c>
      <c r="H402" s="40" t="s">
        <v>344</v>
      </c>
      <c r="I402" s="40" t="s">
        <v>2475</v>
      </c>
      <c r="J402" s="57">
        <v>6205835185.9200001</v>
      </c>
      <c r="K402" s="41">
        <v>0</v>
      </c>
      <c r="L402" s="30">
        <v>0</v>
      </c>
      <c r="M402" s="30">
        <v>0</v>
      </c>
      <c r="N402" s="40" t="s">
        <v>2476</v>
      </c>
      <c r="O402" s="40" t="s">
        <v>2477</v>
      </c>
      <c r="P402" s="40" t="s">
        <v>2478</v>
      </c>
      <c r="Q402" s="44">
        <v>0</v>
      </c>
      <c r="R402" s="37">
        <v>100</v>
      </c>
      <c r="S402" s="37" t="s">
        <v>48</v>
      </c>
      <c r="T402" s="48">
        <v>1</v>
      </c>
      <c r="U402" s="30">
        <f>M402/W402</f>
        <v>0</v>
      </c>
      <c r="V402" s="41">
        <f t="shared" si="77"/>
        <v>0</v>
      </c>
      <c r="W402" s="41">
        <f t="shared" si="71"/>
        <v>5454912</v>
      </c>
      <c r="X402" s="41">
        <v>2055847</v>
      </c>
      <c r="Y402" s="41">
        <v>0</v>
      </c>
      <c r="Z402" s="41">
        <v>0</v>
      </c>
      <c r="AA402" s="41">
        <v>0</v>
      </c>
      <c r="AB402" s="41">
        <v>0</v>
      </c>
      <c r="AC402" s="41">
        <v>671609</v>
      </c>
      <c r="AD402" s="41">
        <v>0</v>
      </c>
      <c r="AE402" s="41">
        <v>0</v>
      </c>
      <c r="AF402" s="41">
        <v>0</v>
      </c>
      <c r="AG402" s="41">
        <v>0</v>
      </c>
      <c r="AH402" s="41">
        <v>2727456</v>
      </c>
      <c r="AI402" s="41">
        <v>0</v>
      </c>
      <c r="AJ402" s="41">
        <v>0</v>
      </c>
      <c r="AK402" s="41">
        <v>0</v>
      </c>
      <c r="AL402" s="41">
        <v>0</v>
      </c>
      <c r="AM402" s="41"/>
      <c r="AN402" s="41">
        <f t="shared" si="79"/>
        <v>5454912</v>
      </c>
      <c r="AO402" s="41">
        <f t="shared" si="78"/>
        <v>5454912</v>
      </c>
      <c r="AP402" s="40"/>
      <c r="AQ402" s="36">
        <v>45107</v>
      </c>
      <c r="AR402" s="36">
        <v>45214</v>
      </c>
      <c r="AS402" s="36">
        <v>45323</v>
      </c>
      <c r="AT402" s="36">
        <v>45122</v>
      </c>
      <c r="AU402" s="36">
        <v>45229</v>
      </c>
      <c r="AV402" s="38">
        <v>45337</v>
      </c>
      <c r="AW402" s="40"/>
    </row>
    <row r="403" spans="1:49" ht="90.75" customHeight="1" x14ac:dyDescent="0.3">
      <c r="A403" s="35" t="s">
        <v>2479</v>
      </c>
      <c r="B403" s="38">
        <v>44978</v>
      </c>
      <c r="C403" s="40" t="s">
        <v>2077</v>
      </c>
      <c r="D403" s="39" t="s">
        <v>2480</v>
      </c>
      <c r="E403" s="1" t="s">
        <v>2481</v>
      </c>
      <c r="F403" s="36">
        <v>45009</v>
      </c>
      <c r="G403" s="37" t="s">
        <v>2482</v>
      </c>
      <c r="H403" s="40" t="s">
        <v>186</v>
      </c>
      <c r="I403" s="40" t="s">
        <v>2483</v>
      </c>
      <c r="J403" s="57">
        <v>355802727.60000002</v>
      </c>
      <c r="K403" s="41">
        <v>355802727.60000002</v>
      </c>
      <c r="L403" s="30">
        <v>390885899.69999999</v>
      </c>
      <c r="M403" s="30">
        <f t="shared" si="69"/>
        <v>390885899.69999999</v>
      </c>
      <c r="N403" s="40" t="s">
        <v>2484</v>
      </c>
      <c r="O403" s="40" t="s">
        <v>2485</v>
      </c>
      <c r="P403" s="40" t="s">
        <v>47</v>
      </c>
      <c r="Q403" s="44">
        <v>100</v>
      </c>
      <c r="R403" s="37">
        <v>0</v>
      </c>
      <c r="S403" s="37" t="s">
        <v>1964</v>
      </c>
      <c r="T403" s="48">
        <v>188</v>
      </c>
      <c r="U403" s="30">
        <f>M403/W403</f>
        <v>574.54999999999995</v>
      </c>
      <c r="V403" s="41">
        <f t="shared" si="77"/>
        <v>108015.4</v>
      </c>
      <c r="W403" s="41">
        <f>X403+AC403+AH403</f>
        <v>680334</v>
      </c>
      <c r="X403" s="41">
        <v>680334</v>
      </c>
      <c r="Y403" s="41">
        <v>0</v>
      </c>
      <c r="Z403" s="41">
        <v>0</v>
      </c>
      <c r="AA403" s="41">
        <v>0</v>
      </c>
      <c r="AB403" s="41">
        <v>0</v>
      </c>
      <c r="AC403" s="41">
        <v>0</v>
      </c>
      <c r="AD403" s="41">
        <v>0</v>
      </c>
      <c r="AE403" s="41">
        <v>0</v>
      </c>
      <c r="AF403" s="41">
        <v>0</v>
      </c>
      <c r="AG403" s="41">
        <v>0</v>
      </c>
      <c r="AH403" s="41">
        <v>0</v>
      </c>
      <c r="AI403" s="41">
        <v>0</v>
      </c>
      <c r="AJ403" s="41">
        <v>0</v>
      </c>
      <c r="AK403" s="41">
        <v>0</v>
      </c>
      <c r="AL403" s="41">
        <v>0</v>
      </c>
      <c r="AM403" s="41"/>
      <c r="AN403" s="41">
        <f t="shared" si="79"/>
        <v>3618.7978723404253</v>
      </c>
      <c r="AO403" s="41">
        <f t="shared" si="78"/>
        <v>3619</v>
      </c>
      <c r="AP403" s="40"/>
      <c r="AQ403" s="36">
        <v>45078</v>
      </c>
      <c r="AR403" s="36"/>
      <c r="AS403" s="36"/>
      <c r="AT403" s="36">
        <v>45092</v>
      </c>
      <c r="AU403" s="36"/>
      <c r="AV403" s="38"/>
      <c r="AW403" s="40" t="s">
        <v>87</v>
      </c>
    </row>
    <row r="404" spans="1:49" ht="90.75" customHeight="1" x14ac:dyDescent="0.3">
      <c r="A404" s="35" t="s">
        <v>2486</v>
      </c>
      <c r="B404" s="38">
        <v>44978</v>
      </c>
      <c r="C404" s="40" t="s">
        <v>162</v>
      </c>
      <c r="D404" s="39" t="s">
        <v>2487</v>
      </c>
      <c r="E404" s="1" t="s">
        <v>2488</v>
      </c>
      <c r="F404" s="36">
        <v>45005</v>
      </c>
      <c r="G404" s="37" t="s">
        <v>2489</v>
      </c>
      <c r="H404" s="40" t="s">
        <v>186</v>
      </c>
      <c r="I404" s="40" t="s">
        <v>2122</v>
      </c>
      <c r="J404" s="57">
        <v>25312996.800000001</v>
      </c>
      <c r="K404" s="41">
        <v>25312996.800000001</v>
      </c>
      <c r="L404" s="30">
        <f t="shared" si="70"/>
        <v>25312996.800000001</v>
      </c>
      <c r="M404" s="30">
        <f t="shared" si="69"/>
        <v>25312996.800000001</v>
      </c>
      <c r="N404" s="40" t="s">
        <v>1121</v>
      </c>
      <c r="O404" s="40" t="s">
        <v>2490</v>
      </c>
      <c r="P404" s="40" t="s">
        <v>190</v>
      </c>
      <c r="Q404" s="44">
        <v>0</v>
      </c>
      <c r="R404" s="37">
        <v>100</v>
      </c>
      <c r="S404" s="37" t="s">
        <v>1964</v>
      </c>
      <c r="T404" s="48">
        <v>120</v>
      </c>
      <c r="U404" s="30">
        <f>M404/W404</f>
        <v>160.29</v>
      </c>
      <c r="V404" s="41">
        <f t="shared" si="77"/>
        <v>19234.8</v>
      </c>
      <c r="W404" s="41">
        <f t="shared" ref="W404:W467" si="80">X404+AC404+AH404</f>
        <v>157920</v>
      </c>
      <c r="X404" s="41">
        <v>157920</v>
      </c>
      <c r="Y404" s="41">
        <v>0</v>
      </c>
      <c r="Z404" s="41">
        <v>0</v>
      </c>
      <c r="AA404" s="41">
        <v>0</v>
      </c>
      <c r="AB404" s="41">
        <v>0</v>
      </c>
      <c r="AC404" s="41">
        <v>0</v>
      </c>
      <c r="AD404" s="41">
        <v>0</v>
      </c>
      <c r="AE404" s="41">
        <v>0</v>
      </c>
      <c r="AF404" s="41">
        <v>0</v>
      </c>
      <c r="AG404" s="41">
        <v>0</v>
      </c>
      <c r="AH404" s="41">
        <v>0</v>
      </c>
      <c r="AI404" s="41">
        <v>0</v>
      </c>
      <c r="AJ404" s="41">
        <v>0</v>
      </c>
      <c r="AK404" s="41">
        <v>0</v>
      </c>
      <c r="AL404" s="41">
        <v>0</v>
      </c>
      <c r="AM404" s="41"/>
      <c r="AN404" s="41">
        <f t="shared" si="79"/>
        <v>1316</v>
      </c>
      <c r="AO404" s="41">
        <f t="shared" si="78"/>
        <v>1316</v>
      </c>
      <c r="AP404" s="40"/>
      <c r="AQ404" s="36">
        <v>45066</v>
      </c>
      <c r="AR404" s="36"/>
      <c r="AS404" s="36"/>
      <c r="AT404" s="36">
        <v>45082</v>
      </c>
      <c r="AU404" s="36"/>
      <c r="AV404" s="38"/>
      <c r="AW404" s="40" t="s">
        <v>87</v>
      </c>
    </row>
    <row r="405" spans="1:49" ht="90.75" customHeight="1" x14ac:dyDescent="0.3">
      <c r="A405" s="83" t="s">
        <v>2491</v>
      </c>
      <c r="B405" s="84">
        <v>44984</v>
      </c>
      <c r="C405" s="85" t="s">
        <v>2077</v>
      </c>
      <c r="D405" s="39" t="s">
        <v>459</v>
      </c>
      <c r="E405" s="1" t="s">
        <v>2492</v>
      </c>
      <c r="F405" s="36" t="s">
        <v>459</v>
      </c>
      <c r="G405" s="37" t="s">
        <v>459</v>
      </c>
      <c r="H405" s="40" t="s">
        <v>459</v>
      </c>
      <c r="I405" s="85" t="s">
        <v>2493</v>
      </c>
      <c r="J405" s="86">
        <v>15839398.529999999</v>
      </c>
      <c r="K405" s="41">
        <v>0</v>
      </c>
      <c r="L405" s="30">
        <f t="shared" si="70"/>
        <v>0</v>
      </c>
      <c r="M405" s="30">
        <f t="shared" si="69"/>
        <v>0</v>
      </c>
      <c r="N405" s="40"/>
      <c r="O405" s="40"/>
      <c r="P405" s="40"/>
      <c r="Q405" s="44"/>
      <c r="R405" s="37"/>
      <c r="S405" s="37"/>
      <c r="T405" s="48"/>
      <c r="U405" s="30" t="e">
        <f>M405/W405</f>
        <v>#DIV/0!</v>
      </c>
      <c r="V405" s="41" t="e">
        <f t="shared" si="77"/>
        <v>#DIV/0!</v>
      </c>
      <c r="W405" s="41">
        <f t="shared" si="80"/>
        <v>0</v>
      </c>
      <c r="X405" s="41">
        <v>0</v>
      </c>
      <c r="Y405" s="41">
        <v>0</v>
      </c>
      <c r="Z405" s="41">
        <v>0</v>
      </c>
      <c r="AA405" s="41">
        <v>0</v>
      </c>
      <c r="AB405" s="41">
        <v>0</v>
      </c>
      <c r="AC405" s="41">
        <v>0</v>
      </c>
      <c r="AD405" s="41">
        <v>0</v>
      </c>
      <c r="AE405" s="41">
        <v>0</v>
      </c>
      <c r="AF405" s="41">
        <v>0</v>
      </c>
      <c r="AG405" s="41">
        <v>0</v>
      </c>
      <c r="AH405" s="41">
        <v>0</v>
      </c>
      <c r="AI405" s="41">
        <v>0</v>
      </c>
      <c r="AJ405" s="41">
        <v>0</v>
      </c>
      <c r="AK405" s="41">
        <v>0</v>
      </c>
      <c r="AL405" s="41">
        <v>0</v>
      </c>
      <c r="AM405" s="41"/>
      <c r="AN405" s="41" t="e">
        <f t="shared" si="79"/>
        <v>#DIV/0!</v>
      </c>
      <c r="AO405" s="41" t="e">
        <f t="shared" si="78"/>
        <v>#DIV/0!</v>
      </c>
      <c r="AP405" s="40"/>
      <c r="AQ405" s="36"/>
      <c r="AR405" s="36"/>
      <c r="AS405" s="36"/>
      <c r="AT405" s="36"/>
      <c r="AU405" s="36"/>
      <c r="AV405" s="38"/>
      <c r="AW405" s="40"/>
    </row>
    <row r="406" spans="1:49" ht="90.75" customHeight="1" x14ac:dyDescent="0.3">
      <c r="A406" s="83" t="s">
        <v>2494</v>
      </c>
      <c r="B406" s="84">
        <v>44984</v>
      </c>
      <c r="C406" s="85" t="s">
        <v>162</v>
      </c>
      <c r="D406" s="39" t="s">
        <v>459</v>
      </c>
      <c r="E406" s="1" t="s">
        <v>2495</v>
      </c>
      <c r="F406" s="36" t="s">
        <v>459</v>
      </c>
      <c r="G406" s="37" t="s">
        <v>459</v>
      </c>
      <c r="H406" s="40" t="s">
        <v>459</v>
      </c>
      <c r="I406" s="85" t="s">
        <v>2496</v>
      </c>
      <c r="J406" s="86">
        <v>164923188.08000001</v>
      </c>
      <c r="K406" s="41">
        <v>0</v>
      </c>
      <c r="L406" s="30">
        <f t="shared" si="70"/>
        <v>0</v>
      </c>
      <c r="M406" s="30">
        <f t="shared" si="69"/>
        <v>0</v>
      </c>
      <c r="N406" s="40"/>
      <c r="O406" s="40"/>
      <c r="P406" s="40"/>
      <c r="Q406" s="44"/>
      <c r="R406" s="37"/>
      <c r="S406" s="37"/>
      <c r="T406" s="48"/>
      <c r="U406" s="30" t="e">
        <f>M406/W406</f>
        <v>#DIV/0!</v>
      </c>
      <c r="V406" s="41" t="e">
        <f t="shared" si="77"/>
        <v>#DIV/0!</v>
      </c>
      <c r="W406" s="41">
        <f t="shared" si="80"/>
        <v>0</v>
      </c>
      <c r="X406" s="41">
        <v>0</v>
      </c>
      <c r="Y406" s="41">
        <v>0</v>
      </c>
      <c r="Z406" s="41">
        <v>0</v>
      </c>
      <c r="AA406" s="41">
        <v>0</v>
      </c>
      <c r="AB406" s="41">
        <v>0</v>
      </c>
      <c r="AC406" s="41">
        <v>0</v>
      </c>
      <c r="AD406" s="41">
        <v>0</v>
      </c>
      <c r="AE406" s="41">
        <v>0</v>
      </c>
      <c r="AF406" s="41">
        <v>0</v>
      </c>
      <c r="AG406" s="41">
        <v>0</v>
      </c>
      <c r="AH406" s="41">
        <v>0</v>
      </c>
      <c r="AI406" s="41">
        <v>0</v>
      </c>
      <c r="AJ406" s="41">
        <v>0</v>
      </c>
      <c r="AK406" s="41">
        <v>0</v>
      </c>
      <c r="AL406" s="41">
        <v>0</v>
      </c>
      <c r="AM406" s="41"/>
      <c r="AN406" s="41" t="e">
        <f t="shared" si="79"/>
        <v>#DIV/0!</v>
      </c>
      <c r="AO406" s="41" t="e">
        <f t="shared" si="78"/>
        <v>#DIV/0!</v>
      </c>
      <c r="AP406" s="40"/>
      <c r="AQ406" s="36"/>
      <c r="AR406" s="36"/>
      <c r="AS406" s="36"/>
      <c r="AT406" s="36"/>
      <c r="AU406" s="36"/>
      <c r="AV406" s="38"/>
      <c r="AW406" s="40"/>
    </row>
    <row r="407" spans="1:49" ht="88.5" customHeight="1" x14ac:dyDescent="0.3">
      <c r="A407" s="83" t="s">
        <v>2497</v>
      </c>
      <c r="B407" s="84">
        <v>44984</v>
      </c>
      <c r="C407" s="85" t="s">
        <v>2077</v>
      </c>
      <c r="D407" s="39" t="s">
        <v>459</v>
      </c>
      <c r="E407" s="1" t="s">
        <v>2498</v>
      </c>
      <c r="F407" s="36" t="s">
        <v>459</v>
      </c>
      <c r="G407" s="37" t="s">
        <v>459</v>
      </c>
      <c r="H407" s="40" t="s">
        <v>459</v>
      </c>
      <c r="I407" s="85" t="s">
        <v>2499</v>
      </c>
      <c r="J407" s="86">
        <v>2019840</v>
      </c>
      <c r="K407" s="41">
        <v>0</v>
      </c>
      <c r="L407" s="30">
        <f t="shared" si="70"/>
        <v>0</v>
      </c>
      <c r="M407" s="30">
        <f t="shared" si="69"/>
        <v>0</v>
      </c>
      <c r="N407" s="40"/>
      <c r="O407" s="40"/>
      <c r="P407" s="40"/>
      <c r="Q407" s="44"/>
      <c r="R407" s="37"/>
      <c r="S407" s="37"/>
      <c r="T407" s="48"/>
      <c r="U407" s="30" t="e">
        <f>M407/W407</f>
        <v>#DIV/0!</v>
      </c>
      <c r="V407" s="41" t="e">
        <f t="shared" si="77"/>
        <v>#DIV/0!</v>
      </c>
      <c r="W407" s="41">
        <f t="shared" si="80"/>
        <v>0</v>
      </c>
      <c r="X407" s="41">
        <v>0</v>
      </c>
      <c r="Y407" s="41">
        <v>0</v>
      </c>
      <c r="Z407" s="41">
        <v>0</v>
      </c>
      <c r="AA407" s="41">
        <v>0</v>
      </c>
      <c r="AB407" s="41">
        <v>0</v>
      </c>
      <c r="AC407" s="41">
        <v>0</v>
      </c>
      <c r="AD407" s="41">
        <v>0</v>
      </c>
      <c r="AE407" s="41">
        <v>0</v>
      </c>
      <c r="AF407" s="41">
        <v>0</v>
      </c>
      <c r="AG407" s="41">
        <v>0</v>
      </c>
      <c r="AH407" s="41">
        <v>0</v>
      </c>
      <c r="AI407" s="41">
        <v>0</v>
      </c>
      <c r="AJ407" s="41">
        <v>0</v>
      </c>
      <c r="AK407" s="41">
        <v>0</v>
      </c>
      <c r="AL407" s="41">
        <v>0</v>
      </c>
      <c r="AM407" s="41"/>
      <c r="AN407" s="41" t="e">
        <f t="shared" si="79"/>
        <v>#DIV/0!</v>
      </c>
      <c r="AO407" s="41" t="e">
        <f t="shared" si="78"/>
        <v>#DIV/0!</v>
      </c>
      <c r="AP407" s="40"/>
      <c r="AQ407" s="36"/>
      <c r="AR407" s="36"/>
      <c r="AS407" s="36"/>
      <c r="AT407" s="36"/>
      <c r="AU407" s="36"/>
      <c r="AV407" s="38"/>
      <c r="AW407" s="40"/>
    </row>
    <row r="408" spans="1:49" ht="88.5" customHeight="1" x14ac:dyDescent="0.3">
      <c r="A408" s="35" t="s">
        <v>2500</v>
      </c>
      <c r="B408" s="38">
        <v>44984</v>
      </c>
      <c r="C408" s="40" t="s">
        <v>2077</v>
      </c>
      <c r="D408" s="39" t="s">
        <v>2501</v>
      </c>
      <c r="E408" s="1" t="s">
        <v>2502</v>
      </c>
      <c r="F408" s="36">
        <v>45012</v>
      </c>
      <c r="G408" s="37" t="s">
        <v>2503</v>
      </c>
      <c r="H408" s="40" t="s">
        <v>2089</v>
      </c>
      <c r="I408" s="40" t="s">
        <v>2504</v>
      </c>
      <c r="J408" s="57">
        <v>11369678.25</v>
      </c>
      <c r="K408" s="41">
        <v>11369678.25</v>
      </c>
      <c r="L408" s="30">
        <f t="shared" si="70"/>
        <v>11369678.25</v>
      </c>
      <c r="M408" s="30">
        <f t="shared" si="69"/>
        <v>11369678.25</v>
      </c>
      <c r="N408" s="40" t="s">
        <v>2505</v>
      </c>
      <c r="O408" s="40" t="s">
        <v>2506</v>
      </c>
      <c r="P408" s="40" t="s">
        <v>47</v>
      </c>
      <c r="Q408" s="44">
        <v>100</v>
      </c>
      <c r="R408" s="37">
        <v>0</v>
      </c>
      <c r="S408" s="37" t="s">
        <v>1489</v>
      </c>
      <c r="T408" s="54" t="s">
        <v>2507</v>
      </c>
      <c r="U408" s="30">
        <f>M408/W408</f>
        <v>17.149999999999999</v>
      </c>
      <c r="V408" s="41" t="e">
        <f t="shared" si="77"/>
        <v>#VALUE!</v>
      </c>
      <c r="W408" s="41">
        <f t="shared" si="80"/>
        <v>662955</v>
      </c>
      <c r="X408" s="41">
        <v>464069</v>
      </c>
      <c r="Y408" s="41">
        <v>0</v>
      </c>
      <c r="Z408" s="41">
        <v>0</v>
      </c>
      <c r="AA408" s="41">
        <v>0</v>
      </c>
      <c r="AB408" s="41">
        <v>0</v>
      </c>
      <c r="AC408" s="41">
        <v>198886</v>
      </c>
      <c r="AD408" s="41">
        <v>0</v>
      </c>
      <c r="AE408" s="41">
        <v>0</v>
      </c>
      <c r="AF408" s="41">
        <v>0</v>
      </c>
      <c r="AG408" s="41">
        <v>0</v>
      </c>
      <c r="AH408" s="41">
        <v>0</v>
      </c>
      <c r="AI408" s="41">
        <v>0</v>
      </c>
      <c r="AJ408" s="41">
        <v>0</v>
      </c>
      <c r="AK408" s="41">
        <v>0</v>
      </c>
      <c r="AL408" s="41">
        <v>0</v>
      </c>
      <c r="AM408" s="41"/>
      <c r="AN408" s="41" t="e">
        <f t="shared" si="79"/>
        <v>#VALUE!</v>
      </c>
      <c r="AO408" s="41" t="e">
        <f t="shared" si="78"/>
        <v>#VALUE!</v>
      </c>
      <c r="AP408" s="40"/>
      <c r="AQ408" s="36">
        <v>45047</v>
      </c>
      <c r="AR408" s="36">
        <v>45170</v>
      </c>
      <c r="AS408" s="36"/>
      <c r="AT408" s="36">
        <v>45061</v>
      </c>
      <c r="AU408" s="36">
        <v>45184</v>
      </c>
      <c r="AV408" s="38"/>
      <c r="AW408" s="40" t="s">
        <v>75</v>
      </c>
    </row>
    <row r="409" spans="1:49" ht="88.5" customHeight="1" x14ac:dyDescent="0.3">
      <c r="A409" s="35" t="s">
        <v>2508</v>
      </c>
      <c r="B409" s="38">
        <v>44984</v>
      </c>
      <c r="C409" s="40">
        <v>545</v>
      </c>
      <c r="D409" s="39" t="s">
        <v>2509</v>
      </c>
      <c r="E409" s="1" t="s">
        <v>2510</v>
      </c>
      <c r="F409" s="36">
        <v>45009</v>
      </c>
      <c r="G409" s="37" t="s">
        <v>2511</v>
      </c>
      <c r="H409" s="40" t="s">
        <v>878</v>
      </c>
      <c r="I409" s="40" t="s">
        <v>1535</v>
      </c>
      <c r="J409" s="57">
        <v>6478434.5999999996</v>
      </c>
      <c r="K409" s="41">
        <v>6478434.5999999996</v>
      </c>
      <c r="L409" s="30">
        <f t="shared" si="70"/>
        <v>6478434.5999999996</v>
      </c>
      <c r="M409" s="30">
        <f t="shared" si="70"/>
        <v>6478434.5999999996</v>
      </c>
      <c r="N409" s="40" t="s">
        <v>1536</v>
      </c>
      <c r="O409" s="40" t="s">
        <v>1537</v>
      </c>
      <c r="P409" s="40" t="s">
        <v>348</v>
      </c>
      <c r="Q409" s="44">
        <v>0</v>
      </c>
      <c r="R409" s="37">
        <v>100</v>
      </c>
      <c r="S409" s="37" t="s">
        <v>1964</v>
      </c>
      <c r="T409" s="48">
        <v>30</v>
      </c>
      <c r="U409" s="30">
        <f>M409/W409</f>
        <v>2426.3799999999997</v>
      </c>
      <c r="V409" s="41">
        <f t="shared" si="77"/>
        <v>72791.399999999994</v>
      </c>
      <c r="W409" s="41">
        <f t="shared" si="80"/>
        <v>2670</v>
      </c>
      <c r="X409" s="41">
        <v>2670</v>
      </c>
      <c r="Y409" s="41">
        <v>0</v>
      </c>
      <c r="Z409" s="41">
        <v>0</v>
      </c>
      <c r="AA409" s="41">
        <v>0</v>
      </c>
      <c r="AB409" s="41">
        <v>0</v>
      </c>
      <c r="AC409" s="41">
        <v>0</v>
      </c>
      <c r="AD409" s="41">
        <v>0</v>
      </c>
      <c r="AE409" s="41">
        <v>0</v>
      </c>
      <c r="AF409" s="41">
        <v>0</v>
      </c>
      <c r="AG409" s="41">
        <v>0</v>
      </c>
      <c r="AH409" s="41">
        <v>0</v>
      </c>
      <c r="AI409" s="41">
        <v>0</v>
      </c>
      <c r="AJ409" s="41">
        <v>0</v>
      </c>
      <c r="AK409" s="41">
        <v>0</v>
      </c>
      <c r="AL409" s="41">
        <v>0</v>
      </c>
      <c r="AM409" s="41"/>
      <c r="AN409" s="41">
        <f t="shared" si="79"/>
        <v>89</v>
      </c>
      <c r="AO409" s="41">
        <f t="shared" si="78"/>
        <v>89</v>
      </c>
      <c r="AP409" s="40" t="s">
        <v>1353</v>
      </c>
      <c r="AQ409" s="36">
        <v>45122</v>
      </c>
      <c r="AR409" s="36"/>
      <c r="AS409" s="36"/>
      <c r="AT409" s="36">
        <v>45137</v>
      </c>
      <c r="AU409" s="36"/>
      <c r="AV409" s="38"/>
      <c r="AW409" s="40" t="s">
        <v>87</v>
      </c>
    </row>
    <row r="410" spans="1:49" ht="88.5" customHeight="1" x14ac:dyDescent="0.3">
      <c r="A410" s="35" t="s">
        <v>2512</v>
      </c>
      <c r="B410" s="38">
        <v>44984</v>
      </c>
      <c r="C410" s="40" t="s">
        <v>2077</v>
      </c>
      <c r="D410" s="39" t="s">
        <v>2513</v>
      </c>
      <c r="E410" s="1" t="s">
        <v>2514</v>
      </c>
      <c r="F410" s="36">
        <v>45012</v>
      </c>
      <c r="G410" s="37" t="s">
        <v>2515</v>
      </c>
      <c r="H410" s="40" t="s">
        <v>2516</v>
      </c>
      <c r="I410" s="40" t="s">
        <v>2517</v>
      </c>
      <c r="J410" s="57">
        <v>21159176.800000001</v>
      </c>
      <c r="K410" s="41">
        <v>12785105.199999999</v>
      </c>
      <c r="L410" s="30">
        <v>13047402.199999999</v>
      </c>
      <c r="M410" s="30">
        <f t="shared" ref="M410:M441" si="81">L410</f>
        <v>13047402.199999999</v>
      </c>
      <c r="N410" s="40" t="s">
        <v>2518</v>
      </c>
      <c r="O410" s="40" t="s">
        <v>2519</v>
      </c>
      <c r="P410" s="40" t="s">
        <v>47</v>
      </c>
      <c r="Q410" s="44">
        <v>100</v>
      </c>
      <c r="R410" s="37">
        <v>0</v>
      </c>
      <c r="S410" s="37" t="s">
        <v>1964</v>
      </c>
      <c r="T410" s="48">
        <v>10</v>
      </c>
      <c r="U410" s="30">
        <f>M410/W410</f>
        <v>3.71</v>
      </c>
      <c r="V410" s="41">
        <f t="shared" si="77"/>
        <v>37.1</v>
      </c>
      <c r="W410" s="41">
        <f t="shared" si="80"/>
        <v>3516820</v>
      </c>
      <c r="X410" s="41">
        <v>2412490</v>
      </c>
      <c r="Y410" s="41">
        <v>0</v>
      </c>
      <c r="Z410" s="41">
        <v>0</v>
      </c>
      <c r="AA410" s="41">
        <v>0</v>
      </c>
      <c r="AB410" s="41">
        <v>0</v>
      </c>
      <c r="AC410" s="41">
        <f>1033630+70700</f>
        <v>1104330</v>
      </c>
      <c r="AD410" s="41">
        <v>0</v>
      </c>
      <c r="AE410" s="41">
        <v>0</v>
      </c>
      <c r="AF410" s="41">
        <v>0</v>
      </c>
      <c r="AG410" s="41">
        <v>0</v>
      </c>
      <c r="AH410" s="41">
        <v>0</v>
      </c>
      <c r="AI410" s="41">
        <v>0</v>
      </c>
      <c r="AJ410" s="41">
        <v>0</v>
      </c>
      <c r="AK410" s="41">
        <v>0</v>
      </c>
      <c r="AL410" s="41">
        <v>0</v>
      </c>
      <c r="AM410" s="41"/>
      <c r="AN410" s="41">
        <f t="shared" si="79"/>
        <v>351682</v>
      </c>
      <c r="AO410" s="41">
        <f t="shared" si="78"/>
        <v>351682</v>
      </c>
      <c r="AP410" s="40"/>
      <c r="AQ410" s="36">
        <v>45047</v>
      </c>
      <c r="AR410" s="36">
        <v>45170</v>
      </c>
      <c r="AS410" s="36"/>
      <c r="AT410" s="36">
        <v>45061</v>
      </c>
      <c r="AU410" s="36">
        <v>45184</v>
      </c>
      <c r="AV410" s="38"/>
      <c r="AW410" s="40" t="s">
        <v>49</v>
      </c>
    </row>
    <row r="411" spans="1:49" ht="88.5" customHeight="1" x14ac:dyDescent="0.3">
      <c r="A411" s="35" t="s">
        <v>2520</v>
      </c>
      <c r="B411" s="38">
        <v>44984</v>
      </c>
      <c r="C411" s="40" t="s">
        <v>2077</v>
      </c>
      <c r="D411" s="39" t="s">
        <v>459</v>
      </c>
      <c r="E411" s="1" t="s">
        <v>2521</v>
      </c>
      <c r="F411" s="36" t="s">
        <v>459</v>
      </c>
      <c r="G411" s="37" t="s">
        <v>459</v>
      </c>
      <c r="H411" s="40" t="s">
        <v>459</v>
      </c>
      <c r="I411" s="40" t="s">
        <v>2522</v>
      </c>
      <c r="J411" s="57">
        <v>83995114</v>
      </c>
      <c r="K411" s="41">
        <v>0</v>
      </c>
      <c r="L411" s="30">
        <f t="shared" ref="L411:L449" si="82">K411</f>
        <v>0</v>
      </c>
      <c r="M411" s="30">
        <f t="shared" si="81"/>
        <v>0</v>
      </c>
      <c r="N411" s="40"/>
      <c r="O411" s="40"/>
      <c r="P411" s="40"/>
      <c r="Q411" s="44"/>
      <c r="R411" s="37"/>
      <c r="S411" s="37"/>
      <c r="T411" s="48"/>
      <c r="U411" s="30" t="e">
        <f>M411/W411</f>
        <v>#DIV/0!</v>
      </c>
      <c r="V411" s="41" t="e">
        <f t="shared" si="77"/>
        <v>#DIV/0!</v>
      </c>
      <c r="W411" s="41">
        <f t="shared" si="80"/>
        <v>0</v>
      </c>
      <c r="X411" s="41">
        <v>0</v>
      </c>
      <c r="Y411" s="41">
        <v>0</v>
      </c>
      <c r="Z411" s="41">
        <v>0</v>
      </c>
      <c r="AA411" s="41">
        <v>0</v>
      </c>
      <c r="AB411" s="41">
        <v>0</v>
      </c>
      <c r="AC411" s="41">
        <v>0</v>
      </c>
      <c r="AD411" s="41">
        <v>0</v>
      </c>
      <c r="AE411" s="41">
        <v>0</v>
      </c>
      <c r="AF411" s="41">
        <v>0</v>
      </c>
      <c r="AG411" s="41">
        <v>0</v>
      </c>
      <c r="AH411" s="41">
        <v>0</v>
      </c>
      <c r="AI411" s="41">
        <v>0</v>
      </c>
      <c r="AJ411" s="41">
        <v>0</v>
      </c>
      <c r="AK411" s="41">
        <v>0</v>
      </c>
      <c r="AL411" s="41">
        <v>0</v>
      </c>
      <c r="AM411" s="41"/>
      <c r="AN411" s="41" t="e">
        <f t="shared" si="79"/>
        <v>#DIV/0!</v>
      </c>
      <c r="AO411" s="41" t="e">
        <f t="shared" si="78"/>
        <v>#DIV/0!</v>
      </c>
      <c r="AP411" s="40"/>
      <c r="AQ411" s="36"/>
      <c r="AR411" s="36"/>
      <c r="AS411" s="36"/>
      <c r="AT411" s="36"/>
      <c r="AU411" s="36"/>
      <c r="AV411" s="38"/>
      <c r="AW411" s="40"/>
    </row>
    <row r="412" spans="1:49" ht="88.5" customHeight="1" x14ac:dyDescent="0.3">
      <c r="A412" s="35" t="s">
        <v>2523</v>
      </c>
      <c r="B412" s="38">
        <v>44985</v>
      </c>
      <c r="C412" s="40" t="s">
        <v>2077</v>
      </c>
      <c r="D412" s="39" t="s">
        <v>2524</v>
      </c>
      <c r="E412" s="1" t="s">
        <v>2525</v>
      </c>
      <c r="F412" s="36">
        <v>45012</v>
      </c>
      <c r="G412" s="37" t="s">
        <v>2526</v>
      </c>
      <c r="H412" s="40" t="s">
        <v>2003</v>
      </c>
      <c r="I412" s="40" t="s">
        <v>2527</v>
      </c>
      <c r="J412" s="57">
        <v>49702167.899999999</v>
      </c>
      <c r="K412" s="41">
        <v>46689915.299999997</v>
      </c>
      <c r="L412" s="30">
        <f t="shared" si="82"/>
        <v>46689915.299999997</v>
      </c>
      <c r="M412" s="30">
        <f t="shared" si="81"/>
        <v>46689915.299999997</v>
      </c>
      <c r="N412" s="40" t="s">
        <v>2528</v>
      </c>
      <c r="O412" s="40" t="s">
        <v>2529</v>
      </c>
      <c r="P412" s="40" t="s">
        <v>47</v>
      </c>
      <c r="Q412" s="44">
        <v>100</v>
      </c>
      <c r="R412" s="37">
        <v>0</v>
      </c>
      <c r="S412" s="37" t="s">
        <v>219</v>
      </c>
      <c r="T412" s="48">
        <v>100</v>
      </c>
      <c r="U412" s="30">
        <f>M412/W412</f>
        <v>0.92999999999999994</v>
      </c>
      <c r="V412" s="41">
        <f t="shared" si="77"/>
        <v>93</v>
      </c>
      <c r="W412" s="41">
        <f t="shared" si="80"/>
        <v>50204210</v>
      </c>
      <c r="X412" s="41">
        <v>50204210</v>
      </c>
      <c r="Y412" s="41">
        <v>0</v>
      </c>
      <c r="Z412" s="41">
        <v>0</v>
      </c>
      <c r="AA412" s="41">
        <v>0</v>
      </c>
      <c r="AB412" s="41">
        <v>0</v>
      </c>
      <c r="AC412" s="41">
        <v>0</v>
      </c>
      <c r="AD412" s="41">
        <v>0</v>
      </c>
      <c r="AE412" s="41">
        <v>0</v>
      </c>
      <c r="AF412" s="41">
        <v>0</v>
      </c>
      <c r="AG412" s="41">
        <v>0</v>
      </c>
      <c r="AH412" s="41">
        <v>0</v>
      </c>
      <c r="AI412" s="41">
        <v>0</v>
      </c>
      <c r="AJ412" s="41">
        <v>0</v>
      </c>
      <c r="AK412" s="41">
        <v>0</v>
      </c>
      <c r="AL412" s="41">
        <v>0</v>
      </c>
      <c r="AM412" s="41"/>
      <c r="AN412" s="41">
        <f t="shared" si="79"/>
        <v>502042.1</v>
      </c>
      <c r="AO412" s="41">
        <f t="shared" si="78"/>
        <v>502043</v>
      </c>
      <c r="AP412" s="40"/>
      <c r="AQ412" s="36">
        <v>45047</v>
      </c>
      <c r="AR412" s="36"/>
      <c r="AS412" s="36"/>
      <c r="AT412" s="36">
        <v>45061</v>
      </c>
      <c r="AU412" s="36"/>
      <c r="AV412" s="38"/>
      <c r="AW412" s="40" t="s">
        <v>49</v>
      </c>
    </row>
    <row r="413" spans="1:49" ht="88.5" customHeight="1" x14ac:dyDescent="0.3">
      <c r="A413" s="35" t="s">
        <v>2530</v>
      </c>
      <c r="B413" s="38">
        <v>44985</v>
      </c>
      <c r="C413" s="40" t="s">
        <v>2077</v>
      </c>
      <c r="D413" s="39" t="s">
        <v>2531</v>
      </c>
      <c r="E413" s="1" t="s">
        <v>2532</v>
      </c>
      <c r="F413" s="36">
        <v>45012</v>
      </c>
      <c r="G413" s="37" t="s">
        <v>2533</v>
      </c>
      <c r="H413" s="40" t="s">
        <v>2081</v>
      </c>
      <c r="I413" s="40" t="s">
        <v>2244</v>
      </c>
      <c r="J413" s="57">
        <v>31368401.699999999</v>
      </c>
      <c r="K413" s="41">
        <v>31203159.899999999</v>
      </c>
      <c r="L413" s="30">
        <f t="shared" si="82"/>
        <v>31203159.899999999</v>
      </c>
      <c r="M413" s="30">
        <f t="shared" si="81"/>
        <v>31203159.899999999</v>
      </c>
      <c r="N413" s="40" t="s">
        <v>2534</v>
      </c>
      <c r="O413" s="40" t="s">
        <v>2535</v>
      </c>
      <c r="P413" s="40" t="s">
        <v>47</v>
      </c>
      <c r="Q413" s="44">
        <v>100</v>
      </c>
      <c r="R413" s="37">
        <v>0</v>
      </c>
      <c r="S413" s="37" t="s">
        <v>1964</v>
      </c>
      <c r="T413" s="48">
        <v>5</v>
      </c>
      <c r="U413" s="30">
        <f>M413/W413</f>
        <v>22.66</v>
      </c>
      <c r="V413" s="41">
        <f t="shared" si="77"/>
        <v>113.3</v>
      </c>
      <c r="W413" s="41">
        <f t="shared" si="80"/>
        <v>1377015</v>
      </c>
      <c r="X413" s="41">
        <v>1377015</v>
      </c>
      <c r="Y413" s="41">
        <v>0</v>
      </c>
      <c r="Z413" s="41">
        <v>0</v>
      </c>
      <c r="AA413" s="41">
        <v>0</v>
      </c>
      <c r="AB413" s="41">
        <v>0</v>
      </c>
      <c r="AC413" s="41">
        <v>0</v>
      </c>
      <c r="AD413" s="41">
        <v>0</v>
      </c>
      <c r="AE413" s="41">
        <v>0</v>
      </c>
      <c r="AF413" s="41">
        <v>0</v>
      </c>
      <c r="AG413" s="41">
        <v>0</v>
      </c>
      <c r="AH413" s="41">
        <v>0</v>
      </c>
      <c r="AI413" s="41">
        <v>0</v>
      </c>
      <c r="AJ413" s="41">
        <v>0</v>
      </c>
      <c r="AK413" s="41">
        <v>0</v>
      </c>
      <c r="AL413" s="41">
        <v>0</v>
      </c>
      <c r="AM413" s="41"/>
      <c r="AN413" s="41">
        <f t="shared" si="79"/>
        <v>275403</v>
      </c>
      <c r="AO413" s="41">
        <f t="shared" si="78"/>
        <v>275403</v>
      </c>
      <c r="AP413" s="40"/>
      <c r="AQ413" s="36">
        <v>45047</v>
      </c>
      <c r="AR413" s="36"/>
      <c r="AS413" s="36"/>
      <c r="AT413" s="36">
        <v>45061</v>
      </c>
      <c r="AU413" s="36"/>
      <c r="AV413" s="38"/>
      <c r="AW413" s="40" t="s">
        <v>87</v>
      </c>
    </row>
    <row r="414" spans="1:49" ht="88.5" customHeight="1" x14ac:dyDescent="0.3">
      <c r="A414" s="35" t="s">
        <v>2536</v>
      </c>
      <c r="B414" s="38">
        <v>44985</v>
      </c>
      <c r="C414" s="40" t="s">
        <v>162</v>
      </c>
      <c r="D414" s="39" t="s">
        <v>2537</v>
      </c>
      <c r="E414" s="1" t="s">
        <v>2538</v>
      </c>
      <c r="F414" s="36">
        <v>45009</v>
      </c>
      <c r="G414" s="37" t="s">
        <v>2539</v>
      </c>
      <c r="H414" s="40" t="s">
        <v>177</v>
      </c>
      <c r="I414" s="40" t="s">
        <v>1185</v>
      </c>
      <c r="J414" s="57">
        <v>27672354.5</v>
      </c>
      <c r="K414" s="41">
        <v>27672354.5</v>
      </c>
      <c r="L414" s="30">
        <v>28375157</v>
      </c>
      <c r="M414" s="30">
        <f t="shared" si="81"/>
        <v>28375157</v>
      </c>
      <c r="N414" s="40" t="s">
        <v>2540</v>
      </c>
      <c r="O414" s="40" t="s">
        <v>2541</v>
      </c>
      <c r="P414" s="40" t="s">
        <v>218</v>
      </c>
      <c r="Q414" s="44">
        <v>0</v>
      </c>
      <c r="R414" s="37">
        <v>100</v>
      </c>
      <c r="S414" s="37" t="s">
        <v>1964</v>
      </c>
      <c r="T414" s="48">
        <v>60</v>
      </c>
      <c r="U414" s="30">
        <f>M414/W414</f>
        <v>56.45</v>
      </c>
      <c r="V414" s="41">
        <f t="shared" si="77"/>
        <v>3387</v>
      </c>
      <c r="W414" s="41">
        <f t="shared" si="80"/>
        <v>502660</v>
      </c>
      <c r="X414" s="41">
        <v>468615</v>
      </c>
      <c r="Y414" s="41">
        <v>0</v>
      </c>
      <c r="Z414" s="41">
        <v>0</v>
      </c>
      <c r="AA414" s="41">
        <v>0</v>
      </c>
      <c r="AB414" s="41">
        <v>0</v>
      </c>
      <c r="AC414" s="41">
        <f>32710+1335</f>
        <v>34045</v>
      </c>
      <c r="AD414" s="41">
        <v>0</v>
      </c>
      <c r="AE414" s="41">
        <v>0</v>
      </c>
      <c r="AF414" s="41">
        <v>0</v>
      </c>
      <c r="AG414" s="41">
        <v>0</v>
      </c>
      <c r="AH414" s="41">
        <v>0</v>
      </c>
      <c r="AI414" s="41">
        <v>0</v>
      </c>
      <c r="AJ414" s="41">
        <v>0</v>
      </c>
      <c r="AK414" s="41">
        <v>0</v>
      </c>
      <c r="AL414" s="41">
        <v>0</v>
      </c>
      <c r="AM414" s="41"/>
      <c r="AN414" s="41">
        <f t="shared" si="79"/>
        <v>8377.6666666666661</v>
      </c>
      <c r="AO414" s="41">
        <f t="shared" si="78"/>
        <v>8378</v>
      </c>
      <c r="AP414" s="40"/>
      <c r="AQ414" s="36">
        <v>45139</v>
      </c>
      <c r="AR414" s="36">
        <v>45199</v>
      </c>
      <c r="AS414" s="36"/>
      <c r="AT414" s="36">
        <v>45153</v>
      </c>
      <c r="AU414" s="36">
        <v>45214</v>
      </c>
      <c r="AV414" s="38"/>
      <c r="AW414" s="40" t="s">
        <v>75</v>
      </c>
    </row>
    <row r="415" spans="1:49" ht="88.5" customHeight="1" x14ac:dyDescent="0.3">
      <c r="A415" s="35" t="s">
        <v>2542</v>
      </c>
      <c r="B415" s="38">
        <v>44985</v>
      </c>
      <c r="C415" s="40" t="s">
        <v>2077</v>
      </c>
      <c r="D415" s="39" t="s">
        <v>2543</v>
      </c>
      <c r="E415" s="1" t="s">
        <v>2544</v>
      </c>
      <c r="F415" s="36">
        <v>45009</v>
      </c>
      <c r="G415" s="37" t="s">
        <v>2545</v>
      </c>
      <c r="H415" s="40" t="s">
        <v>2003</v>
      </c>
      <c r="I415" s="40" t="s">
        <v>2546</v>
      </c>
      <c r="J415" s="57">
        <v>70261742.140000001</v>
      </c>
      <c r="K415" s="41">
        <v>70261742.140000001</v>
      </c>
      <c r="L415" s="30">
        <v>73373678.939999998</v>
      </c>
      <c r="M415" s="30">
        <f t="shared" si="81"/>
        <v>73373678.939999998</v>
      </c>
      <c r="N415" s="40" t="s">
        <v>2547</v>
      </c>
      <c r="O415" s="40" t="s">
        <v>2548</v>
      </c>
      <c r="P415" s="40" t="s">
        <v>47</v>
      </c>
      <c r="Q415" s="44">
        <v>100</v>
      </c>
      <c r="R415" s="37">
        <v>0</v>
      </c>
      <c r="S415" s="37" t="s">
        <v>1964</v>
      </c>
      <c r="T415" s="54" t="s">
        <v>2549</v>
      </c>
      <c r="U415" s="30">
        <f>M415/W415</f>
        <v>13.059999999999999</v>
      </c>
      <c r="V415" s="41" t="e">
        <f>U415*T415</f>
        <v>#VALUE!</v>
      </c>
      <c r="W415" s="41">
        <f t="shared" si="80"/>
        <v>5618199</v>
      </c>
      <c r="X415" s="41">
        <v>3765943</v>
      </c>
      <c r="Y415" s="41">
        <v>0</v>
      </c>
      <c r="Z415" s="41">
        <v>0</v>
      </c>
      <c r="AA415" s="41">
        <v>0</v>
      </c>
      <c r="AB415" s="41">
        <v>0</v>
      </c>
      <c r="AC415" s="41">
        <f>1613976+238280</f>
        <v>1852256</v>
      </c>
      <c r="AD415" s="41">
        <v>0</v>
      </c>
      <c r="AE415" s="41">
        <v>0</v>
      </c>
      <c r="AF415" s="41">
        <v>0</v>
      </c>
      <c r="AG415" s="41">
        <v>0</v>
      </c>
      <c r="AH415" s="41">
        <v>0</v>
      </c>
      <c r="AI415" s="41">
        <v>0</v>
      </c>
      <c r="AJ415" s="41">
        <v>0</v>
      </c>
      <c r="AK415" s="41">
        <v>0</v>
      </c>
      <c r="AL415" s="41">
        <v>0</v>
      </c>
      <c r="AM415" s="41"/>
      <c r="AN415" s="41" t="e">
        <f t="shared" si="79"/>
        <v>#VALUE!</v>
      </c>
      <c r="AO415" s="41" t="e">
        <f t="shared" si="78"/>
        <v>#VALUE!</v>
      </c>
      <c r="AP415" s="40"/>
      <c r="AQ415" s="36">
        <v>45047</v>
      </c>
      <c r="AR415" s="36">
        <v>45170</v>
      </c>
      <c r="AS415" s="36"/>
      <c r="AT415" s="36">
        <v>45061</v>
      </c>
      <c r="AU415" s="36">
        <v>45184</v>
      </c>
      <c r="AV415" s="38"/>
      <c r="AW415" s="40" t="s">
        <v>49</v>
      </c>
    </row>
    <row r="416" spans="1:49" ht="88.5" customHeight="1" x14ac:dyDescent="0.3">
      <c r="A416" s="35" t="s">
        <v>2550</v>
      </c>
      <c r="B416" s="38">
        <v>44988</v>
      </c>
      <c r="C416" s="40">
        <v>545</v>
      </c>
      <c r="D416" s="39" t="s">
        <v>2551</v>
      </c>
      <c r="E416" s="1" t="s">
        <v>2552</v>
      </c>
      <c r="F416" s="36">
        <v>45009</v>
      </c>
      <c r="G416" s="37" t="s">
        <v>2553</v>
      </c>
      <c r="H416" s="40" t="s">
        <v>878</v>
      </c>
      <c r="I416" s="40" t="s">
        <v>2554</v>
      </c>
      <c r="J416" s="57">
        <v>4236447.5999999996</v>
      </c>
      <c r="K416" s="41">
        <v>4236447.5999999996</v>
      </c>
      <c r="L416" s="30">
        <f t="shared" si="82"/>
        <v>4236447.5999999996</v>
      </c>
      <c r="M416" s="30">
        <f t="shared" si="81"/>
        <v>4236447.5999999996</v>
      </c>
      <c r="N416" s="40" t="s">
        <v>2555</v>
      </c>
      <c r="O416" s="40" t="s">
        <v>2556</v>
      </c>
      <c r="P416" s="40" t="s">
        <v>218</v>
      </c>
      <c r="Q416" s="44">
        <v>0</v>
      </c>
      <c r="R416" s="37">
        <v>100</v>
      </c>
      <c r="S416" s="37" t="s">
        <v>1964</v>
      </c>
      <c r="T416" s="48">
        <v>60</v>
      </c>
      <c r="U416" s="30">
        <f>M416/W416</f>
        <v>4153.3799999999992</v>
      </c>
      <c r="V416" s="41">
        <f t="shared" si="77"/>
        <v>249202.79999999996</v>
      </c>
      <c r="W416" s="41">
        <f t="shared" si="80"/>
        <v>1020</v>
      </c>
      <c r="X416" s="41">
        <v>1020</v>
      </c>
      <c r="Y416" s="41">
        <v>0</v>
      </c>
      <c r="Z416" s="41">
        <v>0</v>
      </c>
      <c r="AA416" s="41">
        <v>0</v>
      </c>
      <c r="AB416" s="41">
        <v>0</v>
      </c>
      <c r="AC416" s="41">
        <v>0</v>
      </c>
      <c r="AD416" s="41">
        <v>0</v>
      </c>
      <c r="AE416" s="41">
        <v>0</v>
      </c>
      <c r="AF416" s="41">
        <v>0</v>
      </c>
      <c r="AG416" s="41">
        <v>0</v>
      </c>
      <c r="AH416" s="41">
        <v>0</v>
      </c>
      <c r="AI416" s="41">
        <v>0</v>
      </c>
      <c r="AJ416" s="41">
        <v>0</v>
      </c>
      <c r="AK416" s="41">
        <v>0</v>
      </c>
      <c r="AL416" s="41">
        <v>0</v>
      </c>
      <c r="AM416" s="41"/>
      <c r="AN416" s="41">
        <f t="shared" si="79"/>
        <v>17</v>
      </c>
      <c r="AO416" s="41">
        <f t="shared" si="78"/>
        <v>17</v>
      </c>
      <c r="AP416" s="40" t="s">
        <v>2557</v>
      </c>
      <c r="AQ416" s="36">
        <v>45031</v>
      </c>
      <c r="AR416" s="36"/>
      <c r="AS416" s="36"/>
      <c r="AT416" s="36">
        <v>45046</v>
      </c>
      <c r="AU416" s="36"/>
      <c r="AV416" s="38"/>
      <c r="AW416" s="40" t="s">
        <v>87</v>
      </c>
    </row>
    <row r="417" spans="1:49" s="34" customFormat="1" ht="88.5" customHeight="1" x14ac:dyDescent="0.3">
      <c r="A417" s="35" t="s">
        <v>2558</v>
      </c>
      <c r="B417" s="38">
        <v>44988</v>
      </c>
      <c r="C417" s="40">
        <v>545</v>
      </c>
      <c r="D417" s="39" t="s">
        <v>2559</v>
      </c>
      <c r="E417" s="1" t="s">
        <v>2560</v>
      </c>
      <c r="F417" s="36">
        <v>45009</v>
      </c>
      <c r="G417" s="37" t="s">
        <v>2561</v>
      </c>
      <c r="H417" s="40" t="s">
        <v>878</v>
      </c>
      <c r="I417" s="40" t="s">
        <v>1525</v>
      </c>
      <c r="J417" s="57">
        <v>29465290.800000001</v>
      </c>
      <c r="K417" s="41">
        <v>29465290.800000001</v>
      </c>
      <c r="L417" s="30">
        <v>37792438.200000003</v>
      </c>
      <c r="M417" s="30">
        <f t="shared" si="81"/>
        <v>37792438.200000003</v>
      </c>
      <c r="N417" s="40" t="s">
        <v>1536</v>
      </c>
      <c r="O417" s="40" t="s">
        <v>1963</v>
      </c>
      <c r="P417" s="40" t="s">
        <v>348</v>
      </c>
      <c r="Q417" s="44">
        <v>0</v>
      </c>
      <c r="R417" s="37">
        <v>100</v>
      </c>
      <c r="S417" s="37" t="s">
        <v>1964</v>
      </c>
      <c r="T417" s="48">
        <v>30</v>
      </c>
      <c r="U417" s="30">
        <f>M417/W417</f>
        <v>970.53000000000009</v>
      </c>
      <c r="V417" s="41">
        <f t="shared" si="77"/>
        <v>29115.9</v>
      </c>
      <c r="W417" s="41">
        <f t="shared" si="80"/>
        <v>38940</v>
      </c>
      <c r="X417" s="41">
        <f>30360+8580</f>
        <v>38940</v>
      </c>
      <c r="Y417" s="41">
        <v>0</v>
      </c>
      <c r="Z417" s="41">
        <v>0</v>
      </c>
      <c r="AA417" s="41">
        <v>0</v>
      </c>
      <c r="AB417" s="41">
        <v>0</v>
      </c>
      <c r="AC417" s="41">
        <v>0</v>
      </c>
      <c r="AD417" s="41">
        <v>0</v>
      </c>
      <c r="AE417" s="41">
        <v>0</v>
      </c>
      <c r="AF417" s="41">
        <v>0</v>
      </c>
      <c r="AG417" s="41">
        <v>0</v>
      </c>
      <c r="AH417" s="41">
        <v>0</v>
      </c>
      <c r="AI417" s="41">
        <v>0</v>
      </c>
      <c r="AJ417" s="41">
        <v>0</v>
      </c>
      <c r="AK417" s="41">
        <v>0</v>
      </c>
      <c r="AL417" s="41">
        <v>0</v>
      </c>
      <c r="AM417" s="41"/>
      <c r="AN417" s="41">
        <f t="shared" si="79"/>
        <v>1298</v>
      </c>
      <c r="AO417" s="41">
        <f t="shared" si="78"/>
        <v>1298</v>
      </c>
      <c r="AP417" s="40" t="s">
        <v>1353</v>
      </c>
      <c r="AQ417" s="36">
        <v>45122</v>
      </c>
      <c r="AR417" s="36"/>
      <c r="AS417" s="36"/>
      <c r="AT417" s="36">
        <v>45137</v>
      </c>
      <c r="AU417" s="36"/>
      <c r="AV417" s="38"/>
      <c r="AW417" s="40" t="s">
        <v>87</v>
      </c>
    </row>
    <row r="418" spans="1:49" s="34" customFormat="1" ht="88.5" customHeight="1" x14ac:dyDescent="0.3">
      <c r="A418" s="35" t="s">
        <v>2562</v>
      </c>
      <c r="B418" s="38">
        <v>44988</v>
      </c>
      <c r="C418" s="40" t="s">
        <v>2077</v>
      </c>
      <c r="D418" s="39" t="s">
        <v>2563</v>
      </c>
      <c r="E418" s="1" t="s">
        <v>2564</v>
      </c>
      <c r="F418" s="36">
        <v>45009</v>
      </c>
      <c r="G418" s="37" t="s">
        <v>2565</v>
      </c>
      <c r="H418" s="40" t="s">
        <v>177</v>
      </c>
      <c r="I418" s="40" t="s">
        <v>2566</v>
      </c>
      <c r="J418" s="57">
        <v>199642806.78</v>
      </c>
      <c r="K418" s="41">
        <v>199642806.78</v>
      </c>
      <c r="L418" s="30">
        <v>212232277.25999999</v>
      </c>
      <c r="M418" s="30">
        <f t="shared" si="81"/>
        <v>212232277.25999999</v>
      </c>
      <c r="N418" s="40" t="s">
        <v>2567</v>
      </c>
      <c r="O418" s="40" t="s">
        <v>2568</v>
      </c>
      <c r="P418" s="40" t="s">
        <v>357</v>
      </c>
      <c r="Q418" s="44">
        <v>0</v>
      </c>
      <c r="R418" s="37">
        <v>100</v>
      </c>
      <c r="S418" s="37" t="s">
        <v>1964</v>
      </c>
      <c r="T418" s="48">
        <v>48</v>
      </c>
      <c r="U418" s="30">
        <f>M418/W418</f>
        <v>144.66</v>
      </c>
      <c r="V418" s="41">
        <f t="shared" si="77"/>
        <v>6943.68</v>
      </c>
      <c r="W418" s="41">
        <f t="shared" si="80"/>
        <v>1467111</v>
      </c>
      <c r="X418" s="41">
        <v>479904</v>
      </c>
      <c r="Y418" s="41">
        <v>0</v>
      </c>
      <c r="Z418" s="41">
        <v>0</v>
      </c>
      <c r="AA418" s="41">
        <v>0</v>
      </c>
      <c r="AB418" s="41">
        <v>0</v>
      </c>
      <c r="AC418" s="41">
        <v>383952</v>
      </c>
      <c r="AD418" s="41">
        <v>0</v>
      </c>
      <c r="AE418" s="41">
        <v>0</v>
      </c>
      <c r="AF418" s="41">
        <v>0</v>
      </c>
      <c r="AG418" s="41">
        <v>0</v>
      </c>
      <c r="AH418" s="41">
        <f>516227+87028</f>
        <v>603255</v>
      </c>
      <c r="AI418" s="41">
        <v>0</v>
      </c>
      <c r="AJ418" s="41">
        <v>0</v>
      </c>
      <c r="AK418" s="41">
        <v>0</v>
      </c>
      <c r="AL418" s="41">
        <v>0</v>
      </c>
      <c r="AM418" s="41"/>
      <c r="AN418" s="41">
        <f t="shared" si="79"/>
        <v>30564.8125</v>
      </c>
      <c r="AO418" s="41">
        <f t="shared" si="78"/>
        <v>30565</v>
      </c>
      <c r="AP418" s="40"/>
      <c r="AQ418" s="36">
        <v>45047</v>
      </c>
      <c r="AR418" s="36">
        <v>45078</v>
      </c>
      <c r="AS418" s="36">
        <v>45184</v>
      </c>
      <c r="AT418" s="36">
        <v>45061</v>
      </c>
      <c r="AU418" s="36">
        <v>45092</v>
      </c>
      <c r="AV418" s="38">
        <v>45199</v>
      </c>
      <c r="AW418" s="40" t="s">
        <v>68</v>
      </c>
    </row>
    <row r="419" spans="1:49" s="34" customFormat="1" ht="88.5" customHeight="1" x14ac:dyDescent="0.3">
      <c r="A419" s="35" t="s">
        <v>2569</v>
      </c>
      <c r="B419" s="38">
        <v>44988</v>
      </c>
      <c r="C419" s="40" t="s">
        <v>2077</v>
      </c>
      <c r="D419" s="39" t="s">
        <v>2570</v>
      </c>
      <c r="E419" s="1" t="s">
        <v>2571</v>
      </c>
      <c r="F419" s="36">
        <v>45012</v>
      </c>
      <c r="G419" s="37" t="s">
        <v>2572</v>
      </c>
      <c r="H419" s="40" t="s">
        <v>2003</v>
      </c>
      <c r="I419" s="40" t="s">
        <v>2573</v>
      </c>
      <c r="J419" s="57">
        <v>64781337.600000001</v>
      </c>
      <c r="K419" s="57">
        <v>64781337.600000001</v>
      </c>
      <c r="L419" s="30">
        <f t="shared" si="82"/>
        <v>64781337.600000001</v>
      </c>
      <c r="M419" s="30">
        <f t="shared" si="81"/>
        <v>64781337.600000001</v>
      </c>
      <c r="N419" s="40" t="s">
        <v>2574</v>
      </c>
      <c r="O419" s="40" t="s">
        <v>2575</v>
      </c>
      <c r="P419" s="40" t="s">
        <v>47</v>
      </c>
      <c r="Q419" s="44">
        <v>100</v>
      </c>
      <c r="R419" s="37">
        <v>0</v>
      </c>
      <c r="S419" s="37" t="s">
        <v>1964</v>
      </c>
      <c r="T419" s="54" t="s">
        <v>2576</v>
      </c>
      <c r="U419" s="30">
        <f>M419/W419</f>
        <v>32.4</v>
      </c>
      <c r="V419" s="41" t="e">
        <f t="shared" si="77"/>
        <v>#VALUE!</v>
      </c>
      <c r="W419" s="41">
        <f t="shared" si="80"/>
        <v>1999424</v>
      </c>
      <c r="X419" s="41">
        <v>1999424</v>
      </c>
      <c r="Y419" s="41">
        <v>0</v>
      </c>
      <c r="Z419" s="41">
        <v>0</v>
      </c>
      <c r="AA419" s="41">
        <v>0</v>
      </c>
      <c r="AB419" s="41">
        <v>0</v>
      </c>
      <c r="AC419" s="41">
        <v>0</v>
      </c>
      <c r="AD419" s="41">
        <v>0</v>
      </c>
      <c r="AE419" s="41">
        <v>0</v>
      </c>
      <c r="AF419" s="41">
        <v>0</v>
      </c>
      <c r="AG419" s="41">
        <v>0</v>
      </c>
      <c r="AH419" s="41">
        <v>0</v>
      </c>
      <c r="AI419" s="41">
        <v>0</v>
      </c>
      <c r="AJ419" s="41">
        <v>0</v>
      </c>
      <c r="AK419" s="41">
        <v>0</v>
      </c>
      <c r="AL419" s="41">
        <v>0</v>
      </c>
      <c r="AM419" s="41"/>
      <c r="AN419" s="41" t="e">
        <f t="shared" si="79"/>
        <v>#VALUE!</v>
      </c>
      <c r="AO419" s="41" t="e">
        <f t="shared" si="78"/>
        <v>#VALUE!</v>
      </c>
      <c r="AP419" s="40"/>
      <c r="AQ419" s="36">
        <v>45047</v>
      </c>
      <c r="AR419" s="36"/>
      <c r="AS419" s="36"/>
      <c r="AT419" s="36">
        <v>45061</v>
      </c>
      <c r="AU419" s="36"/>
      <c r="AV419" s="38"/>
      <c r="AW419" s="40" t="s">
        <v>87</v>
      </c>
    </row>
    <row r="420" spans="1:49" s="34" customFormat="1" ht="88.5" customHeight="1" x14ac:dyDescent="0.3">
      <c r="A420" s="35" t="s">
        <v>2577</v>
      </c>
      <c r="B420" s="38">
        <v>44991</v>
      </c>
      <c r="C420" s="40">
        <v>545</v>
      </c>
      <c r="D420" s="39" t="s">
        <v>2578</v>
      </c>
      <c r="E420" s="1" t="s">
        <v>2579</v>
      </c>
      <c r="F420" s="36">
        <v>45012</v>
      </c>
      <c r="G420" s="37" t="s">
        <v>2580</v>
      </c>
      <c r="H420" s="40" t="s">
        <v>802</v>
      </c>
      <c r="I420" s="40" t="s">
        <v>2581</v>
      </c>
      <c r="J420" s="57">
        <v>202607401.91999999</v>
      </c>
      <c r="K420" s="41">
        <v>202607401.91999999</v>
      </c>
      <c r="L420" s="30">
        <v>261000801.59999999</v>
      </c>
      <c r="M420" s="30">
        <f t="shared" si="81"/>
        <v>261000801.59999999</v>
      </c>
      <c r="N420" s="40" t="s">
        <v>2582</v>
      </c>
      <c r="O420" s="40" t="s">
        <v>2583</v>
      </c>
      <c r="P420" s="40" t="s">
        <v>1436</v>
      </c>
      <c r="Q420" s="44">
        <v>0</v>
      </c>
      <c r="R420" s="37">
        <v>100</v>
      </c>
      <c r="S420" s="37" t="s">
        <v>1964</v>
      </c>
      <c r="T420" s="48">
        <v>112</v>
      </c>
      <c r="U420" s="30">
        <f>M420/W420</f>
        <v>7899.54</v>
      </c>
      <c r="V420" s="41">
        <f t="shared" si="77"/>
        <v>884748.48</v>
      </c>
      <c r="W420" s="41">
        <f t="shared" si="80"/>
        <v>33040</v>
      </c>
      <c r="X420" s="41">
        <v>24976</v>
      </c>
      <c r="Y420" s="41">
        <v>0</v>
      </c>
      <c r="Z420" s="41">
        <v>0</v>
      </c>
      <c r="AA420" s="41">
        <v>0</v>
      </c>
      <c r="AB420" s="41">
        <v>0</v>
      </c>
      <c r="AC420" s="41">
        <f>6272+1568+224</f>
        <v>8064</v>
      </c>
      <c r="AD420" s="41">
        <v>0</v>
      </c>
      <c r="AE420" s="41">
        <v>0</v>
      </c>
      <c r="AF420" s="41">
        <v>0</v>
      </c>
      <c r="AG420" s="41">
        <v>0</v>
      </c>
      <c r="AH420" s="41">
        <v>0</v>
      </c>
      <c r="AI420" s="41">
        <v>0</v>
      </c>
      <c r="AJ420" s="41">
        <v>0</v>
      </c>
      <c r="AK420" s="41">
        <v>0</v>
      </c>
      <c r="AL420" s="41">
        <v>0</v>
      </c>
      <c r="AM420" s="41"/>
      <c r="AN420" s="41">
        <f t="shared" si="79"/>
        <v>295</v>
      </c>
      <c r="AO420" s="41">
        <f t="shared" si="78"/>
        <v>295</v>
      </c>
      <c r="AP420" s="40" t="s">
        <v>1353</v>
      </c>
      <c r="AQ420" s="36">
        <v>45078</v>
      </c>
      <c r="AR420" s="36">
        <v>45138</v>
      </c>
      <c r="AS420" s="36"/>
      <c r="AT420" s="36">
        <v>45092</v>
      </c>
      <c r="AU420" s="36">
        <v>45153</v>
      </c>
      <c r="AV420" s="38"/>
      <c r="AW420" s="40" t="s">
        <v>87</v>
      </c>
    </row>
    <row r="421" spans="1:49" s="34" customFormat="1" ht="88.5" customHeight="1" x14ac:dyDescent="0.3">
      <c r="A421" s="35" t="s">
        <v>2584</v>
      </c>
      <c r="B421" s="38">
        <v>44994</v>
      </c>
      <c r="C421" s="40">
        <v>1688</v>
      </c>
      <c r="D421" s="39" t="s">
        <v>459</v>
      </c>
      <c r="E421" s="1" t="s">
        <v>2585</v>
      </c>
      <c r="F421" s="36" t="s">
        <v>459</v>
      </c>
      <c r="G421" s="37" t="s">
        <v>459</v>
      </c>
      <c r="H421" s="40" t="s">
        <v>459</v>
      </c>
      <c r="I421" s="40" t="s">
        <v>2586</v>
      </c>
      <c r="J421" s="57">
        <v>21120000</v>
      </c>
      <c r="K421" s="41">
        <v>0</v>
      </c>
      <c r="L421" s="30">
        <f t="shared" si="82"/>
        <v>0</v>
      </c>
      <c r="M421" s="30">
        <f t="shared" si="81"/>
        <v>0</v>
      </c>
      <c r="N421" s="40"/>
      <c r="O421" s="40"/>
      <c r="P421" s="40"/>
      <c r="Q421" s="44"/>
      <c r="R421" s="37"/>
      <c r="S421" s="37"/>
      <c r="T421" s="48"/>
      <c r="U421" s="30" t="e">
        <f>M421/W421</f>
        <v>#DIV/0!</v>
      </c>
      <c r="V421" s="41" t="e">
        <f t="shared" si="77"/>
        <v>#DIV/0!</v>
      </c>
      <c r="W421" s="41">
        <f t="shared" si="80"/>
        <v>0</v>
      </c>
      <c r="X421" s="41">
        <v>0</v>
      </c>
      <c r="Y421" s="41">
        <v>0</v>
      </c>
      <c r="Z421" s="41">
        <v>0</v>
      </c>
      <c r="AA421" s="41">
        <v>0</v>
      </c>
      <c r="AB421" s="41">
        <v>0</v>
      </c>
      <c r="AC421" s="41">
        <v>0</v>
      </c>
      <c r="AD421" s="41">
        <v>0</v>
      </c>
      <c r="AE421" s="41">
        <v>0</v>
      </c>
      <c r="AF421" s="41">
        <v>0</v>
      </c>
      <c r="AG421" s="41">
        <v>0</v>
      </c>
      <c r="AH421" s="41">
        <v>0</v>
      </c>
      <c r="AI421" s="41">
        <v>0</v>
      </c>
      <c r="AJ421" s="41">
        <v>0</v>
      </c>
      <c r="AK421" s="41">
        <v>0</v>
      </c>
      <c r="AL421" s="41">
        <v>0</v>
      </c>
      <c r="AM421" s="41"/>
      <c r="AN421" s="41" t="e">
        <f t="shared" si="79"/>
        <v>#DIV/0!</v>
      </c>
      <c r="AO421" s="41" t="e">
        <f t="shared" si="78"/>
        <v>#DIV/0!</v>
      </c>
      <c r="AP421" s="40"/>
      <c r="AQ421" s="36"/>
      <c r="AR421" s="36"/>
      <c r="AS421" s="36"/>
      <c r="AT421" s="36"/>
      <c r="AU421" s="36"/>
      <c r="AV421" s="38"/>
      <c r="AW421" s="40"/>
    </row>
    <row r="422" spans="1:49" s="34" customFormat="1" ht="88.5" customHeight="1" x14ac:dyDescent="0.3">
      <c r="A422" s="35" t="s">
        <v>2587</v>
      </c>
      <c r="B422" s="38">
        <v>44994</v>
      </c>
      <c r="C422" s="40">
        <v>545</v>
      </c>
      <c r="D422" s="39" t="s">
        <v>2588</v>
      </c>
      <c r="E422" s="1" t="s">
        <v>2589</v>
      </c>
      <c r="F422" s="36">
        <v>45013</v>
      </c>
      <c r="G422" s="37" t="s">
        <v>2590</v>
      </c>
      <c r="H422" s="40" t="s">
        <v>2591</v>
      </c>
      <c r="I422" s="40" t="s">
        <v>1486</v>
      </c>
      <c r="J422" s="57">
        <v>205845139.5</v>
      </c>
      <c r="K422" s="41">
        <v>205845139.5</v>
      </c>
      <c r="L422" s="30">
        <v>255141386.5</v>
      </c>
      <c r="M422" s="30">
        <f t="shared" si="81"/>
        <v>255141386.5</v>
      </c>
      <c r="N422" s="40" t="s">
        <v>1487</v>
      </c>
      <c r="O422" s="40" t="s">
        <v>2592</v>
      </c>
      <c r="P422" s="40" t="s">
        <v>348</v>
      </c>
      <c r="Q422" s="44">
        <v>0</v>
      </c>
      <c r="R422" s="37">
        <v>100</v>
      </c>
      <c r="S422" s="37" t="s">
        <v>1489</v>
      </c>
      <c r="T422" s="48">
        <v>2</v>
      </c>
      <c r="U422" s="30">
        <f>M422/W422</f>
        <v>333082.75</v>
      </c>
      <c r="V422" s="41">
        <f t="shared" si="77"/>
        <v>666165.5</v>
      </c>
      <c r="W422" s="41">
        <f>618+148</f>
        <v>766</v>
      </c>
      <c r="X422" s="41">
        <v>766</v>
      </c>
      <c r="Y422" s="41">
        <v>0</v>
      </c>
      <c r="Z422" s="41">
        <v>0</v>
      </c>
      <c r="AA422" s="41">
        <v>0</v>
      </c>
      <c r="AB422" s="41">
        <v>0</v>
      </c>
      <c r="AC422" s="41">
        <v>0</v>
      </c>
      <c r="AD422" s="41">
        <v>0</v>
      </c>
      <c r="AE422" s="41">
        <v>0</v>
      </c>
      <c r="AF422" s="41">
        <v>0</v>
      </c>
      <c r="AG422" s="41">
        <v>0</v>
      </c>
      <c r="AH422" s="41">
        <v>0</v>
      </c>
      <c r="AI422" s="41">
        <v>0</v>
      </c>
      <c r="AJ422" s="41">
        <v>0</v>
      </c>
      <c r="AK422" s="41">
        <v>0</v>
      </c>
      <c r="AL422" s="41">
        <v>0</v>
      </c>
      <c r="AM422" s="41"/>
      <c r="AN422" s="41">
        <f t="shared" si="79"/>
        <v>383</v>
      </c>
      <c r="AO422" s="41">
        <f t="shared" si="78"/>
        <v>383</v>
      </c>
      <c r="AP422" s="40" t="s">
        <v>1353</v>
      </c>
      <c r="AQ422" s="36">
        <v>45047</v>
      </c>
      <c r="AR422" s="36"/>
      <c r="AS422" s="36"/>
      <c r="AT422" s="36">
        <v>45061</v>
      </c>
      <c r="AU422" s="36"/>
      <c r="AV422" s="38"/>
      <c r="AW422" s="40" t="s">
        <v>87</v>
      </c>
    </row>
    <row r="423" spans="1:49" s="34" customFormat="1" ht="88.5" customHeight="1" x14ac:dyDescent="0.3">
      <c r="A423" s="35" t="s">
        <v>2593</v>
      </c>
      <c r="B423" s="38">
        <v>44994</v>
      </c>
      <c r="C423" s="40">
        <v>545</v>
      </c>
      <c r="D423" s="39" t="s">
        <v>2594</v>
      </c>
      <c r="E423" s="1" t="s">
        <v>2595</v>
      </c>
      <c r="F423" s="36">
        <v>45014</v>
      </c>
      <c r="G423" s="37" t="s">
        <v>2596</v>
      </c>
      <c r="H423" s="40" t="s">
        <v>186</v>
      </c>
      <c r="I423" s="40" t="s">
        <v>1747</v>
      </c>
      <c r="J423" s="57">
        <v>173646612</v>
      </c>
      <c r="K423" s="41">
        <v>173646612</v>
      </c>
      <c r="L423" s="30">
        <v>191011273.19999999</v>
      </c>
      <c r="M423" s="30">
        <f t="shared" si="81"/>
        <v>191011273.19999999</v>
      </c>
      <c r="N423" s="40" t="s">
        <v>1748</v>
      </c>
      <c r="O423" s="40" t="s">
        <v>1749</v>
      </c>
      <c r="P423" s="40" t="s">
        <v>190</v>
      </c>
      <c r="Q423" s="44">
        <v>0</v>
      </c>
      <c r="R423" s="37">
        <v>100</v>
      </c>
      <c r="S423" s="37" t="s">
        <v>219</v>
      </c>
      <c r="T423" s="48">
        <v>5</v>
      </c>
      <c r="U423" s="30">
        <f>M423/W423</f>
        <v>868233.05999999994</v>
      </c>
      <c r="V423" s="41">
        <f t="shared" si="77"/>
        <v>4341165.3</v>
      </c>
      <c r="W423" s="41">
        <f>X423+AC423+AH423</f>
        <v>220</v>
      </c>
      <c r="X423" s="41">
        <v>220</v>
      </c>
      <c r="Y423" s="41">
        <v>0</v>
      </c>
      <c r="Z423" s="41">
        <v>0</v>
      </c>
      <c r="AA423" s="41">
        <v>0</v>
      </c>
      <c r="AB423" s="41">
        <v>0</v>
      </c>
      <c r="AC423" s="41">
        <v>0</v>
      </c>
      <c r="AD423" s="41">
        <v>0</v>
      </c>
      <c r="AE423" s="41">
        <v>0</v>
      </c>
      <c r="AF423" s="41">
        <v>0</v>
      </c>
      <c r="AG423" s="41">
        <v>0</v>
      </c>
      <c r="AH423" s="41">
        <v>0</v>
      </c>
      <c r="AI423" s="41">
        <v>0</v>
      </c>
      <c r="AJ423" s="41">
        <v>0</v>
      </c>
      <c r="AK423" s="41">
        <v>0</v>
      </c>
      <c r="AL423" s="41">
        <v>0</v>
      </c>
      <c r="AM423" s="41"/>
      <c r="AN423" s="41">
        <f t="shared" si="79"/>
        <v>44</v>
      </c>
      <c r="AO423" s="41">
        <f t="shared" si="78"/>
        <v>44</v>
      </c>
      <c r="AP423" s="40" t="s">
        <v>1353</v>
      </c>
      <c r="AQ423" s="36">
        <v>45077</v>
      </c>
      <c r="AR423" s="36"/>
      <c r="AS423" s="36"/>
      <c r="AT423" s="36">
        <v>45092</v>
      </c>
      <c r="AU423" s="36"/>
      <c r="AV423" s="38"/>
      <c r="AW423" s="40" t="s">
        <v>87</v>
      </c>
    </row>
    <row r="424" spans="1:49" s="34" customFormat="1" ht="88.5" customHeight="1" x14ac:dyDescent="0.3">
      <c r="A424" s="35" t="s">
        <v>2597</v>
      </c>
      <c r="B424" s="38">
        <v>44994</v>
      </c>
      <c r="C424" s="40" t="s">
        <v>162</v>
      </c>
      <c r="D424" s="39" t="s">
        <v>2598</v>
      </c>
      <c r="E424" s="1" t="s">
        <v>2599</v>
      </c>
      <c r="F424" s="36">
        <v>45014</v>
      </c>
      <c r="G424" s="37" t="s">
        <v>2600</v>
      </c>
      <c r="H424" s="40" t="s">
        <v>186</v>
      </c>
      <c r="I424" s="40" t="s">
        <v>2601</v>
      </c>
      <c r="J424" s="57">
        <v>182843105.40000001</v>
      </c>
      <c r="K424" s="41">
        <v>182843105.40000001</v>
      </c>
      <c r="L424" s="30">
        <f t="shared" si="82"/>
        <v>182843105.40000001</v>
      </c>
      <c r="M424" s="30">
        <f t="shared" si="81"/>
        <v>182843105.40000001</v>
      </c>
      <c r="N424" s="40" t="s">
        <v>2602</v>
      </c>
      <c r="O424" s="40" t="s">
        <v>2603</v>
      </c>
      <c r="P424" s="40" t="s">
        <v>47</v>
      </c>
      <c r="Q424" s="44">
        <v>100</v>
      </c>
      <c r="R424" s="37">
        <v>0</v>
      </c>
      <c r="S424" s="37" t="s">
        <v>1964</v>
      </c>
      <c r="T424" s="48">
        <v>30</v>
      </c>
      <c r="U424" s="30">
        <f>M424/W424</f>
        <v>201.66</v>
      </c>
      <c r="V424" s="41">
        <f t="shared" si="77"/>
        <v>6049.8</v>
      </c>
      <c r="W424" s="41">
        <f t="shared" si="80"/>
        <v>906690</v>
      </c>
      <c r="X424" s="41">
        <v>208230</v>
      </c>
      <c r="Y424" s="41">
        <v>0</v>
      </c>
      <c r="Z424" s="41">
        <v>0</v>
      </c>
      <c r="AA424" s="41">
        <v>0</v>
      </c>
      <c r="AB424" s="41">
        <v>0</v>
      </c>
      <c r="AC424" s="41">
        <v>698460</v>
      </c>
      <c r="AD424" s="41">
        <v>0</v>
      </c>
      <c r="AE424" s="41">
        <v>0</v>
      </c>
      <c r="AF424" s="41">
        <v>0</v>
      </c>
      <c r="AG424" s="41">
        <v>0</v>
      </c>
      <c r="AH424" s="41">
        <v>0</v>
      </c>
      <c r="AI424" s="41">
        <v>0</v>
      </c>
      <c r="AJ424" s="41">
        <v>0</v>
      </c>
      <c r="AK424" s="41">
        <v>0</v>
      </c>
      <c r="AL424" s="41">
        <v>0</v>
      </c>
      <c r="AM424" s="41"/>
      <c r="AN424" s="41">
        <f t="shared" si="79"/>
        <v>30223</v>
      </c>
      <c r="AO424" s="41">
        <f t="shared" si="78"/>
        <v>30223</v>
      </c>
      <c r="AP424" s="40"/>
      <c r="AQ424" s="36">
        <v>45107</v>
      </c>
      <c r="AR424" s="36">
        <v>45169</v>
      </c>
      <c r="AS424" s="36"/>
      <c r="AT424" s="36">
        <v>45122</v>
      </c>
      <c r="AU424" s="36">
        <v>45184</v>
      </c>
      <c r="AV424" s="38"/>
      <c r="AW424" s="40" t="s">
        <v>49</v>
      </c>
    </row>
    <row r="425" spans="1:49" s="34" customFormat="1" ht="88.5" customHeight="1" x14ac:dyDescent="0.3">
      <c r="A425" s="35" t="s">
        <v>2604</v>
      </c>
      <c r="B425" s="38">
        <v>44999</v>
      </c>
      <c r="C425" s="40">
        <v>545</v>
      </c>
      <c r="D425" s="39" t="s">
        <v>2605</v>
      </c>
      <c r="E425" s="1" t="s">
        <v>2606</v>
      </c>
      <c r="F425" s="36">
        <v>45019</v>
      </c>
      <c r="G425" s="37" t="s">
        <v>2607</v>
      </c>
      <c r="H425" s="40" t="s">
        <v>224</v>
      </c>
      <c r="I425" s="40" t="s">
        <v>1906</v>
      </c>
      <c r="J425" s="57">
        <v>114611362.8</v>
      </c>
      <c r="K425" s="41">
        <v>114611362.8</v>
      </c>
      <c r="L425" s="30">
        <f t="shared" si="82"/>
        <v>114611362.8</v>
      </c>
      <c r="M425" s="30">
        <f t="shared" si="81"/>
        <v>114611362.8</v>
      </c>
      <c r="N425" s="40" t="s">
        <v>2392</v>
      </c>
      <c r="O425" s="40" t="s">
        <v>2440</v>
      </c>
      <c r="P425" s="40" t="s">
        <v>2394</v>
      </c>
      <c r="Q425" s="44">
        <v>0</v>
      </c>
      <c r="R425" s="37">
        <v>100</v>
      </c>
      <c r="S425" s="37" t="s">
        <v>1489</v>
      </c>
      <c r="T425" s="48">
        <v>120</v>
      </c>
      <c r="U425" s="30">
        <f>M425/W425</f>
        <v>25813.37</v>
      </c>
      <c r="V425" s="41">
        <f t="shared" si="77"/>
        <v>3097604.4</v>
      </c>
      <c r="W425" s="41">
        <f t="shared" si="80"/>
        <v>4440</v>
      </c>
      <c r="X425" s="41">
        <v>4440</v>
      </c>
      <c r="Y425" s="41">
        <v>0</v>
      </c>
      <c r="Z425" s="41">
        <v>0</v>
      </c>
      <c r="AA425" s="41">
        <v>0</v>
      </c>
      <c r="AB425" s="41">
        <v>0</v>
      </c>
      <c r="AC425" s="41">
        <v>0</v>
      </c>
      <c r="AD425" s="41">
        <v>0</v>
      </c>
      <c r="AE425" s="41">
        <v>0</v>
      </c>
      <c r="AF425" s="41">
        <v>0</v>
      </c>
      <c r="AG425" s="41">
        <v>0</v>
      </c>
      <c r="AH425" s="41">
        <v>0</v>
      </c>
      <c r="AI425" s="41">
        <v>0</v>
      </c>
      <c r="AJ425" s="41">
        <v>0</v>
      </c>
      <c r="AK425" s="41">
        <v>0</v>
      </c>
      <c r="AL425" s="41">
        <v>0</v>
      </c>
      <c r="AM425" s="41"/>
      <c r="AN425" s="41">
        <f t="shared" si="79"/>
        <v>37</v>
      </c>
      <c r="AO425" s="41">
        <f t="shared" si="78"/>
        <v>37</v>
      </c>
      <c r="AP425" s="40" t="s">
        <v>2608</v>
      </c>
      <c r="AQ425" s="36">
        <v>45078</v>
      </c>
      <c r="AR425" s="36"/>
      <c r="AS425" s="36"/>
      <c r="AT425" s="36">
        <v>45092</v>
      </c>
      <c r="AU425" s="36"/>
      <c r="AV425" s="38"/>
      <c r="AW425" s="40" t="s">
        <v>87</v>
      </c>
    </row>
    <row r="426" spans="1:49" s="34" customFormat="1" ht="88.5" customHeight="1" x14ac:dyDescent="0.3">
      <c r="A426" s="35" t="s">
        <v>2609</v>
      </c>
      <c r="B426" s="38">
        <v>44999</v>
      </c>
      <c r="C426" s="40" t="s">
        <v>162</v>
      </c>
      <c r="D426" s="39" t="s">
        <v>2610</v>
      </c>
      <c r="E426" s="1" t="s">
        <v>2611</v>
      </c>
      <c r="F426" s="36">
        <v>45035</v>
      </c>
      <c r="G426" s="37" t="s">
        <v>2612</v>
      </c>
      <c r="H426" s="40" t="s">
        <v>186</v>
      </c>
      <c r="I426" s="40" t="s">
        <v>2613</v>
      </c>
      <c r="J426" s="57">
        <v>1187236748.6900001</v>
      </c>
      <c r="K426" s="41">
        <v>1187236748.6900001</v>
      </c>
      <c r="L426" s="30">
        <f t="shared" si="82"/>
        <v>1187236748.6900001</v>
      </c>
      <c r="M426" s="30">
        <f t="shared" si="81"/>
        <v>1187236748.6900001</v>
      </c>
      <c r="N426" s="40" t="s">
        <v>2614</v>
      </c>
      <c r="O426" s="40" t="s">
        <v>2615</v>
      </c>
      <c r="P426" s="40" t="s">
        <v>199</v>
      </c>
      <c r="Q426" s="44">
        <v>0</v>
      </c>
      <c r="R426" s="37">
        <v>100</v>
      </c>
      <c r="S426" s="37" t="s">
        <v>1964</v>
      </c>
      <c r="T426" s="48">
        <v>30</v>
      </c>
      <c r="U426" s="30">
        <f>M426/W426</f>
        <v>524.33000000000004</v>
      </c>
      <c r="V426" s="41">
        <f t="shared" si="77"/>
        <v>15729.900000000001</v>
      </c>
      <c r="W426" s="41">
        <f t="shared" si="80"/>
        <v>2264293</v>
      </c>
      <c r="X426" s="41">
        <v>2264293</v>
      </c>
      <c r="Y426" s="41">
        <v>0</v>
      </c>
      <c r="Z426" s="41">
        <v>0</v>
      </c>
      <c r="AA426" s="41">
        <v>0</v>
      </c>
      <c r="AB426" s="41">
        <v>0</v>
      </c>
      <c r="AC426" s="41">
        <v>0</v>
      </c>
      <c r="AD426" s="41">
        <v>0</v>
      </c>
      <c r="AE426" s="41">
        <v>0</v>
      </c>
      <c r="AF426" s="41">
        <v>0</v>
      </c>
      <c r="AG426" s="41">
        <v>0</v>
      </c>
      <c r="AH426" s="41">
        <v>0</v>
      </c>
      <c r="AI426" s="41">
        <v>0</v>
      </c>
      <c r="AJ426" s="41">
        <v>0</v>
      </c>
      <c r="AK426" s="41">
        <v>0</v>
      </c>
      <c r="AL426" s="41">
        <v>0</v>
      </c>
      <c r="AM426" s="41"/>
      <c r="AN426" s="41">
        <f t="shared" si="79"/>
        <v>75476.433333333334</v>
      </c>
      <c r="AO426" s="41">
        <f t="shared" si="78"/>
        <v>75477</v>
      </c>
      <c r="AP426" s="40"/>
      <c r="AQ426" s="36">
        <v>45108</v>
      </c>
      <c r="AR426" s="36"/>
      <c r="AS426" s="36"/>
      <c r="AT426" s="36">
        <v>45122</v>
      </c>
      <c r="AU426" s="36"/>
      <c r="AV426" s="38"/>
      <c r="AW426" s="40" t="s">
        <v>87</v>
      </c>
    </row>
    <row r="427" spans="1:49" s="34" customFormat="1" ht="88.5" customHeight="1" x14ac:dyDescent="0.3">
      <c r="A427" s="35" t="s">
        <v>2616</v>
      </c>
      <c r="B427" s="38">
        <v>45002</v>
      </c>
      <c r="C427" s="40" t="s">
        <v>162</v>
      </c>
      <c r="D427" s="39" t="s">
        <v>2617</v>
      </c>
      <c r="E427" s="1" t="s">
        <v>2618</v>
      </c>
      <c r="F427" s="36">
        <v>45023</v>
      </c>
      <c r="G427" s="37" t="s">
        <v>2619</v>
      </c>
      <c r="H427" s="40" t="s">
        <v>555</v>
      </c>
      <c r="I427" s="40" t="s">
        <v>1250</v>
      </c>
      <c r="J427" s="57">
        <v>11424842</v>
      </c>
      <c r="K427" s="41">
        <v>11424842</v>
      </c>
      <c r="L427" s="30">
        <v>11312246</v>
      </c>
      <c r="M427" s="30">
        <f t="shared" si="81"/>
        <v>11312246</v>
      </c>
      <c r="N427" s="40" t="s">
        <v>2620</v>
      </c>
      <c r="O427" s="40" t="s">
        <v>2621</v>
      </c>
      <c r="P427" s="40" t="s">
        <v>2622</v>
      </c>
      <c r="Q427" s="44">
        <v>0</v>
      </c>
      <c r="R427" s="37">
        <v>100</v>
      </c>
      <c r="S427" s="37" t="s">
        <v>219</v>
      </c>
      <c r="T427" s="48">
        <v>100</v>
      </c>
      <c r="U427" s="30">
        <f>M427/W427</f>
        <v>18.37</v>
      </c>
      <c r="V427" s="41">
        <f t="shared" si="77"/>
        <v>1837</v>
      </c>
      <c r="W427" s="41">
        <f t="shared" si="80"/>
        <v>615800</v>
      </c>
      <c r="X427" s="41">
        <v>615800</v>
      </c>
      <c r="Y427" s="41">
        <v>0</v>
      </c>
      <c r="Z427" s="41">
        <v>0</v>
      </c>
      <c r="AA427" s="41">
        <v>0</v>
      </c>
      <c r="AB427" s="41">
        <v>0</v>
      </c>
      <c r="AC427" s="41">
        <v>0</v>
      </c>
      <c r="AD427" s="41">
        <v>0</v>
      </c>
      <c r="AE427" s="41">
        <v>0</v>
      </c>
      <c r="AF427" s="41">
        <v>0</v>
      </c>
      <c r="AG427" s="41">
        <v>0</v>
      </c>
      <c r="AH427" s="41">
        <v>0</v>
      </c>
      <c r="AI427" s="41">
        <v>0</v>
      </c>
      <c r="AJ427" s="41">
        <v>0</v>
      </c>
      <c r="AK427" s="41">
        <v>0</v>
      </c>
      <c r="AL427" s="41">
        <v>0</v>
      </c>
      <c r="AM427" s="41"/>
      <c r="AN427" s="41">
        <f t="shared" si="79"/>
        <v>6158</v>
      </c>
      <c r="AO427" s="41">
        <f t="shared" si="78"/>
        <v>6158</v>
      </c>
      <c r="AP427" s="40"/>
      <c r="AQ427" s="36">
        <v>45078</v>
      </c>
      <c r="AR427" s="36"/>
      <c r="AS427" s="36"/>
      <c r="AT427" s="36">
        <v>45092</v>
      </c>
      <c r="AU427" s="36"/>
      <c r="AV427" s="38"/>
      <c r="AW427" s="40" t="s">
        <v>49</v>
      </c>
    </row>
    <row r="428" spans="1:49" s="34" customFormat="1" ht="88.5" customHeight="1" x14ac:dyDescent="0.3">
      <c r="A428" s="35" t="s">
        <v>2623</v>
      </c>
      <c r="B428" s="38">
        <v>45002</v>
      </c>
      <c r="C428" s="40">
        <v>545</v>
      </c>
      <c r="D428" s="39" t="s">
        <v>459</v>
      </c>
      <c r="E428" s="1" t="s">
        <v>2624</v>
      </c>
      <c r="F428" s="36" t="s">
        <v>459</v>
      </c>
      <c r="G428" s="37" t="s">
        <v>459</v>
      </c>
      <c r="H428" s="40" t="s">
        <v>459</v>
      </c>
      <c r="I428" s="40" t="s">
        <v>1420</v>
      </c>
      <c r="J428" s="57">
        <v>8760490.1999999993</v>
      </c>
      <c r="K428" s="41">
        <v>0</v>
      </c>
      <c r="L428" s="30">
        <f t="shared" si="82"/>
        <v>0</v>
      </c>
      <c r="M428" s="30">
        <f t="shared" si="81"/>
        <v>0</v>
      </c>
      <c r="N428" s="40"/>
      <c r="O428" s="40"/>
      <c r="P428" s="40"/>
      <c r="Q428" s="44"/>
      <c r="R428" s="37"/>
      <c r="S428" s="37"/>
      <c r="T428" s="48"/>
      <c r="U428" s="30" t="e">
        <f>M428/W428</f>
        <v>#DIV/0!</v>
      </c>
      <c r="V428" s="41" t="e">
        <f t="shared" si="77"/>
        <v>#DIV/0!</v>
      </c>
      <c r="W428" s="41">
        <f t="shared" si="80"/>
        <v>0</v>
      </c>
      <c r="X428" s="41">
        <v>0</v>
      </c>
      <c r="Y428" s="41">
        <v>0</v>
      </c>
      <c r="Z428" s="41">
        <v>0</v>
      </c>
      <c r="AA428" s="41">
        <v>0</v>
      </c>
      <c r="AB428" s="41">
        <v>0</v>
      </c>
      <c r="AC428" s="41">
        <v>0</v>
      </c>
      <c r="AD428" s="41">
        <v>0</v>
      </c>
      <c r="AE428" s="41">
        <v>0</v>
      </c>
      <c r="AF428" s="41">
        <v>0</v>
      </c>
      <c r="AG428" s="41">
        <v>0</v>
      </c>
      <c r="AH428" s="41">
        <v>0</v>
      </c>
      <c r="AI428" s="41">
        <v>0</v>
      </c>
      <c r="AJ428" s="41">
        <v>0</v>
      </c>
      <c r="AK428" s="41">
        <v>0</v>
      </c>
      <c r="AL428" s="41">
        <v>0</v>
      </c>
      <c r="AM428" s="41"/>
      <c r="AN428" s="41" t="e">
        <f t="shared" si="79"/>
        <v>#DIV/0!</v>
      </c>
      <c r="AO428" s="41" t="e">
        <f t="shared" si="78"/>
        <v>#DIV/0!</v>
      </c>
      <c r="AP428" s="40"/>
      <c r="AQ428" s="36"/>
      <c r="AR428" s="36"/>
      <c r="AS428" s="36"/>
      <c r="AT428" s="36"/>
      <c r="AU428" s="36"/>
      <c r="AV428" s="38"/>
      <c r="AW428" s="40"/>
    </row>
    <row r="429" spans="1:49" s="34" customFormat="1" ht="88.5" customHeight="1" x14ac:dyDescent="0.3">
      <c r="A429" s="35" t="s">
        <v>2625</v>
      </c>
      <c r="B429" s="38">
        <v>45002</v>
      </c>
      <c r="C429" s="40">
        <v>545</v>
      </c>
      <c r="D429" s="39" t="s">
        <v>2626</v>
      </c>
      <c r="E429" s="1" t="s">
        <v>2627</v>
      </c>
      <c r="F429" s="36">
        <v>45023</v>
      </c>
      <c r="G429" s="37" t="s">
        <v>2628</v>
      </c>
      <c r="H429" s="40" t="s">
        <v>224</v>
      </c>
      <c r="I429" s="40" t="s">
        <v>2629</v>
      </c>
      <c r="J429" s="57">
        <v>112771718.40000001</v>
      </c>
      <c r="K429" s="57">
        <v>112771718.40000001</v>
      </c>
      <c r="L429" s="30">
        <f t="shared" si="82"/>
        <v>112771718.40000001</v>
      </c>
      <c r="M429" s="30">
        <f t="shared" si="81"/>
        <v>112771718.40000001</v>
      </c>
      <c r="N429" s="40" t="s">
        <v>1271</v>
      </c>
      <c r="O429" s="40" t="s">
        <v>1364</v>
      </c>
      <c r="P429" s="40" t="s">
        <v>199</v>
      </c>
      <c r="Q429" s="44">
        <v>0</v>
      </c>
      <c r="R429" s="37">
        <v>100</v>
      </c>
      <c r="S429" s="37" t="s">
        <v>219</v>
      </c>
      <c r="T429" s="67">
        <v>9.6</v>
      </c>
      <c r="U429" s="30">
        <f>M429/W429</f>
        <v>618266</v>
      </c>
      <c r="V429" s="41">
        <f t="shared" si="77"/>
        <v>5935353.5999999996</v>
      </c>
      <c r="W429" s="41">
        <f t="shared" si="80"/>
        <v>182.4</v>
      </c>
      <c r="X429" s="41">
        <v>182.4</v>
      </c>
      <c r="Y429" s="41">
        <v>0</v>
      </c>
      <c r="Z429" s="41">
        <v>0</v>
      </c>
      <c r="AA429" s="41">
        <v>0</v>
      </c>
      <c r="AB429" s="41">
        <v>0</v>
      </c>
      <c r="AC429" s="41">
        <v>0</v>
      </c>
      <c r="AD429" s="41">
        <v>0</v>
      </c>
      <c r="AE429" s="41">
        <v>0</v>
      </c>
      <c r="AF429" s="41">
        <v>0</v>
      </c>
      <c r="AG429" s="41">
        <v>0</v>
      </c>
      <c r="AH429" s="41">
        <v>0</v>
      </c>
      <c r="AI429" s="41">
        <v>0</v>
      </c>
      <c r="AJ429" s="41">
        <v>0</v>
      </c>
      <c r="AK429" s="41">
        <v>0</v>
      </c>
      <c r="AL429" s="41">
        <v>0</v>
      </c>
      <c r="AM429" s="41"/>
      <c r="AN429" s="41">
        <f t="shared" si="79"/>
        <v>19</v>
      </c>
      <c r="AO429" s="41">
        <f t="shared" si="78"/>
        <v>19</v>
      </c>
      <c r="AP429" s="40" t="s">
        <v>2630</v>
      </c>
      <c r="AQ429" s="36">
        <v>45061</v>
      </c>
      <c r="AR429" s="36"/>
      <c r="AS429" s="36"/>
      <c r="AT429" s="36">
        <v>45076</v>
      </c>
      <c r="AU429" s="36"/>
      <c r="AV429" s="38"/>
      <c r="AW429" s="40" t="s">
        <v>87</v>
      </c>
    </row>
    <row r="430" spans="1:49" s="34" customFormat="1" ht="88.5" customHeight="1" x14ac:dyDescent="0.3">
      <c r="A430" s="35" t="s">
        <v>2631</v>
      </c>
      <c r="B430" s="38">
        <v>45002</v>
      </c>
      <c r="C430" s="40">
        <v>545</v>
      </c>
      <c r="D430" s="39" t="s">
        <v>2632</v>
      </c>
      <c r="E430" s="1" t="s">
        <v>2633</v>
      </c>
      <c r="F430" s="36">
        <v>45023</v>
      </c>
      <c r="G430" s="37" t="s">
        <v>2634</v>
      </c>
      <c r="H430" s="40" t="s">
        <v>802</v>
      </c>
      <c r="I430" s="40" t="s">
        <v>1350</v>
      </c>
      <c r="J430" s="57">
        <v>14220608.5</v>
      </c>
      <c r="K430" s="41">
        <v>14220608.5</v>
      </c>
      <c r="L430" s="30">
        <f t="shared" si="82"/>
        <v>14220608.5</v>
      </c>
      <c r="M430" s="30">
        <f t="shared" si="81"/>
        <v>14220608.5</v>
      </c>
      <c r="N430" s="40" t="s">
        <v>1351</v>
      </c>
      <c r="O430" s="40" t="s">
        <v>2635</v>
      </c>
      <c r="P430" s="40" t="s">
        <v>199</v>
      </c>
      <c r="Q430" s="44">
        <v>0</v>
      </c>
      <c r="R430" s="37">
        <v>100</v>
      </c>
      <c r="S430" s="37" t="s">
        <v>584</v>
      </c>
      <c r="T430" s="48">
        <v>50</v>
      </c>
      <c r="U430" s="30">
        <f>M430/W430</f>
        <v>1004.99</v>
      </c>
      <c r="V430" s="41">
        <f t="shared" si="77"/>
        <v>50249.5</v>
      </c>
      <c r="W430" s="41">
        <f t="shared" si="80"/>
        <v>14150</v>
      </c>
      <c r="X430" s="41">
        <v>14150</v>
      </c>
      <c r="Y430" s="41">
        <v>0</v>
      </c>
      <c r="Z430" s="41">
        <v>0</v>
      </c>
      <c r="AA430" s="41">
        <v>0</v>
      </c>
      <c r="AB430" s="41">
        <v>0</v>
      </c>
      <c r="AC430" s="41">
        <v>0</v>
      </c>
      <c r="AD430" s="41">
        <v>0</v>
      </c>
      <c r="AE430" s="41">
        <v>0</v>
      </c>
      <c r="AF430" s="41">
        <v>0</v>
      </c>
      <c r="AG430" s="41">
        <v>0</v>
      </c>
      <c r="AH430" s="41">
        <v>0</v>
      </c>
      <c r="AI430" s="41">
        <v>0</v>
      </c>
      <c r="AJ430" s="41">
        <v>0</v>
      </c>
      <c r="AK430" s="41">
        <v>0</v>
      </c>
      <c r="AL430" s="41">
        <v>0</v>
      </c>
      <c r="AM430" s="41"/>
      <c r="AN430" s="41">
        <f t="shared" si="79"/>
        <v>283</v>
      </c>
      <c r="AO430" s="41">
        <f t="shared" si="78"/>
        <v>283</v>
      </c>
      <c r="AP430" s="40" t="s">
        <v>1353</v>
      </c>
      <c r="AQ430" s="36">
        <v>45138</v>
      </c>
      <c r="AR430" s="36"/>
      <c r="AS430" s="36"/>
      <c r="AT430" s="36">
        <v>45153</v>
      </c>
      <c r="AU430" s="36"/>
      <c r="AV430" s="38"/>
      <c r="AW430" s="40" t="s">
        <v>87</v>
      </c>
    </row>
    <row r="431" spans="1:49" s="34" customFormat="1" ht="88.5" customHeight="1" x14ac:dyDescent="0.3">
      <c r="A431" s="35" t="s">
        <v>2636</v>
      </c>
      <c r="B431" s="38">
        <v>45002</v>
      </c>
      <c r="C431" s="40" t="s">
        <v>2077</v>
      </c>
      <c r="D431" s="39" t="s">
        <v>2637</v>
      </c>
      <c r="E431" s="1" t="s">
        <v>2638</v>
      </c>
      <c r="F431" s="36">
        <v>45023</v>
      </c>
      <c r="G431" s="37" t="s">
        <v>2639</v>
      </c>
      <c r="H431" s="40" t="s">
        <v>2081</v>
      </c>
      <c r="I431" s="40" t="s">
        <v>2640</v>
      </c>
      <c r="J431" s="57">
        <v>521035.9</v>
      </c>
      <c r="K431" s="41">
        <v>521035.9</v>
      </c>
      <c r="L431" s="30">
        <f t="shared" si="82"/>
        <v>521035.9</v>
      </c>
      <c r="M431" s="30">
        <f t="shared" si="81"/>
        <v>521035.9</v>
      </c>
      <c r="N431" s="40" t="s">
        <v>2641</v>
      </c>
      <c r="O431" s="40" t="s">
        <v>2642</v>
      </c>
      <c r="P431" s="40" t="s">
        <v>47</v>
      </c>
      <c r="Q431" s="44">
        <v>0</v>
      </c>
      <c r="R431" s="37">
        <v>100</v>
      </c>
      <c r="S431" s="37" t="s">
        <v>1489</v>
      </c>
      <c r="T431" s="48">
        <v>25</v>
      </c>
      <c r="U431" s="30">
        <f>M431/W431</f>
        <v>54.95</v>
      </c>
      <c r="V431" s="41">
        <f t="shared" si="77"/>
        <v>1373.75</v>
      </c>
      <c r="W431" s="41">
        <f t="shared" si="80"/>
        <v>9482</v>
      </c>
      <c r="X431" s="41">
        <v>9482</v>
      </c>
      <c r="Y431" s="41">
        <v>0</v>
      </c>
      <c r="Z431" s="41">
        <v>0</v>
      </c>
      <c r="AA431" s="41">
        <v>0</v>
      </c>
      <c r="AB431" s="41">
        <v>0</v>
      </c>
      <c r="AC431" s="41">
        <v>0</v>
      </c>
      <c r="AD431" s="41">
        <v>0</v>
      </c>
      <c r="AE431" s="41">
        <v>0</v>
      </c>
      <c r="AF431" s="41">
        <v>0</v>
      </c>
      <c r="AG431" s="41">
        <v>0</v>
      </c>
      <c r="AH431" s="41">
        <v>0</v>
      </c>
      <c r="AI431" s="41">
        <v>0</v>
      </c>
      <c r="AJ431" s="41">
        <v>0</v>
      </c>
      <c r="AK431" s="41">
        <v>0</v>
      </c>
      <c r="AL431" s="41">
        <v>0</v>
      </c>
      <c r="AM431" s="41"/>
      <c r="AN431" s="41">
        <f t="shared" si="79"/>
        <v>379.28</v>
      </c>
      <c r="AO431" s="41">
        <f t="shared" si="78"/>
        <v>380</v>
      </c>
      <c r="AP431" s="40"/>
      <c r="AQ431" s="36">
        <v>45078</v>
      </c>
      <c r="AR431" s="36"/>
      <c r="AS431" s="36"/>
      <c r="AT431" s="36">
        <v>45092</v>
      </c>
      <c r="AU431" s="36"/>
      <c r="AV431" s="38"/>
      <c r="AW431" s="40" t="s">
        <v>87</v>
      </c>
    </row>
    <row r="432" spans="1:49" s="34" customFormat="1" ht="88.5" customHeight="1" x14ac:dyDescent="0.3">
      <c r="A432" s="35" t="s">
        <v>2643</v>
      </c>
      <c r="B432" s="38">
        <v>45002</v>
      </c>
      <c r="C432" s="40" t="s">
        <v>162</v>
      </c>
      <c r="D432" s="39" t="s">
        <v>2644</v>
      </c>
      <c r="E432" s="1" t="s">
        <v>2645</v>
      </c>
      <c r="F432" s="36">
        <v>45030</v>
      </c>
      <c r="G432" s="35" t="s">
        <v>2646</v>
      </c>
      <c r="H432" s="40" t="s">
        <v>177</v>
      </c>
      <c r="I432" s="40" t="s">
        <v>2328</v>
      </c>
      <c r="J432" s="57">
        <v>546770400</v>
      </c>
      <c r="K432" s="41">
        <v>546770400</v>
      </c>
      <c r="L432" s="30">
        <f t="shared" si="82"/>
        <v>546770400</v>
      </c>
      <c r="M432" s="30">
        <f t="shared" si="81"/>
        <v>546770400</v>
      </c>
      <c r="N432" s="40" t="s">
        <v>2647</v>
      </c>
      <c r="O432" s="40" t="s">
        <v>2648</v>
      </c>
      <c r="P432" s="40" t="s">
        <v>199</v>
      </c>
      <c r="Q432" s="44">
        <v>0</v>
      </c>
      <c r="R432" s="37">
        <v>100</v>
      </c>
      <c r="S432" s="37" t="s">
        <v>1964</v>
      </c>
      <c r="T432" s="48">
        <v>30</v>
      </c>
      <c r="U432" s="30">
        <f>M432/W432</f>
        <v>414.22</v>
      </c>
      <c r="V432" s="41">
        <f t="shared" si="77"/>
        <v>12426.6</v>
      </c>
      <c r="W432" s="41">
        <f t="shared" si="80"/>
        <v>1320000</v>
      </c>
      <c r="X432" s="41">
        <v>120000</v>
      </c>
      <c r="Y432" s="41">
        <v>0</v>
      </c>
      <c r="Z432" s="41">
        <v>0</v>
      </c>
      <c r="AA432" s="41">
        <v>0</v>
      </c>
      <c r="AB432" s="41">
        <v>0</v>
      </c>
      <c r="AC432" s="41">
        <v>510000</v>
      </c>
      <c r="AD432" s="41">
        <v>0</v>
      </c>
      <c r="AE432" s="41">
        <v>0</v>
      </c>
      <c r="AF432" s="41">
        <v>0</v>
      </c>
      <c r="AG432" s="41">
        <v>0</v>
      </c>
      <c r="AH432" s="41">
        <v>690000</v>
      </c>
      <c r="AI432" s="41">
        <v>0</v>
      </c>
      <c r="AJ432" s="41">
        <v>0</v>
      </c>
      <c r="AK432" s="41">
        <v>0</v>
      </c>
      <c r="AL432" s="41">
        <v>0</v>
      </c>
      <c r="AM432" s="41"/>
      <c r="AN432" s="41">
        <f t="shared" si="79"/>
        <v>44000</v>
      </c>
      <c r="AO432" s="41">
        <f t="shared" si="78"/>
        <v>44000</v>
      </c>
      <c r="AP432" s="40"/>
      <c r="AQ432" s="36">
        <v>45047</v>
      </c>
      <c r="AR432" s="36">
        <v>45170</v>
      </c>
      <c r="AS432" s="36"/>
      <c r="AT432" s="36">
        <v>45061</v>
      </c>
      <c r="AU432" s="36">
        <v>45184</v>
      </c>
      <c r="AV432" s="38"/>
      <c r="AW432" s="40" t="s">
        <v>75</v>
      </c>
    </row>
    <row r="433" spans="1:49" ht="88.5" customHeight="1" x14ac:dyDescent="0.3">
      <c r="A433" s="35" t="s">
        <v>2649</v>
      </c>
      <c r="B433" s="38">
        <v>45002</v>
      </c>
      <c r="C433" s="40" t="s">
        <v>2077</v>
      </c>
      <c r="D433" s="39" t="s">
        <v>2650</v>
      </c>
      <c r="E433" s="1" t="s">
        <v>2651</v>
      </c>
      <c r="F433" s="36">
        <v>45023</v>
      </c>
      <c r="G433" s="37" t="s">
        <v>2652</v>
      </c>
      <c r="H433" s="40" t="s">
        <v>571</v>
      </c>
      <c r="I433" s="40" t="s">
        <v>2376</v>
      </c>
      <c r="J433" s="57">
        <v>7553700</v>
      </c>
      <c r="K433" s="41">
        <v>7553700</v>
      </c>
      <c r="L433" s="30">
        <f t="shared" si="82"/>
        <v>7553700</v>
      </c>
      <c r="M433" s="30">
        <f t="shared" si="81"/>
        <v>7553700</v>
      </c>
      <c r="N433" s="40" t="s">
        <v>2653</v>
      </c>
      <c r="O433" s="40" t="s">
        <v>2654</v>
      </c>
      <c r="P433" s="40" t="s">
        <v>47</v>
      </c>
      <c r="Q433" s="44">
        <v>100</v>
      </c>
      <c r="R433" s="37">
        <v>0</v>
      </c>
      <c r="S433" s="37" t="s">
        <v>1964</v>
      </c>
      <c r="T433" s="48">
        <v>100</v>
      </c>
      <c r="U433" s="30">
        <f>M433/W433</f>
        <v>49.5</v>
      </c>
      <c r="V433" s="41">
        <f t="shared" si="77"/>
        <v>4950</v>
      </c>
      <c r="W433" s="41">
        <f t="shared" si="80"/>
        <v>152600</v>
      </c>
      <c r="X433" s="41">
        <v>107500</v>
      </c>
      <c r="Y433" s="41">
        <v>0</v>
      </c>
      <c r="Z433" s="41">
        <v>0</v>
      </c>
      <c r="AA433" s="41">
        <v>0</v>
      </c>
      <c r="AB433" s="41">
        <v>0</v>
      </c>
      <c r="AC433" s="41">
        <v>45100</v>
      </c>
      <c r="AD433" s="41">
        <v>0</v>
      </c>
      <c r="AE433" s="41">
        <v>0</v>
      </c>
      <c r="AF433" s="41">
        <v>0</v>
      </c>
      <c r="AG433" s="41">
        <v>0</v>
      </c>
      <c r="AH433" s="41">
        <v>0</v>
      </c>
      <c r="AI433" s="41">
        <v>0</v>
      </c>
      <c r="AJ433" s="41">
        <v>0</v>
      </c>
      <c r="AK433" s="41">
        <v>0</v>
      </c>
      <c r="AL433" s="41">
        <v>0</v>
      </c>
      <c r="AM433" s="41"/>
      <c r="AN433" s="41">
        <f t="shared" si="79"/>
        <v>1526</v>
      </c>
      <c r="AO433" s="41">
        <f t="shared" si="78"/>
        <v>1526</v>
      </c>
      <c r="AP433" s="40"/>
      <c r="AQ433" s="36">
        <v>45047</v>
      </c>
      <c r="AR433" s="36">
        <v>45170</v>
      </c>
      <c r="AS433" s="36"/>
      <c r="AT433" s="36">
        <v>45061</v>
      </c>
      <c r="AU433" s="36">
        <v>45184</v>
      </c>
      <c r="AV433" s="38"/>
      <c r="AW433" s="40" t="s">
        <v>87</v>
      </c>
    </row>
    <row r="434" spans="1:49" ht="88.5" customHeight="1" x14ac:dyDescent="0.3">
      <c r="A434" s="35" t="s">
        <v>2655</v>
      </c>
      <c r="B434" s="38">
        <v>45006</v>
      </c>
      <c r="C434" s="40">
        <v>545</v>
      </c>
      <c r="D434" s="39" t="s">
        <v>2656</v>
      </c>
      <c r="E434" s="1" t="s">
        <v>2657</v>
      </c>
      <c r="F434" s="36">
        <v>45026</v>
      </c>
      <c r="G434" s="37" t="s">
        <v>2658</v>
      </c>
      <c r="H434" s="40" t="s">
        <v>224</v>
      </c>
      <c r="I434" s="40" t="s">
        <v>1314</v>
      </c>
      <c r="J434" s="57">
        <v>268342800</v>
      </c>
      <c r="K434" s="41">
        <v>268342800</v>
      </c>
      <c r="L434" s="30">
        <v>348730800</v>
      </c>
      <c r="M434" s="30">
        <f t="shared" si="81"/>
        <v>348730800</v>
      </c>
      <c r="N434" s="40" t="s">
        <v>1300</v>
      </c>
      <c r="O434" s="40" t="s">
        <v>1308</v>
      </c>
      <c r="P434" s="40" t="s">
        <v>1032</v>
      </c>
      <c r="Q434" s="44">
        <v>0</v>
      </c>
      <c r="R434" s="37">
        <v>100</v>
      </c>
      <c r="S434" s="37" t="s">
        <v>1964</v>
      </c>
      <c r="T434" s="48">
        <v>60</v>
      </c>
      <c r="U434" s="30">
        <f>M434/W434</f>
        <v>6380</v>
      </c>
      <c r="V434" s="41">
        <f>U434*T434</f>
        <v>382800</v>
      </c>
      <c r="W434" s="41">
        <f t="shared" si="80"/>
        <v>54660</v>
      </c>
      <c r="X434" s="41">
        <f>36000+12600</f>
        <v>48600</v>
      </c>
      <c r="Y434" s="41">
        <v>0</v>
      </c>
      <c r="Z434" s="41">
        <v>0</v>
      </c>
      <c r="AA434" s="41">
        <v>0</v>
      </c>
      <c r="AB434" s="41">
        <v>0</v>
      </c>
      <c r="AC434" s="41">
        <v>6060</v>
      </c>
      <c r="AD434" s="41">
        <v>0</v>
      </c>
      <c r="AE434" s="41">
        <v>0</v>
      </c>
      <c r="AF434" s="41">
        <v>0</v>
      </c>
      <c r="AG434" s="41">
        <v>0</v>
      </c>
      <c r="AH434" s="41">
        <v>0</v>
      </c>
      <c r="AI434" s="41">
        <v>0</v>
      </c>
      <c r="AJ434" s="41">
        <v>0</v>
      </c>
      <c r="AK434" s="41">
        <v>0</v>
      </c>
      <c r="AL434" s="41">
        <v>0</v>
      </c>
      <c r="AM434" s="41"/>
      <c r="AN434" s="41">
        <f t="shared" si="79"/>
        <v>911</v>
      </c>
      <c r="AO434" s="41">
        <f t="shared" si="78"/>
        <v>911</v>
      </c>
      <c r="AP434" s="40"/>
      <c r="AQ434" s="36">
        <v>45138</v>
      </c>
      <c r="AR434" s="36">
        <v>45199</v>
      </c>
      <c r="AS434" s="36"/>
      <c r="AT434" s="36">
        <v>45153</v>
      </c>
      <c r="AU434" s="36">
        <v>45214</v>
      </c>
      <c r="AV434" s="38"/>
      <c r="AW434" s="40" t="s">
        <v>75</v>
      </c>
    </row>
    <row r="435" spans="1:49" ht="77.25" customHeight="1" x14ac:dyDescent="0.3">
      <c r="A435" s="35" t="s">
        <v>2659</v>
      </c>
      <c r="B435" s="38">
        <v>45006</v>
      </c>
      <c r="C435" s="40">
        <v>545</v>
      </c>
      <c r="D435" s="39" t="s">
        <v>2660</v>
      </c>
      <c r="E435" s="1" t="s">
        <v>2661</v>
      </c>
      <c r="F435" s="36">
        <v>45026</v>
      </c>
      <c r="G435" s="37" t="s">
        <v>2662</v>
      </c>
      <c r="H435" s="40" t="s">
        <v>224</v>
      </c>
      <c r="I435" s="40" t="s">
        <v>1339</v>
      </c>
      <c r="J435" s="57">
        <v>115797000</v>
      </c>
      <c r="K435" s="41">
        <v>115797000</v>
      </c>
      <c r="L435" s="30">
        <f t="shared" si="82"/>
        <v>115797000</v>
      </c>
      <c r="M435" s="30">
        <f t="shared" si="81"/>
        <v>115797000</v>
      </c>
      <c r="N435" s="40" t="s">
        <v>1300</v>
      </c>
      <c r="O435" s="40" t="s">
        <v>1301</v>
      </c>
      <c r="P435" s="40" t="s">
        <v>1032</v>
      </c>
      <c r="Q435" s="44">
        <v>0</v>
      </c>
      <c r="R435" s="37">
        <v>100</v>
      </c>
      <c r="S435" s="37" t="s">
        <v>1964</v>
      </c>
      <c r="T435" s="48">
        <v>60</v>
      </c>
      <c r="U435" s="30">
        <f>M435/W435</f>
        <v>15950</v>
      </c>
      <c r="V435" s="41">
        <f t="shared" si="77"/>
        <v>957000</v>
      </c>
      <c r="W435" s="41">
        <f t="shared" si="80"/>
        <v>7260</v>
      </c>
      <c r="X435" s="41">
        <v>7260</v>
      </c>
      <c r="Y435" s="41">
        <v>0</v>
      </c>
      <c r="Z435" s="41">
        <v>0</v>
      </c>
      <c r="AA435" s="41">
        <v>0</v>
      </c>
      <c r="AB435" s="41">
        <v>0</v>
      </c>
      <c r="AC435" s="41">
        <v>0</v>
      </c>
      <c r="AD435" s="41">
        <v>0</v>
      </c>
      <c r="AE435" s="41">
        <v>0</v>
      </c>
      <c r="AF435" s="41">
        <v>0</v>
      </c>
      <c r="AG435" s="41">
        <v>0</v>
      </c>
      <c r="AH435" s="41">
        <v>0</v>
      </c>
      <c r="AI435" s="41">
        <v>0</v>
      </c>
      <c r="AJ435" s="41">
        <v>0</v>
      </c>
      <c r="AK435" s="41">
        <v>0</v>
      </c>
      <c r="AL435" s="41">
        <v>0</v>
      </c>
      <c r="AM435" s="41"/>
      <c r="AN435" s="41">
        <f>W435/T435</f>
        <v>121</v>
      </c>
      <c r="AO435" s="41">
        <f t="shared" si="78"/>
        <v>121</v>
      </c>
      <c r="AP435" s="40" t="s">
        <v>1353</v>
      </c>
      <c r="AQ435" s="36">
        <v>45046</v>
      </c>
      <c r="AR435" s="36"/>
      <c r="AS435" s="36"/>
      <c r="AT435" s="36">
        <v>45061</v>
      </c>
      <c r="AU435" s="36"/>
      <c r="AV435" s="38"/>
      <c r="AW435" s="40" t="s">
        <v>87</v>
      </c>
    </row>
    <row r="436" spans="1:49" ht="72" x14ac:dyDescent="0.3">
      <c r="A436" s="35" t="s">
        <v>2663</v>
      </c>
      <c r="B436" s="38">
        <v>45006</v>
      </c>
      <c r="C436" s="40" t="s">
        <v>162</v>
      </c>
      <c r="D436" s="39" t="s">
        <v>459</v>
      </c>
      <c r="E436" s="1" t="s">
        <v>2664</v>
      </c>
      <c r="F436" s="36" t="s">
        <v>459</v>
      </c>
      <c r="G436" s="37" t="s">
        <v>459</v>
      </c>
      <c r="H436" s="40" t="s">
        <v>459</v>
      </c>
      <c r="I436" s="40" t="s">
        <v>2496</v>
      </c>
      <c r="J436" s="57">
        <v>225467294.36000001</v>
      </c>
      <c r="K436" s="41">
        <v>0</v>
      </c>
      <c r="L436" s="30">
        <f t="shared" si="82"/>
        <v>0</v>
      </c>
      <c r="M436" s="30">
        <f t="shared" si="81"/>
        <v>0</v>
      </c>
      <c r="N436" s="40"/>
      <c r="O436" s="40"/>
      <c r="P436" s="40"/>
      <c r="Q436" s="44"/>
      <c r="R436" s="37"/>
      <c r="S436" s="37"/>
      <c r="T436" s="48"/>
      <c r="U436" s="30" t="e">
        <f>M436/W436</f>
        <v>#DIV/0!</v>
      </c>
      <c r="V436" s="41" t="e">
        <f t="shared" si="77"/>
        <v>#DIV/0!</v>
      </c>
      <c r="W436" s="41">
        <f t="shared" si="80"/>
        <v>0</v>
      </c>
      <c r="X436" s="41">
        <f>Y436+AA436</f>
        <v>0</v>
      </c>
      <c r="Y436" s="41">
        <v>0</v>
      </c>
      <c r="Z436" s="41">
        <v>0</v>
      </c>
      <c r="AA436" s="41">
        <v>0</v>
      </c>
      <c r="AB436" s="41">
        <v>0</v>
      </c>
      <c r="AC436" s="41">
        <v>0</v>
      </c>
      <c r="AD436" s="41">
        <v>0</v>
      </c>
      <c r="AE436" s="41">
        <v>0</v>
      </c>
      <c r="AF436" s="41">
        <v>0</v>
      </c>
      <c r="AG436" s="41">
        <v>0</v>
      </c>
      <c r="AH436" s="41">
        <v>0</v>
      </c>
      <c r="AI436" s="41">
        <v>0</v>
      </c>
      <c r="AJ436" s="41">
        <v>0</v>
      </c>
      <c r="AK436" s="41">
        <v>0</v>
      </c>
      <c r="AL436" s="41">
        <v>0</v>
      </c>
      <c r="AM436" s="41"/>
      <c r="AN436" s="41" t="e">
        <f t="shared" ref="AN436:AN441" si="83">W436/T436</f>
        <v>#DIV/0!</v>
      </c>
      <c r="AO436" s="41" t="e">
        <f t="shared" si="78"/>
        <v>#DIV/0!</v>
      </c>
      <c r="AP436" s="40"/>
      <c r="AQ436" s="36">
        <v>45107</v>
      </c>
      <c r="AR436" s="36"/>
      <c r="AS436" s="36"/>
      <c r="AT436" s="36"/>
      <c r="AU436" s="36"/>
      <c r="AV436" s="38"/>
      <c r="AW436" s="40"/>
    </row>
    <row r="437" spans="1:49" ht="64.5" customHeight="1" x14ac:dyDescent="0.3">
      <c r="A437" s="35" t="s">
        <v>2665</v>
      </c>
      <c r="B437" s="38">
        <v>45008</v>
      </c>
      <c r="C437" s="40">
        <v>545</v>
      </c>
      <c r="D437" s="39" t="s">
        <v>2666</v>
      </c>
      <c r="E437" s="1" t="s">
        <v>2667</v>
      </c>
      <c r="F437" s="36">
        <v>45030</v>
      </c>
      <c r="G437" s="37" t="s">
        <v>2668</v>
      </c>
      <c r="H437" s="40" t="s">
        <v>878</v>
      </c>
      <c r="I437" s="40" t="s">
        <v>2554</v>
      </c>
      <c r="J437" s="57">
        <v>2250001.7999999998</v>
      </c>
      <c r="K437" s="41">
        <v>2249953.2000000002</v>
      </c>
      <c r="L437" s="30">
        <f t="shared" si="82"/>
        <v>2249953.2000000002</v>
      </c>
      <c r="M437" s="30">
        <f t="shared" si="81"/>
        <v>2249953.2000000002</v>
      </c>
      <c r="N437" s="40" t="s">
        <v>2555</v>
      </c>
      <c r="O437" s="40" t="s">
        <v>2669</v>
      </c>
      <c r="P437" s="40" t="s">
        <v>218</v>
      </c>
      <c r="Q437" s="44">
        <v>0</v>
      </c>
      <c r="R437" s="37">
        <v>100</v>
      </c>
      <c r="S437" s="37" t="s">
        <v>1964</v>
      </c>
      <c r="T437" s="48">
        <v>60</v>
      </c>
      <c r="U437" s="30">
        <f>M437/W437</f>
        <v>4166.58</v>
      </c>
      <c r="V437" s="41">
        <f>U437*T437</f>
        <v>249994.8</v>
      </c>
      <c r="W437" s="41">
        <f t="shared" si="80"/>
        <v>540</v>
      </c>
      <c r="X437" s="41">
        <v>540</v>
      </c>
      <c r="Y437" s="41">
        <v>0</v>
      </c>
      <c r="Z437" s="41">
        <v>0</v>
      </c>
      <c r="AA437" s="41">
        <v>0</v>
      </c>
      <c r="AB437" s="41">
        <v>0</v>
      </c>
      <c r="AC437" s="41">
        <v>0</v>
      </c>
      <c r="AD437" s="41">
        <v>0</v>
      </c>
      <c r="AE437" s="41">
        <v>0</v>
      </c>
      <c r="AF437" s="41">
        <v>0</v>
      </c>
      <c r="AG437" s="41">
        <v>0</v>
      </c>
      <c r="AH437" s="41">
        <v>0</v>
      </c>
      <c r="AI437" s="41">
        <v>0</v>
      </c>
      <c r="AJ437" s="41">
        <v>0</v>
      </c>
      <c r="AK437" s="41">
        <v>0</v>
      </c>
      <c r="AL437" s="41">
        <v>0</v>
      </c>
      <c r="AM437" s="41"/>
      <c r="AN437" s="41">
        <f t="shared" si="83"/>
        <v>9</v>
      </c>
      <c r="AO437" s="41">
        <f t="shared" si="78"/>
        <v>9</v>
      </c>
      <c r="AP437" s="40" t="s">
        <v>2670</v>
      </c>
      <c r="AQ437" s="36">
        <v>45047</v>
      </c>
      <c r="AR437" s="36"/>
      <c r="AS437" s="36"/>
      <c r="AT437" s="36">
        <v>45061</v>
      </c>
      <c r="AU437" s="36"/>
      <c r="AV437" s="38"/>
      <c r="AW437" s="40" t="s">
        <v>87</v>
      </c>
    </row>
    <row r="438" spans="1:49" ht="159" customHeight="1" x14ac:dyDescent="0.3">
      <c r="A438" s="35" t="s">
        <v>2671</v>
      </c>
      <c r="B438" s="38">
        <v>45008</v>
      </c>
      <c r="C438" s="40" t="s">
        <v>2077</v>
      </c>
      <c r="D438" s="39" t="s">
        <v>459</v>
      </c>
      <c r="E438" s="1" t="s">
        <v>2672</v>
      </c>
      <c r="F438" s="36" t="s">
        <v>459</v>
      </c>
      <c r="G438" s="37" t="s">
        <v>459</v>
      </c>
      <c r="H438" s="40" t="s">
        <v>459</v>
      </c>
      <c r="I438" s="40" t="s">
        <v>2673</v>
      </c>
      <c r="J438" s="57">
        <v>47198712</v>
      </c>
      <c r="K438" s="41">
        <v>0</v>
      </c>
      <c r="L438" s="30">
        <f t="shared" si="82"/>
        <v>0</v>
      </c>
      <c r="M438" s="30">
        <f t="shared" si="81"/>
        <v>0</v>
      </c>
      <c r="N438" s="40"/>
      <c r="O438" s="40"/>
      <c r="P438" s="40"/>
      <c r="Q438" s="44"/>
      <c r="R438" s="37"/>
      <c r="S438" s="37"/>
      <c r="T438" s="48"/>
      <c r="U438" s="30" t="e">
        <f>M438/W438</f>
        <v>#DIV/0!</v>
      </c>
      <c r="V438" s="41" t="e">
        <v>#DIV/0!</v>
      </c>
      <c r="W438" s="41">
        <f t="shared" si="80"/>
        <v>0</v>
      </c>
      <c r="X438" s="41">
        <v>0</v>
      </c>
      <c r="Y438" s="41">
        <v>0</v>
      </c>
      <c r="Z438" s="41">
        <v>0</v>
      </c>
      <c r="AA438" s="41">
        <v>0</v>
      </c>
      <c r="AB438" s="41">
        <v>0</v>
      </c>
      <c r="AC438" s="41">
        <v>0</v>
      </c>
      <c r="AD438" s="41">
        <v>0</v>
      </c>
      <c r="AE438" s="41">
        <v>0</v>
      </c>
      <c r="AF438" s="41">
        <v>0</v>
      </c>
      <c r="AG438" s="41">
        <v>0</v>
      </c>
      <c r="AH438" s="41">
        <v>0</v>
      </c>
      <c r="AI438" s="41">
        <v>0</v>
      </c>
      <c r="AJ438" s="41">
        <v>0</v>
      </c>
      <c r="AK438" s="41">
        <v>0</v>
      </c>
      <c r="AL438" s="41">
        <v>0</v>
      </c>
      <c r="AM438" s="41"/>
      <c r="AN438" s="41" t="e">
        <f t="shared" si="83"/>
        <v>#DIV/0!</v>
      </c>
      <c r="AO438" s="41" t="e">
        <f t="shared" si="78"/>
        <v>#DIV/0!</v>
      </c>
      <c r="AP438" s="40"/>
      <c r="AQ438" s="36">
        <v>45108</v>
      </c>
      <c r="AR438" s="36"/>
      <c r="AS438" s="36"/>
      <c r="AT438" s="36"/>
      <c r="AU438" s="36"/>
      <c r="AV438" s="38"/>
      <c r="AW438" s="40"/>
    </row>
    <row r="439" spans="1:49" ht="127.2" customHeight="1" x14ac:dyDescent="0.3">
      <c r="A439" s="35" t="s">
        <v>2674</v>
      </c>
      <c r="B439" s="38">
        <v>45012</v>
      </c>
      <c r="C439" s="40">
        <v>1416</v>
      </c>
      <c r="D439" s="39" t="s">
        <v>2675</v>
      </c>
      <c r="E439" s="1" t="s">
        <v>2676</v>
      </c>
      <c r="F439" s="36">
        <v>45033</v>
      </c>
      <c r="G439" s="37" t="s">
        <v>2677</v>
      </c>
      <c r="H439" s="40" t="s">
        <v>224</v>
      </c>
      <c r="I439" s="40" t="s">
        <v>2678</v>
      </c>
      <c r="J439" s="57">
        <v>13261200</v>
      </c>
      <c r="K439" s="41">
        <v>13261200</v>
      </c>
      <c r="L439" s="30">
        <v>17239560</v>
      </c>
      <c r="M439" s="30">
        <f t="shared" si="81"/>
        <v>17239560</v>
      </c>
      <c r="N439" s="40" t="s">
        <v>780</v>
      </c>
      <c r="O439" s="40" t="s">
        <v>2679</v>
      </c>
      <c r="P439" s="40" t="s">
        <v>218</v>
      </c>
      <c r="Q439" s="44">
        <v>0</v>
      </c>
      <c r="R439" s="37">
        <v>100</v>
      </c>
      <c r="S439" s="37" t="s">
        <v>229</v>
      </c>
      <c r="T439" s="48">
        <v>2400</v>
      </c>
      <c r="U439" s="30">
        <f>M439/W439</f>
        <v>12.85</v>
      </c>
      <c r="V439" s="41">
        <f>U439*T439</f>
        <v>30840</v>
      </c>
      <c r="W439" s="41">
        <f t="shared" si="80"/>
        <v>1341600</v>
      </c>
      <c r="X439" s="41">
        <f>Y439+AA439</f>
        <v>1341600</v>
      </c>
      <c r="Y439" s="41">
        <v>228000</v>
      </c>
      <c r="Z439" s="41">
        <f>Y439*U439</f>
        <v>2929800</v>
      </c>
      <c r="AA439" s="41">
        <f>804000+309600</f>
        <v>1113600</v>
      </c>
      <c r="AB439" s="41">
        <f>AA439*U439</f>
        <v>14309760</v>
      </c>
      <c r="AC439" s="41">
        <v>0</v>
      </c>
      <c r="AD439" s="41">
        <v>0</v>
      </c>
      <c r="AE439" s="41">
        <v>0</v>
      </c>
      <c r="AF439" s="41">
        <v>0</v>
      </c>
      <c r="AG439" s="41">
        <v>0</v>
      </c>
      <c r="AH439" s="41">
        <v>0</v>
      </c>
      <c r="AI439" s="41">
        <v>0</v>
      </c>
      <c r="AJ439" s="41">
        <v>0</v>
      </c>
      <c r="AK439" s="41">
        <v>0</v>
      </c>
      <c r="AL439" s="41">
        <v>0</v>
      </c>
      <c r="AM439" s="41">
        <f>Z439+AE439+AJ439</f>
        <v>2929800</v>
      </c>
      <c r="AN439" s="41">
        <f t="shared" si="83"/>
        <v>559</v>
      </c>
      <c r="AO439" s="41">
        <f t="shared" si="78"/>
        <v>559</v>
      </c>
      <c r="AP439" s="40"/>
      <c r="AQ439" s="36">
        <v>45047</v>
      </c>
      <c r="AR439" s="36"/>
      <c r="AS439" s="36"/>
      <c r="AT439" s="36">
        <v>45031</v>
      </c>
      <c r="AU439" s="36"/>
      <c r="AV439" s="38"/>
      <c r="AW439" s="40" t="s">
        <v>87</v>
      </c>
    </row>
    <row r="440" spans="1:49" ht="72" x14ac:dyDescent="0.3">
      <c r="A440" s="35" t="s">
        <v>2680</v>
      </c>
      <c r="B440" s="38">
        <v>45012</v>
      </c>
      <c r="C440" s="40" t="s">
        <v>2077</v>
      </c>
      <c r="D440" s="39" t="s">
        <v>459</v>
      </c>
      <c r="E440" s="1" t="s">
        <v>2681</v>
      </c>
      <c r="F440" s="36" t="s">
        <v>459</v>
      </c>
      <c r="G440" s="37" t="s">
        <v>459</v>
      </c>
      <c r="H440" s="40" t="s">
        <v>459</v>
      </c>
      <c r="I440" s="40" t="s">
        <v>2682</v>
      </c>
      <c r="J440" s="57">
        <v>31322855.52</v>
      </c>
      <c r="K440" s="41">
        <v>0</v>
      </c>
      <c r="L440" s="30">
        <f t="shared" si="82"/>
        <v>0</v>
      </c>
      <c r="M440" s="30">
        <f t="shared" si="81"/>
        <v>0</v>
      </c>
      <c r="N440" s="40"/>
      <c r="O440" s="40"/>
      <c r="P440" s="40"/>
      <c r="Q440" s="44"/>
      <c r="R440" s="37"/>
      <c r="S440" s="37"/>
      <c r="T440" s="48"/>
      <c r="U440" s="30" t="e">
        <f>M440/W440</f>
        <v>#DIV/0!</v>
      </c>
      <c r="V440" s="41" t="e">
        <v>#DIV/0!</v>
      </c>
      <c r="W440" s="41">
        <f t="shared" si="80"/>
        <v>0</v>
      </c>
      <c r="X440" s="41">
        <f t="shared" ref="X440:X476" si="84">Y440+AA440</f>
        <v>0</v>
      </c>
      <c r="Y440" s="41">
        <v>0</v>
      </c>
      <c r="Z440" s="41">
        <v>0</v>
      </c>
      <c r="AA440" s="41">
        <v>0</v>
      </c>
      <c r="AB440" s="41">
        <v>0</v>
      </c>
      <c r="AC440" s="41">
        <v>0</v>
      </c>
      <c r="AD440" s="41">
        <v>0</v>
      </c>
      <c r="AE440" s="41">
        <v>0</v>
      </c>
      <c r="AF440" s="41">
        <v>0</v>
      </c>
      <c r="AG440" s="41">
        <v>0</v>
      </c>
      <c r="AH440" s="41">
        <v>0</v>
      </c>
      <c r="AI440" s="41">
        <v>0</v>
      </c>
      <c r="AJ440" s="41">
        <v>0</v>
      </c>
      <c r="AK440" s="41">
        <v>0</v>
      </c>
      <c r="AL440" s="41">
        <v>0</v>
      </c>
      <c r="AM440" s="41"/>
      <c r="AN440" s="41" t="e">
        <f t="shared" si="83"/>
        <v>#DIV/0!</v>
      </c>
      <c r="AO440" s="41" t="e">
        <f t="shared" si="78"/>
        <v>#DIV/0!</v>
      </c>
      <c r="AP440" s="40"/>
      <c r="AQ440" s="36">
        <v>45061</v>
      </c>
      <c r="AR440" s="36"/>
      <c r="AS440" s="36"/>
      <c r="AT440" s="36"/>
      <c r="AU440" s="36"/>
      <c r="AV440" s="38"/>
      <c r="AW440" s="40"/>
    </row>
    <row r="441" spans="1:49" ht="187.95" customHeight="1" x14ac:dyDescent="0.3">
      <c r="A441" s="35" t="s">
        <v>2683</v>
      </c>
      <c r="B441" s="38">
        <v>45012</v>
      </c>
      <c r="C441" s="40">
        <v>1416</v>
      </c>
      <c r="D441" s="39" t="s">
        <v>2684</v>
      </c>
      <c r="E441" s="1" t="s">
        <v>2685</v>
      </c>
      <c r="F441" s="36">
        <v>45044</v>
      </c>
      <c r="G441" s="37" t="s">
        <v>2686</v>
      </c>
      <c r="H441" s="40" t="s">
        <v>1971</v>
      </c>
      <c r="I441" s="40" t="s">
        <v>2687</v>
      </c>
      <c r="J441" s="57">
        <v>619913760</v>
      </c>
      <c r="K441" s="41">
        <v>619913760</v>
      </c>
      <c r="L441" s="30">
        <f t="shared" si="82"/>
        <v>619913760</v>
      </c>
      <c r="M441" s="30">
        <f t="shared" si="81"/>
        <v>619913760</v>
      </c>
      <c r="N441" s="40" t="s">
        <v>2688</v>
      </c>
      <c r="O441" s="40" t="s">
        <v>2689</v>
      </c>
      <c r="P441" s="40" t="s">
        <v>2690</v>
      </c>
      <c r="Q441" s="44">
        <v>0</v>
      </c>
      <c r="R441" s="37">
        <v>100</v>
      </c>
      <c r="S441" s="37" t="s">
        <v>229</v>
      </c>
      <c r="T441" s="48">
        <v>2000</v>
      </c>
      <c r="U441" s="30">
        <f>M441/W441</f>
        <v>12.12</v>
      </c>
      <c r="V441" s="41">
        <f>T441*U441</f>
        <v>24240</v>
      </c>
      <c r="W441" s="41">
        <f t="shared" si="80"/>
        <v>51148000</v>
      </c>
      <c r="X441" s="41">
        <f t="shared" si="84"/>
        <v>17900000</v>
      </c>
      <c r="Y441" s="41">
        <v>10260000</v>
      </c>
      <c r="Z441" s="41">
        <f>Y441*U441</f>
        <v>124351199.99999999</v>
      </c>
      <c r="AA441" s="41">
        <v>7640000</v>
      </c>
      <c r="AB441" s="41">
        <f>AA441*U441</f>
        <v>92596800</v>
      </c>
      <c r="AC441" s="41">
        <f>AD441+AF441</f>
        <v>33248000</v>
      </c>
      <c r="AD441" s="41">
        <v>0</v>
      </c>
      <c r="AE441" s="41">
        <v>0</v>
      </c>
      <c r="AF441" s="41">
        <v>33248000</v>
      </c>
      <c r="AG441" s="41">
        <f>AF441*U441</f>
        <v>402965760</v>
      </c>
      <c r="AH441" s="41">
        <v>0</v>
      </c>
      <c r="AI441" s="41">
        <v>0</v>
      </c>
      <c r="AJ441" s="41">
        <v>0</v>
      </c>
      <c r="AK441" s="41">
        <v>0</v>
      </c>
      <c r="AL441" s="41">
        <v>0</v>
      </c>
      <c r="AM441" s="41">
        <f>Z441+AE441+AJ441</f>
        <v>124351199.99999999</v>
      </c>
      <c r="AN441" s="41">
        <f t="shared" si="83"/>
        <v>25574</v>
      </c>
      <c r="AO441" s="41">
        <f t="shared" si="78"/>
        <v>25574</v>
      </c>
      <c r="AP441" s="40"/>
      <c r="AQ441" s="36">
        <v>45047</v>
      </c>
      <c r="AR441" s="36">
        <v>45139</v>
      </c>
      <c r="AS441" s="36"/>
      <c r="AT441" s="36">
        <v>45061</v>
      </c>
      <c r="AU441" s="36">
        <v>45153</v>
      </c>
      <c r="AV441" s="38"/>
      <c r="AW441" s="40" t="s">
        <v>75</v>
      </c>
    </row>
    <row r="442" spans="1:49" ht="72" x14ac:dyDescent="0.3">
      <c r="A442" s="35" t="s">
        <v>2691</v>
      </c>
      <c r="B442" s="38">
        <v>45012</v>
      </c>
      <c r="C442" s="40">
        <v>545</v>
      </c>
      <c r="D442" s="39" t="s">
        <v>459</v>
      </c>
      <c r="E442" s="1" t="s">
        <v>2692</v>
      </c>
      <c r="F442" s="36" t="s">
        <v>459</v>
      </c>
      <c r="G442" s="37" t="s">
        <v>459</v>
      </c>
      <c r="H442" s="40" t="s">
        <v>459</v>
      </c>
      <c r="I442" s="40" t="s">
        <v>1427</v>
      </c>
      <c r="J442" s="57">
        <v>862804.8</v>
      </c>
      <c r="K442" s="41">
        <v>0</v>
      </c>
      <c r="L442" s="30">
        <f t="shared" si="82"/>
        <v>0</v>
      </c>
      <c r="M442" s="30">
        <v>0</v>
      </c>
      <c r="N442" s="40"/>
      <c r="O442" s="40"/>
      <c r="P442" s="40"/>
      <c r="Q442" s="44"/>
      <c r="R442" s="37"/>
      <c r="S442" s="37"/>
      <c r="T442" s="48"/>
      <c r="U442" s="30" t="e">
        <f>M442/W442</f>
        <v>#DIV/0!</v>
      </c>
      <c r="V442" s="41" t="e">
        <v>#DIV/0!</v>
      </c>
      <c r="W442" s="41">
        <f t="shared" si="80"/>
        <v>0</v>
      </c>
      <c r="X442" s="41">
        <f t="shared" si="84"/>
        <v>0</v>
      </c>
      <c r="Y442" s="41">
        <v>0</v>
      </c>
      <c r="Z442" s="41">
        <v>0</v>
      </c>
      <c r="AA442" s="41">
        <v>0</v>
      </c>
      <c r="AB442" s="41">
        <v>0</v>
      </c>
      <c r="AC442" s="41">
        <v>0</v>
      </c>
      <c r="AD442" s="41">
        <v>0</v>
      </c>
      <c r="AE442" s="41">
        <v>0</v>
      </c>
      <c r="AF442" s="41">
        <v>0</v>
      </c>
      <c r="AG442" s="41">
        <v>0</v>
      </c>
      <c r="AH442" s="41">
        <v>0</v>
      </c>
      <c r="AI442" s="41">
        <v>0</v>
      </c>
      <c r="AJ442" s="41">
        <v>0</v>
      </c>
      <c r="AK442" s="41">
        <v>0</v>
      </c>
      <c r="AL442" s="41">
        <v>0</v>
      </c>
      <c r="AM442" s="41"/>
      <c r="AN442" s="41" t="e">
        <v>#DIV/0!</v>
      </c>
      <c r="AO442" s="41" t="e">
        <v>#DIV/0!</v>
      </c>
      <c r="AP442" s="40"/>
      <c r="AQ442" s="36">
        <v>45047</v>
      </c>
      <c r="AR442" s="36"/>
      <c r="AS442" s="36"/>
      <c r="AT442" s="36"/>
      <c r="AU442" s="36"/>
      <c r="AV442" s="38"/>
      <c r="AW442" s="40"/>
    </row>
    <row r="443" spans="1:49" ht="54" customHeight="1" x14ac:dyDescent="0.3">
      <c r="A443" s="35" t="s">
        <v>2693</v>
      </c>
      <c r="B443" s="38">
        <v>45012</v>
      </c>
      <c r="C443" s="40">
        <v>545</v>
      </c>
      <c r="D443" s="39" t="s">
        <v>2694</v>
      </c>
      <c r="E443" s="1" t="s">
        <v>2695</v>
      </c>
      <c r="F443" s="36">
        <v>45033</v>
      </c>
      <c r="G443" s="35" t="s">
        <v>2696</v>
      </c>
      <c r="H443" s="40" t="s">
        <v>224</v>
      </c>
      <c r="I443" s="40" t="s">
        <v>1706</v>
      </c>
      <c r="J443" s="57">
        <v>282655963.5</v>
      </c>
      <c r="K443" s="41">
        <v>282655963.5</v>
      </c>
      <c r="L443" s="30">
        <v>348479955</v>
      </c>
      <c r="M443" s="30">
        <f t="shared" ref="M443:M506" si="85">L443</f>
        <v>348479955</v>
      </c>
      <c r="N443" s="40" t="s">
        <v>2392</v>
      </c>
      <c r="O443" s="40" t="s">
        <v>2393</v>
      </c>
      <c r="P443" s="40" t="s">
        <v>2394</v>
      </c>
      <c r="Q443" s="44">
        <v>0</v>
      </c>
      <c r="R443" s="37">
        <v>100</v>
      </c>
      <c r="S443" s="37" t="s">
        <v>1489</v>
      </c>
      <c r="T443" s="48">
        <v>30</v>
      </c>
      <c r="U443" s="30">
        <f>M443/W443</f>
        <v>25813.33</v>
      </c>
      <c r="V443" s="41">
        <f>T443*U443</f>
        <v>774399.9</v>
      </c>
      <c r="W443" s="41">
        <f t="shared" si="80"/>
        <v>13500</v>
      </c>
      <c r="X443" s="41">
        <f>10950+2550</f>
        <v>13500</v>
      </c>
      <c r="Y443" s="41">
        <v>0</v>
      </c>
      <c r="Z443" s="41">
        <v>0</v>
      </c>
      <c r="AA443" s="41">
        <v>0</v>
      </c>
      <c r="AB443" s="41">
        <v>0</v>
      </c>
      <c r="AC443" s="41">
        <v>0</v>
      </c>
      <c r="AD443" s="41">
        <v>0</v>
      </c>
      <c r="AE443" s="41">
        <v>0</v>
      </c>
      <c r="AF443" s="41">
        <v>0</v>
      </c>
      <c r="AG443" s="41">
        <v>0</v>
      </c>
      <c r="AH443" s="41">
        <v>0</v>
      </c>
      <c r="AI443" s="41">
        <v>0</v>
      </c>
      <c r="AJ443" s="41">
        <v>0</v>
      </c>
      <c r="AK443" s="41">
        <v>0</v>
      </c>
      <c r="AL443" s="41">
        <v>0</v>
      </c>
      <c r="AM443" s="41"/>
      <c r="AN443" s="41">
        <f>W443/T443</f>
        <v>450</v>
      </c>
      <c r="AO443" s="41">
        <f>_xlfn.CEILING.MATH(AN443)</f>
        <v>450</v>
      </c>
      <c r="AP443" s="40" t="s">
        <v>1353</v>
      </c>
      <c r="AQ443" s="36">
        <v>45078</v>
      </c>
      <c r="AR443" s="36"/>
      <c r="AS443" s="36"/>
      <c r="AT443" s="36">
        <v>45092</v>
      </c>
      <c r="AU443" s="36"/>
      <c r="AV443" s="38"/>
      <c r="AW443" s="40" t="s">
        <v>87</v>
      </c>
    </row>
    <row r="444" spans="1:49" ht="66" customHeight="1" x14ac:dyDescent="0.3">
      <c r="A444" s="35" t="s">
        <v>2697</v>
      </c>
      <c r="B444" s="38">
        <v>45013</v>
      </c>
      <c r="C444" s="40">
        <v>1416</v>
      </c>
      <c r="D444" s="39" t="s">
        <v>2698</v>
      </c>
      <c r="E444" s="1" t="s">
        <v>2699</v>
      </c>
      <c r="F444" s="36">
        <v>45041</v>
      </c>
      <c r="G444" s="37" t="s">
        <v>2700</v>
      </c>
      <c r="H444" s="40" t="s">
        <v>224</v>
      </c>
      <c r="I444" s="40" t="s">
        <v>2701</v>
      </c>
      <c r="J444" s="57">
        <v>407271456</v>
      </c>
      <c r="K444" s="41">
        <v>407271456</v>
      </c>
      <c r="L444" s="30">
        <v>452889024</v>
      </c>
      <c r="M444" s="30">
        <f t="shared" si="85"/>
        <v>452889024</v>
      </c>
      <c r="N444" s="40" t="s">
        <v>780</v>
      </c>
      <c r="O444" s="40" t="s">
        <v>838</v>
      </c>
      <c r="P444" s="40" t="s">
        <v>218</v>
      </c>
      <c r="Q444" s="44">
        <v>0</v>
      </c>
      <c r="R444" s="37">
        <v>100</v>
      </c>
      <c r="S444" s="37" t="s">
        <v>229</v>
      </c>
      <c r="T444" s="48">
        <v>1200</v>
      </c>
      <c r="U444" s="30">
        <f>M444/W444</f>
        <v>12.68</v>
      </c>
      <c r="V444" s="41">
        <f>U444*T444</f>
        <v>15216</v>
      </c>
      <c r="W444" s="41">
        <f t="shared" si="80"/>
        <v>35716800</v>
      </c>
      <c r="X444" s="41">
        <f t="shared" si="84"/>
        <v>18000000</v>
      </c>
      <c r="Y444" s="41">
        <v>6592800</v>
      </c>
      <c r="Z444" s="41">
        <f>Y444*U444</f>
        <v>83596704</v>
      </c>
      <c r="AA444" s="41">
        <v>11407200</v>
      </c>
      <c r="AB444" s="41">
        <f>AA444*U444</f>
        <v>144643296</v>
      </c>
      <c r="AC444" s="41">
        <f>AD444+AF444</f>
        <v>17716800</v>
      </c>
      <c r="AD444" s="41">
        <f>5169600+3597600</f>
        <v>8767200</v>
      </c>
      <c r="AE444" s="41">
        <f>AD444*U444</f>
        <v>111168096</v>
      </c>
      <c r="AF444" s="41">
        <v>8949600</v>
      </c>
      <c r="AG444" s="41">
        <f>AF444*U444</f>
        <v>113480928</v>
      </c>
      <c r="AH444" s="41">
        <v>0</v>
      </c>
      <c r="AI444" s="41">
        <v>0</v>
      </c>
      <c r="AJ444" s="41">
        <v>0</v>
      </c>
      <c r="AK444" s="41">
        <v>0</v>
      </c>
      <c r="AL444" s="41">
        <v>0</v>
      </c>
      <c r="AM444" s="41">
        <f>Z444+AE444+AJ444</f>
        <v>194764800</v>
      </c>
      <c r="AN444" s="41">
        <f t="shared" ref="AN444:AN507" si="86">W444/T444</f>
        <v>29764</v>
      </c>
      <c r="AO444" s="41">
        <f t="shared" ref="AO444:AO507" si="87">_xlfn.CEILING.MATH(AN444)</f>
        <v>29764</v>
      </c>
      <c r="AP444" s="40"/>
      <c r="AQ444" s="36">
        <v>45108</v>
      </c>
      <c r="AR444" s="36">
        <v>45200</v>
      </c>
      <c r="AS444" s="36"/>
      <c r="AT444" s="36">
        <v>45122</v>
      </c>
      <c r="AU444" s="36">
        <v>45214</v>
      </c>
      <c r="AV444" s="38"/>
      <c r="AW444" s="40" t="s">
        <v>75</v>
      </c>
    </row>
    <row r="445" spans="1:49" ht="66" customHeight="1" x14ac:dyDescent="0.3">
      <c r="A445" s="35" t="s">
        <v>2702</v>
      </c>
      <c r="B445" s="38">
        <v>45013</v>
      </c>
      <c r="C445" s="40">
        <v>1416</v>
      </c>
      <c r="D445" s="39" t="s">
        <v>2703</v>
      </c>
      <c r="E445" s="1" t="s">
        <v>2704</v>
      </c>
      <c r="F445" s="36">
        <v>45044</v>
      </c>
      <c r="G445" s="35" t="s">
        <v>2705</v>
      </c>
      <c r="H445" s="40" t="s">
        <v>224</v>
      </c>
      <c r="I445" s="40" t="s">
        <v>843</v>
      </c>
      <c r="J445" s="57">
        <v>863590888</v>
      </c>
      <c r="K445" s="41">
        <v>863590888</v>
      </c>
      <c r="L445" s="30">
        <f t="shared" si="82"/>
        <v>863590888</v>
      </c>
      <c r="M445" s="30">
        <f t="shared" si="85"/>
        <v>863590888</v>
      </c>
      <c r="N445" s="40" t="s">
        <v>831</v>
      </c>
      <c r="O445" s="40" t="s">
        <v>2706</v>
      </c>
      <c r="P445" s="40" t="s">
        <v>263</v>
      </c>
      <c r="Q445" s="44">
        <v>0</v>
      </c>
      <c r="R445" s="37">
        <v>100</v>
      </c>
      <c r="S445" s="37" t="s">
        <v>229</v>
      </c>
      <c r="T445" s="48">
        <v>800</v>
      </c>
      <c r="U445" s="30">
        <f>M445/W445</f>
        <v>25.33</v>
      </c>
      <c r="V445" s="41">
        <f t="shared" ref="V445:V508" si="88">U445*T445</f>
        <v>20264</v>
      </c>
      <c r="W445" s="41">
        <f t="shared" si="80"/>
        <v>34093600</v>
      </c>
      <c r="X445" s="41">
        <f t="shared" si="84"/>
        <v>34093600</v>
      </c>
      <c r="Y445" s="41">
        <v>17577600</v>
      </c>
      <c r="Z445" s="41">
        <f>Y445*U445</f>
        <v>445240607.99999994</v>
      </c>
      <c r="AA445" s="41">
        <v>16516000</v>
      </c>
      <c r="AB445" s="41">
        <f>AA445*U445</f>
        <v>418350280</v>
      </c>
      <c r="AC445" s="41">
        <v>0</v>
      </c>
      <c r="AD445" s="41">
        <v>0</v>
      </c>
      <c r="AE445" s="41">
        <v>0</v>
      </c>
      <c r="AF445" s="41">
        <v>0</v>
      </c>
      <c r="AG445" s="41">
        <v>0</v>
      </c>
      <c r="AH445" s="41">
        <v>0</v>
      </c>
      <c r="AI445" s="41">
        <v>0</v>
      </c>
      <c r="AJ445" s="41">
        <v>0</v>
      </c>
      <c r="AK445" s="41">
        <v>0</v>
      </c>
      <c r="AL445" s="41">
        <v>0</v>
      </c>
      <c r="AM445" s="41">
        <f>Z445+AE445+AJ445</f>
        <v>445240607.99999994</v>
      </c>
      <c r="AN445" s="41">
        <f t="shared" si="86"/>
        <v>42617</v>
      </c>
      <c r="AO445" s="41">
        <f t="shared" si="87"/>
        <v>42617</v>
      </c>
      <c r="AP445" s="40"/>
      <c r="AQ445" s="36">
        <v>45078</v>
      </c>
      <c r="AR445" s="36"/>
      <c r="AS445" s="36"/>
      <c r="AT445" s="36">
        <v>45092</v>
      </c>
      <c r="AU445" s="36"/>
      <c r="AV445" s="38"/>
      <c r="AW445" s="40" t="s">
        <v>49</v>
      </c>
    </row>
    <row r="446" spans="1:49" ht="66" customHeight="1" x14ac:dyDescent="0.3">
      <c r="A446" s="35" t="s">
        <v>2707</v>
      </c>
      <c r="B446" s="38">
        <v>45013</v>
      </c>
      <c r="C446" s="40">
        <v>1416</v>
      </c>
      <c r="D446" s="39" t="s">
        <v>2708</v>
      </c>
      <c r="E446" s="1" t="s">
        <v>2709</v>
      </c>
      <c r="F446" s="36">
        <v>45048</v>
      </c>
      <c r="G446" s="37" t="s">
        <v>2710</v>
      </c>
      <c r="H446" s="40" t="s">
        <v>1971</v>
      </c>
      <c r="I446" s="40" t="s">
        <v>2711</v>
      </c>
      <c r="J446" s="57">
        <v>396112140</v>
      </c>
      <c r="K446" s="41">
        <v>396112140</v>
      </c>
      <c r="L446" s="30">
        <f t="shared" si="82"/>
        <v>396112140</v>
      </c>
      <c r="M446" s="30">
        <f t="shared" si="85"/>
        <v>396112140</v>
      </c>
      <c r="N446" s="40" t="s">
        <v>2712</v>
      </c>
      <c r="O446" s="40" t="s">
        <v>2713</v>
      </c>
      <c r="P446" s="40" t="s">
        <v>2690</v>
      </c>
      <c r="Q446" s="44">
        <v>0</v>
      </c>
      <c r="R446" s="37">
        <v>100</v>
      </c>
      <c r="S446" s="37" t="s">
        <v>229</v>
      </c>
      <c r="T446" s="48">
        <v>3000</v>
      </c>
      <c r="U446" s="30">
        <f>M446/W446</f>
        <v>12.37</v>
      </c>
      <c r="V446" s="41">
        <f t="shared" si="88"/>
        <v>37110</v>
      </c>
      <c r="W446" s="41">
        <f t="shared" si="80"/>
        <v>32022000</v>
      </c>
      <c r="X446" s="41">
        <f t="shared" si="84"/>
        <v>13707000</v>
      </c>
      <c r="Y446" s="41">
        <v>6135000</v>
      </c>
      <c r="Z446" s="41">
        <f>Y446*U446</f>
        <v>75889950</v>
      </c>
      <c r="AA446" s="41">
        <v>7572000</v>
      </c>
      <c r="AB446" s="41">
        <f>AA446*U446</f>
        <v>93665640</v>
      </c>
      <c r="AC446" s="41">
        <f>AD446+AF446</f>
        <v>18315000</v>
      </c>
      <c r="AD446" s="41">
        <v>0</v>
      </c>
      <c r="AE446" s="41">
        <v>0</v>
      </c>
      <c r="AF446" s="41">
        <v>18315000</v>
      </c>
      <c r="AG446" s="41">
        <f>AF446*U446</f>
        <v>226556550</v>
      </c>
      <c r="AH446" s="41">
        <v>0</v>
      </c>
      <c r="AI446" s="41">
        <v>0</v>
      </c>
      <c r="AJ446" s="41">
        <v>0</v>
      </c>
      <c r="AK446" s="41">
        <v>0</v>
      </c>
      <c r="AL446" s="41">
        <v>0</v>
      </c>
      <c r="AM446" s="41">
        <f>Z446+AE446+AJ446</f>
        <v>75889950</v>
      </c>
      <c r="AN446" s="41">
        <f t="shared" si="86"/>
        <v>10674</v>
      </c>
      <c r="AO446" s="41">
        <f t="shared" si="87"/>
        <v>10674</v>
      </c>
      <c r="AP446" s="40"/>
      <c r="AQ446" s="36">
        <v>45061</v>
      </c>
      <c r="AR446" s="36">
        <v>45139</v>
      </c>
      <c r="AS446" s="36"/>
      <c r="AT446" s="36">
        <v>45078</v>
      </c>
      <c r="AU446" s="36">
        <v>45153</v>
      </c>
      <c r="AV446" s="38"/>
      <c r="AW446" s="40" t="s">
        <v>75</v>
      </c>
    </row>
    <row r="447" spans="1:49" ht="66" customHeight="1" x14ac:dyDescent="0.3">
      <c r="A447" s="35" t="s">
        <v>2714</v>
      </c>
      <c r="B447" s="38">
        <v>45013</v>
      </c>
      <c r="C447" s="40">
        <v>1416</v>
      </c>
      <c r="D447" s="39" t="s">
        <v>459</v>
      </c>
      <c r="E447" s="1" t="s">
        <v>2715</v>
      </c>
      <c r="F447" s="36" t="s">
        <v>459</v>
      </c>
      <c r="G447" s="37" t="s">
        <v>459</v>
      </c>
      <c r="H447" s="40" t="s">
        <v>459</v>
      </c>
      <c r="I447" s="40" t="s">
        <v>2716</v>
      </c>
      <c r="J447" s="57">
        <v>10034359.5</v>
      </c>
      <c r="K447" s="41">
        <v>0</v>
      </c>
      <c r="L447" s="30">
        <f t="shared" si="82"/>
        <v>0</v>
      </c>
      <c r="M447" s="30">
        <f t="shared" si="85"/>
        <v>0</v>
      </c>
      <c r="N447" s="40"/>
      <c r="O447" s="40"/>
      <c r="P447" s="40"/>
      <c r="Q447" s="44"/>
      <c r="R447" s="37"/>
      <c r="S447" s="37"/>
      <c r="T447" s="48"/>
      <c r="U447" s="30" t="e">
        <f>M447/W447</f>
        <v>#DIV/0!</v>
      </c>
      <c r="V447" s="41" t="e">
        <f t="shared" si="88"/>
        <v>#DIV/0!</v>
      </c>
      <c r="W447" s="41">
        <f t="shared" si="80"/>
        <v>0</v>
      </c>
      <c r="X447" s="41">
        <f t="shared" si="84"/>
        <v>0</v>
      </c>
      <c r="Y447" s="41">
        <v>0</v>
      </c>
      <c r="Z447" s="41">
        <v>0</v>
      </c>
      <c r="AA447" s="41">
        <v>0</v>
      </c>
      <c r="AB447" s="41">
        <v>0</v>
      </c>
      <c r="AC447" s="41">
        <v>0</v>
      </c>
      <c r="AD447" s="41">
        <v>0</v>
      </c>
      <c r="AE447" s="41">
        <v>0</v>
      </c>
      <c r="AF447" s="41">
        <v>0</v>
      </c>
      <c r="AG447" s="41">
        <v>0</v>
      </c>
      <c r="AH447" s="41">
        <v>0</v>
      </c>
      <c r="AI447" s="41">
        <v>0</v>
      </c>
      <c r="AJ447" s="41">
        <v>0</v>
      </c>
      <c r="AK447" s="41">
        <v>0</v>
      </c>
      <c r="AL447" s="41">
        <v>0</v>
      </c>
      <c r="AM447" s="41"/>
      <c r="AN447" s="41" t="e">
        <f t="shared" si="86"/>
        <v>#DIV/0!</v>
      </c>
      <c r="AO447" s="41" t="e">
        <f t="shared" si="87"/>
        <v>#DIV/0!</v>
      </c>
      <c r="AP447" s="40"/>
      <c r="AQ447" s="36">
        <v>45061</v>
      </c>
      <c r="AR447" s="36">
        <v>45139</v>
      </c>
      <c r="AS447" s="36"/>
      <c r="AT447" s="36"/>
      <c r="AU447" s="36"/>
      <c r="AV447" s="38"/>
      <c r="AW447" s="40"/>
    </row>
    <row r="448" spans="1:49" ht="66" customHeight="1" x14ac:dyDescent="0.3">
      <c r="A448" s="35" t="s">
        <v>2717</v>
      </c>
      <c r="B448" s="38">
        <v>45013</v>
      </c>
      <c r="C448" s="40">
        <v>1416</v>
      </c>
      <c r="D448" s="39" t="s">
        <v>2718</v>
      </c>
      <c r="E448" s="1" t="s">
        <v>2719</v>
      </c>
      <c r="F448" s="36">
        <v>45041</v>
      </c>
      <c r="G448" s="37" t="s">
        <v>2720</v>
      </c>
      <c r="H448" s="40" t="s">
        <v>1971</v>
      </c>
      <c r="I448" s="40" t="s">
        <v>2721</v>
      </c>
      <c r="J448" s="57">
        <v>652381430</v>
      </c>
      <c r="K448" s="41">
        <v>652381430</v>
      </c>
      <c r="L448" s="30">
        <f t="shared" si="82"/>
        <v>652381430</v>
      </c>
      <c r="M448" s="30">
        <f t="shared" si="85"/>
        <v>652381430</v>
      </c>
      <c r="N448" s="40" t="s">
        <v>2712</v>
      </c>
      <c r="O448" s="40" t="s">
        <v>2722</v>
      </c>
      <c r="P448" s="40" t="s">
        <v>2690</v>
      </c>
      <c r="Q448" s="44">
        <v>0</v>
      </c>
      <c r="R448" s="37">
        <v>100</v>
      </c>
      <c r="S448" s="37" t="s">
        <v>229</v>
      </c>
      <c r="T448" s="48">
        <v>1000</v>
      </c>
      <c r="U448" s="30">
        <f>M448/W448</f>
        <v>12.37</v>
      </c>
      <c r="V448" s="41">
        <f t="shared" si="88"/>
        <v>12370</v>
      </c>
      <c r="W448" s="41">
        <f t="shared" si="80"/>
        <v>52739000</v>
      </c>
      <c r="X448" s="41">
        <f t="shared" si="84"/>
        <v>36916000</v>
      </c>
      <c r="Y448" s="41">
        <v>13965000</v>
      </c>
      <c r="Z448" s="41">
        <f>Y448*U448</f>
        <v>172747050</v>
      </c>
      <c r="AA448" s="41">
        <v>22951000</v>
      </c>
      <c r="AB448" s="41">
        <f>AA448*U448</f>
        <v>283903870</v>
      </c>
      <c r="AC448" s="41">
        <f>AD448+AF448</f>
        <v>15823000</v>
      </c>
      <c r="AD448" s="41">
        <v>0</v>
      </c>
      <c r="AE448" s="41">
        <v>0</v>
      </c>
      <c r="AF448" s="41">
        <v>15823000</v>
      </c>
      <c r="AG448" s="41">
        <f>AF448*U448</f>
        <v>195730510</v>
      </c>
      <c r="AH448" s="41">
        <v>0</v>
      </c>
      <c r="AI448" s="41">
        <v>0</v>
      </c>
      <c r="AJ448" s="41">
        <v>0</v>
      </c>
      <c r="AK448" s="41">
        <v>0</v>
      </c>
      <c r="AL448" s="41">
        <v>0</v>
      </c>
      <c r="AM448" s="41">
        <f>Z448+AE448+AJ448</f>
        <v>172747050</v>
      </c>
      <c r="AN448" s="41">
        <f t="shared" si="86"/>
        <v>52739</v>
      </c>
      <c r="AO448" s="41">
        <f t="shared" si="87"/>
        <v>52739</v>
      </c>
      <c r="AP448" s="40"/>
      <c r="AQ448" s="36">
        <v>45061</v>
      </c>
      <c r="AR448" s="36">
        <v>45139</v>
      </c>
      <c r="AS448" s="36"/>
      <c r="AT448" s="36">
        <v>45078</v>
      </c>
      <c r="AU448" s="36">
        <v>45153</v>
      </c>
      <c r="AV448" s="38"/>
      <c r="AW448" s="40" t="s">
        <v>75</v>
      </c>
    </row>
    <row r="449" spans="1:49" s="34" customFormat="1" ht="66" customHeight="1" x14ac:dyDescent="0.3">
      <c r="A449" s="35" t="s">
        <v>2723</v>
      </c>
      <c r="B449" s="38">
        <v>45013</v>
      </c>
      <c r="C449" s="40">
        <v>1416</v>
      </c>
      <c r="D449" s="39" t="s">
        <v>2724</v>
      </c>
      <c r="E449" s="1" t="s">
        <v>2725</v>
      </c>
      <c r="F449" s="36">
        <v>45033</v>
      </c>
      <c r="G449" s="37" t="s">
        <v>2726</v>
      </c>
      <c r="H449" s="40" t="s">
        <v>186</v>
      </c>
      <c r="I449" s="40" t="s">
        <v>2727</v>
      </c>
      <c r="J449" s="57">
        <v>189444050</v>
      </c>
      <c r="K449" s="41">
        <v>189444050</v>
      </c>
      <c r="L449" s="30">
        <f t="shared" si="82"/>
        <v>189444050</v>
      </c>
      <c r="M449" s="30">
        <f t="shared" si="85"/>
        <v>189444050</v>
      </c>
      <c r="N449" s="40" t="s">
        <v>671</v>
      </c>
      <c r="O449" s="40" t="s">
        <v>2728</v>
      </c>
      <c r="P449" s="40" t="s">
        <v>47</v>
      </c>
      <c r="Q449" s="44">
        <v>100</v>
      </c>
      <c r="R449" s="37">
        <v>0</v>
      </c>
      <c r="S449" s="37" t="s">
        <v>229</v>
      </c>
      <c r="T449" s="48">
        <v>1000</v>
      </c>
      <c r="U449" s="30">
        <f>M449/W449</f>
        <v>7.85</v>
      </c>
      <c r="V449" s="41">
        <f t="shared" si="88"/>
        <v>7850</v>
      </c>
      <c r="W449" s="41">
        <f t="shared" si="80"/>
        <v>24133000</v>
      </c>
      <c r="X449" s="41">
        <f t="shared" si="84"/>
        <v>24133000</v>
      </c>
      <c r="Y449" s="41">
        <v>3546000</v>
      </c>
      <c r="Z449" s="41">
        <f>Y449*U449</f>
        <v>27836100</v>
      </c>
      <c r="AA449" s="41">
        <v>20587000</v>
      </c>
      <c r="AB449" s="41">
        <f>AA449*U449</f>
        <v>161607950</v>
      </c>
      <c r="AC449" s="41">
        <v>0</v>
      </c>
      <c r="AD449" s="41">
        <v>0</v>
      </c>
      <c r="AE449" s="41">
        <v>0</v>
      </c>
      <c r="AF449" s="41">
        <v>0</v>
      </c>
      <c r="AG449" s="41">
        <v>0</v>
      </c>
      <c r="AH449" s="41">
        <v>0</v>
      </c>
      <c r="AI449" s="41">
        <v>0</v>
      </c>
      <c r="AJ449" s="41">
        <v>0</v>
      </c>
      <c r="AK449" s="41">
        <v>0</v>
      </c>
      <c r="AL449" s="41">
        <v>0</v>
      </c>
      <c r="AM449" s="41">
        <f>Z449+AE449+AJ449</f>
        <v>27836100</v>
      </c>
      <c r="AN449" s="41">
        <f t="shared" si="86"/>
        <v>24133</v>
      </c>
      <c r="AO449" s="41">
        <f t="shared" si="87"/>
        <v>24133</v>
      </c>
      <c r="AP449" s="40"/>
      <c r="AQ449" s="36">
        <v>45066</v>
      </c>
      <c r="AR449" s="36"/>
      <c r="AS449" s="36"/>
      <c r="AT449" s="36">
        <v>45082</v>
      </c>
      <c r="AU449" s="36"/>
      <c r="AV449" s="38"/>
      <c r="AW449" s="40" t="s">
        <v>87</v>
      </c>
    </row>
    <row r="450" spans="1:49" s="34" customFormat="1" ht="66" customHeight="1" x14ac:dyDescent="0.3">
      <c r="A450" s="35" t="s">
        <v>2729</v>
      </c>
      <c r="B450" s="38">
        <v>45013</v>
      </c>
      <c r="C450" s="40">
        <v>1416</v>
      </c>
      <c r="D450" s="39" t="s">
        <v>2730</v>
      </c>
      <c r="E450" s="1" t="s">
        <v>2731</v>
      </c>
      <c r="F450" s="36">
        <v>45033</v>
      </c>
      <c r="G450" s="37" t="s">
        <v>2732</v>
      </c>
      <c r="H450" s="40" t="s">
        <v>1971</v>
      </c>
      <c r="I450" s="40" t="s">
        <v>2733</v>
      </c>
      <c r="J450" s="57">
        <v>263233600</v>
      </c>
      <c r="K450" s="41">
        <v>263233600</v>
      </c>
      <c r="L450" s="30">
        <f>K450</f>
        <v>263233600</v>
      </c>
      <c r="M450" s="30">
        <f t="shared" si="85"/>
        <v>263233600</v>
      </c>
      <c r="N450" s="40" t="s">
        <v>2688</v>
      </c>
      <c r="O450" s="40" t="s">
        <v>2734</v>
      </c>
      <c r="P450" s="40" t="s">
        <v>2690</v>
      </c>
      <c r="Q450" s="44">
        <v>0</v>
      </c>
      <c r="R450" s="37">
        <v>100</v>
      </c>
      <c r="S450" s="37" t="s">
        <v>229</v>
      </c>
      <c r="T450" s="48">
        <v>1500</v>
      </c>
      <c r="U450" s="30">
        <f>M450/W450</f>
        <v>12.37</v>
      </c>
      <c r="V450" s="41">
        <f t="shared" si="88"/>
        <v>18555</v>
      </c>
      <c r="W450" s="41">
        <f t="shared" si="80"/>
        <v>21280000</v>
      </c>
      <c r="X450" s="41">
        <f t="shared" si="84"/>
        <v>12420000</v>
      </c>
      <c r="Y450" s="41">
        <v>5211000</v>
      </c>
      <c r="Z450" s="41">
        <f>Y450*U450</f>
        <v>64460069.999999993</v>
      </c>
      <c r="AA450" s="41">
        <v>7209000</v>
      </c>
      <c r="AB450" s="41">
        <f>AA450*U450</f>
        <v>89175330</v>
      </c>
      <c r="AC450" s="41">
        <f>AD450+AF450</f>
        <v>8860000</v>
      </c>
      <c r="AD450" s="41">
        <v>0</v>
      </c>
      <c r="AE450" s="41">
        <v>0</v>
      </c>
      <c r="AF450" s="41">
        <v>8860000</v>
      </c>
      <c r="AG450" s="41">
        <f>AF450*U450</f>
        <v>109598200</v>
      </c>
      <c r="AH450" s="41">
        <v>0</v>
      </c>
      <c r="AI450" s="41">
        <v>0</v>
      </c>
      <c r="AJ450" s="41">
        <v>0</v>
      </c>
      <c r="AK450" s="41">
        <v>0</v>
      </c>
      <c r="AL450" s="41">
        <v>0</v>
      </c>
      <c r="AM450" s="41">
        <f>Z450+AE450+AJ450</f>
        <v>64460069.999999993</v>
      </c>
      <c r="AN450" s="41">
        <f t="shared" si="86"/>
        <v>14186.666666666666</v>
      </c>
      <c r="AO450" s="41">
        <f t="shared" si="87"/>
        <v>14187</v>
      </c>
      <c r="AP450" s="40"/>
      <c r="AQ450" s="36">
        <v>45047</v>
      </c>
      <c r="AR450" s="36">
        <v>45139</v>
      </c>
      <c r="AS450" s="36"/>
      <c r="AT450" s="36">
        <v>45061</v>
      </c>
      <c r="AU450" s="36">
        <v>45153</v>
      </c>
      <c r="AV450" s="38"/>
      <c r="AW450" s="40" t="s">
        <v>75</v>
      </c>
    </row>
    <row r="451" spans="1:49" s="34" customFormat="1" ht="66" customHeight="1" x14ac:dyDescent="0.3">
      <c r="A451" s="35" t="s">
        <v>2735</v>
      </c>
      <c r="B451" s="38">
        <v>45013</v>
      </c>
      <c r="C451" s="40">
        <v>545</v>
      </c>
      <c r="D451" s="39" t="s">
        <v>2736</v>
      </c>
      <c r="E451" s="1" t="s">
        <v>2737</v>
      </c>
      <c r="F451" s="36">
        <v>45033</v>
      </c>
      <c r="G451" s="37" t="s">
        <v>2738</v>
      </c>
      <c r="H451" s="40" t="s">
        <v>2739</v>
      </c>
      <c r="I451" s="40" t="s">
        <v>1393</v>
      </c>
      <c r="J451" s="57">
        <v>79886391.200000003</v>
      </c>
      <c r="K451" s="41">
        <v>79886391.200000003</v>
      </c>
      <c r="L451" s="30">
        <f>K451</f>
        <v>79886391.200000003</v>
      </c>
      <c r="M451" s="30">
        <f t="shared" si="85"/>
        <v>79886391.200000003</v>
      </c>
      <c r="N451" s="40" t="s">
        <v>1394</v>
      </c>
      <c r="O451" s="40" t="s">
        <v>2740</v>
      </c>
      <c r="P451" s="40" t="s">
        <v>190</v>
      </c>
      <c r="Q451" s="44">
        <v>0</v>
      </c>
      <c r="R451" s="37">
        <v>100</v>
      </c>
      <c r="S451" s="37" t="s">
        <v>584</v>
      </c>
      <c r="T451" s="48">
        <v>140</v>
      </c>
      <c r="U451" s="30">
        <f>M451/W451</f>
        <v>10766.36</v>
      </c>
      <c r="V451" s="41">
        <f t="shared" si="88"/>
        <v>1507290.4000000001</v>
      </c>
      <c r="W451" s="41">
        <f t="shared" si="80"/>
        <v>7420</v>
      </c>
      <c r="X451" s="41">
        <v>7420</v>
      </c>
      <c r="Y451" s="41">
        <v>0</v>
      </c>
      <c r="Z451" s="41">
        <v>0</v>
      </c>
      <c r="AA451" s="41">
        <v>0</v>
      </c>
      <c r="AB451" s="41">
        <v>0</v>
      </c>
      <c r="AC451" s="41">
        <v>0</v>
      </c>
      <c r="AD451" s="41">
        <v>0</v>
      </c>
      <c r="AE451" s="41">
        <v>0</v>
      </c>
      <c r="AF451" s="41">
        <v>0</v>
      </c>
      <c r="AG451" s="41">
        <f>AF451*U451</f>
        <v>0</v>
      </c>
      <c r="AH451" s="41">
        <v>0</v>
      </c>
      <c r="AI451" s="41">
        <v>0</v>
      </c>
      <c r="AJ451" s="41">
        <v>0</v>
      </c>
      <c r="AK451" s="41">
        <v>0</v>
      </c>
      <c r="AL451" s="41">
        <v>0</v>
      </c>
      <c r="AM451" s="41"/>
      <c r="AN451" s="41">
        <f t="shared" si="86"/>
        <v>53</v>
      </c>
      <c r="AO451" s="41">
        <f t="shared" si="87"/>
        <v>53</v>
      </c>
      <c r="AP451" s="40" t="s">
        <v>2741</v>
      </c>
      <c r="AQ451" s="36">
        <v>45077</v>
      </c>
      <c r="AR451" s="36"/>
      <c r="AS451" s="36"/>
      <c r="AT451" s="36">
        <v>45092</v>
      </c>
      <c r="AU451" s="36"/>
      <c r="AV451" s="38"/>
      <c r="AW451" s="40" t="s">
        <v>87</v>
      </c>
    </row>
    <row r="452" spans="1:49" s="34" customFormat="1" ht="66" customHeight="1" x14ac:dyDescent="0.3">
      <c r="A452" s="35" t="s">
        <v>2742</v>
      </c>
      <c r="B452" s="38">
        <v>45014</v>
      </c>
      <c r="C452" s="40">
        <v>1416</v>
      </c>
      <c r="D452" s="39" t="s">
        <v>2743</v>
      </c>
      <c r="E452" s="1" t="s">
        <v>2744</v>
      </c>
      <c r="F452" s="36">
        <v>45034</v>
      </c>
      <c r="G452" s="37" t="s">
        <v>2745</v>
      </c>
      <c r="H452" s="40" t="s">
        <v>1971</v>
      </c>
      <c r="I452" s="40" t="s">
        <v>2746</v>
      </c>
      <c r="J452" s="57">
        <v>52485910</v>
      </c>
      <c r="K452" s="41">
        <v>52485910</v>
      </c>
      <c r="L452" s="30">
        <f>K452</f>
        <v>52485910</v>
      </c>
      <c r="M452" s="30">
        <f t="shared" si="85"/>
        <v>52485910</v>
      </c>
      <c r="N452" s="40" t="s">
        <v>369</v>
      </c>
      <c r="O452" s="40" t="s">
        <v>2747</v>
      </c>
      <c r="P452" s="40" t="s">
        <v>190</v>
      </c>
      <c r="Q452" s="44">
        <v>0</v>
      </c>
      <c r="R452" s="37">
        <v>100</v>
      </c>
      <c r="S452" s="37" t="s">
        <v>229</v>
      </c>
      <c r="T452" s="48">
        <v>500</v>
      </c>
      <c r="U452" s="30">
        <f>M452/W452</f>
        <v>12.37</v>
      </c>
      <c r="V452" s="41">
        <f t="shared" si="88"/>
        <v>6185</v>
      </c>
      <c r="W452" s="41">
        <f t="shared" si="80"/>
        <v>4243000</v>
      </c>
      <c r="X452" s="41">
        <f t="shared" si="84"/>
        <v>2620000</v>
      </c>
      <c r="Y452" s="41">
        <v>2620000</v>
      </c>
      <c r="Z452" s="41">
        <f>Y452*U452</f>
        <v>32409399.999999996</v>
      </c>
      <c r="AA452" s="41">
        <v>0</v>
      </c>
      <c r="AB452" s="41">
        <v>0</v>
      </c>
      <c r="AC452" s="41">
        <f>AD452+AF452</f>
        <v>1623000</v>
      </c>
      <c r="AD452" s="41">
        <v>0</v>
      </c>
      <c r="AE452" s="41">
        <v>0</v>
      </c>
      <c r="AF452" s="41">
        <v>1623000</v>
      </c>
      <c r="AG452" s="41">
        <f>AF452*U452</f>
        <v>20076510</v>
      </c>
      <c r="AH452" s="41">
        <v>0</v>
      </c>
      <c r="AI452" s="41">
        <v>0</v>
      </c>
      <c r="AJ452" s="41">
        <v>0</v>
      </c>
      <c r="AK452" s="41">
        <v>0</v>
      </c>
      <c r="AL452" s="41">
        <v>0</v>
      </c>
      <c r="AM452" s="41">
        <f>Z452+AE452+AJ452</f>
        <v>32409399.999999996</v>
      </c>
      <c r="AN452" s="41">
        <f t="shared" si="86"/>
        <v>8486</v>
      </c>
      <c r="AO452" s="41">
        <f t="shared" si="87"/>
        <v>8486</v>
      </c>
      <c r="AP452" s="40"/>
      <c r="AQ452" s="36">
        <v>45061</v>
      </c>
      <c r="AR452" s="36">
        <v>45139</v>
      </c>
      <c r="AS452" s="36"/>
      <c r="AT452" s="36">
        <v>45076</v>
      </c>
      <c r="AU452" s="36">
        <v>45153</v>
      </c>
      <c r="AV452" s="38"/>
      <c r="AW452" s="40" t="s">
        <v>75</v>
      </c>
    </row>
    <row r="453" spans="1:49" s="34" customFormat="1" ht="66" customHeight="1" x14ac:dyDescent="0.3">
      <c r="A453" s="35" t="s">
        <v>2748</v>
      </c>
      <c r="B453" s="38">
        <v>45014</v>
      </c>
      <c r="C453" s="40">
        <v>1688</v>
      </c>
      <c r="D453" s="39" t="s">
        <v>491</v>
      </c>
      <c r="E453" s="1" t="s">
        <v>2749</v>
      </c>
      <c r="F453" s="36" t="s">
        <v>491</v>
      </c>
      <c r="G453" s="37" t="s">
        <v>491</v>
      </c>
      <c r="H453" s="40" t="s">
        <v>491</v>
      </c>
      <c r="I453" s="40" t="s">
        <v>2455</v>
      </c>
      <c r="J453" s="57">
        <v>824953105.5</v>
      </c>
      <c r="K453" s="41">
        <v>0</v>
      </c>
      <c r="L453" s="30">
        <f>K453</f>
        <v>0</v>
      </c>
      <c r="M453" s="30">
        <f t="shared" si="85"/>
        <v>0</v>
      </c>
      <c r="N453" s="40"/>
      <c r="O453" s="40"/>
      <c r="P453" s="40"/>
      <c r="Q453" s="44"/>
      <c r="R453" s="37"/>
      <c r="S453" s="37"/>
      <c r="T453" s="48"/>
      <c r="U453" s="30" t="e">
        <f>M453/W453</f>
        <v>#DIV/0!</v>
      </c>
      <c r="V453" s="41" t="e">
        <f t="shared" si="88"/>
        <v>#DIV/0!</v>
      </c>
      <c r="W453" s="41">
        <f t="shared" si="80"/>
        <v>0</v>
      </c>
      <c r="X453" s="41">
        <f t="shared" si="84"/>
        <v>0</v>
      </c>
      <c r="Y453" s="41">
        <v>0</v>
      </c>
      <c r="Z453" s="41">
        <v>0</v>
      </c>
      <c r="AA453" s="41">
        <v>0</v>
      </c>
      <c r="AB453" s="41">
        <v>0</v>
      </c>
      <c r="AC453" s="41">
        <v>0</v>
      </c>
      <c r="AD453" s="41">
        <v>0</v>
      </c>
      <c r="AE453" s="41">
        <v>0</v>
      </c>
      <c r="AF453" s="41">
        <v>0</v>
      </c>
      <c r="AG453" s="41">
        <v>0</v>
      </c>
      <c r="AH453" s="41">
        <v>0</v>
      </c>
      <c r="AI453" s="41">
        <v>0</v>
      </c>
      <c r="AJ453" s="41">
        <v>0</v>
      </c>
      <c r="AK453" s="41">
        <v>0</v>
      </c>
      <c r="AL453" s="41">
        <v>0</v>
      </c>
      <c r="AM453" s="41"/>
      <c r="AN453" s="41" t="e">
        <f t="shared" si="86"/>
        <v>#DIV/0!</v>
      </c>
      <c r="AO453" s="41" t="e">
        <f t="shared" si="87"/>
        <v>#DIV/0!</v>
      </c>
      <c r="AP453" s="40"/>
      <c r="AQ453" s="36">
        <v>45184</v>
      </c>
      <c r="AR453" s="36">
        <v>45275</v>
      </c>
      <c r="AS453" s="36"/>
      <c r="AT453" s="36"/>
      <c r="AU453" s="36"/>
      <c r="AV453" s="38"/>
      <c r="AW453" s="40"/>
    </row>
    <row r="454" spans="1:49" s="34" customFormat="1" ht="66" customHeight="1" x14ac:dyDescent="0.3">
      <c r="A454" s="35" t="s">
        <v>2750</v>
      </c>
      <c r="B454" s="38">
        <v>45014</v>
      </c>
      <c r="C454" s="40">
        <v>545</v>
      </c>
      <c r="D454" s="39" t="s">
        <v>2751</v>
      </c>
      <c r="E454" s="1" t="s">
        <v>2752</v>
      </c>
      <c r="F454" s="36">
        <v>45037</v>
      </c>
      <c r="G454" s="37" t="s">
        <v>2753</v>
      </c>
      <c r="H454" s="40" t="s">
        <v>2754</v>
      </c>
      <c r="I454" s="40" t="s">
        <v>1486</v>
      </c>
      <c r="J454" s="57">
        <v>180530850.5</v>
      </c>
      <c r="K454" s="41">
        <v>180530850.5</v>
      </c>
      <c r="L454" s="30">
        <v>226496270</v>
      </c>
      <c r="M454" s="30">
        <f t="shared" si="85"/>
        <v>226496270</v>
      </c>
      <c r="N454" s="40" t="s">
        <v>1487</v>
      </c>
      <c r="O454" s="40" t="s">
        <v>2592</v>
      </c>
      <c r="P454" s="40" t="s">
        <v>348</v>
      </c>
      <c r="Q454" s="44">
        <v>0</v>
      </c>
      <c r="R454" s="37">
        <v>100</v>
      </c>
      <c r="S454" s="37" t="s">
        <v>1489</v>
      </c>
      <c r="T454" s="48">
        <v>2</v>
      </c>
      <c r="U454" s="30">
        <f>M454/W454</f>
        <v>333082.75</v>
      </c>
      <c r="V454" s="41">
        <f t="shared" si="88"/>
        <v>666165.5</v>
      </c>
      <c r="W454" s="41">
        <f t="shared" si="80"/>
        <v>680</v>
      </c>
      <c r="X454" s="41">
        <v>680</v>
      </c>
      <c r="Y454" s="41">
        <v>0</v>
      </c>
      <c r="Z454" s="41">
        <v>0</v>
      </c>
      <c r="AA454" s="41">
        <v>0</v>
      </c>
      <c r="AB454" s="41">
        <v>0</v>
      </c>
      <c r="AC454" s="41">
        <v>0</v>
      </c>
      <c r="AD454" s="41">
        <v>0</v>
      </c>
      <c r="AE454" s="41">
        <v>0</v>
      </c>
      <c r="AF454" s="41">
        <v>0</v>
      </c>
      <c r="AG454" s="41">
        <v>0</v>
      </c>
      <c r="AH454" s="41">
        <v>0</v>
      </c>
      <c r="AI454" s="41">
        <v>0</v>
      </c>
      <c r="AJ454" s="41">
        <v>0</v>
      </c>
      <c r="AK454" s="41">
        <v>0</v>
      </c>
      <c r="AL454" s="41">
        <v>0</v>
      </c>
      <c r="AM454" s="41"/>
      <c r="AN454" s="41">
        <f t="shared" si="86"/>
        <v>340</v>
      </c>
      <c r="AO454" s="41">
        <f t="shared" si="87"/>
        <v>340</v>
      </c>
      <c r="AP454" s="40" t="s">
        <v>1353</v>
      </c>
      <c r="AQ454" s="36">
        <v>45107</v>
      </c>
      <c r="AR454" s="36"/>
      <c r="AS454" s="36"/>
      <c r="AT454" s="36">
        <v>45122</v>
      </c>
      <c r="AU454" s="36"/>
      <c r="AV454" s="38"/>
      <c r="AW454" s="40" t="s">
        <v>87</v>
      </c>
    </row>
    <row r="455" spans="1:49" s="34" customFormat="1" ht="66" customHeight="1" x14ac:dyDescent="0.3">
      <c r="A455" s="35" t="s">
        <v>2755</v>
      </c>
      <c r="B455" s="38">
        <v>45015</v>
      </c>
      <c r="C455" s="40">
        <v>1416</v>
      </c>
      <c r="D455" s="39" t="s">
        <v>2756</v>
      </c>
      <c r="E455" s="1" t="s">
        <v>2757</v>
      </c>
      <c r="F455" s="36">
        <v>45037</v>
      </c>
      <c r="G455" s="37" t="s">
        <v>2758</v>
      </c>
      <c r="H455" s="40" t="s">
        <v>186</v>
      </c>
      <c r="I455" s="40" t="s">
        <v>2759</v>
      </c>
      <c r="J455" s="57">
        <v>20021425</v>
      </c>
      <c r="K455" s="41">
        <v>20021425</v>
      </c>
      <c r="L455" s="30">
        <f t="shared" ref="L455:M507" si="89">K455</f>
        <v>20021425</v>
      </c>
      <c r="M455" s="30">
        <f t="shared" si="85"/>
        <v>20021425</v>
      </c>
      <c r="N455" s="40" t="s">
        <v>671</v>
      </c>
      <c r="O455" s="40" t="s">
        <v>2760</v>
      </c>
      <c r="P455" s="40" t="s">
        <v>47</v>
      </c>
      <c r="Q455" s="44">
        <v>100</v>
      </c>
      <c r="R455" s="37">
        <v>0</v>
      </c>
      <c r="S455" s="37" t="s">
        <v>229</v>
      </c>
      <c r="T455" s="48">
        <v>500</v>
      </c>
      <c r="U455" s="30">
        <f>M455/W455</f>
        <v>7.85</v>
      </c>
      <c r="V455" s="41">
        <f t="shared" si="88"/>
        <v>3925</v>
      </c>
      <c r="W455" s="41">
        <f t="shared" si="80"/>
        <v>2550500</v>
      </c>
      <c r="X455" s="41">
        <f>Y455+AA455</f>
        <v>2550500</v>
      </c>
      <c r="Y455" s="41">
        <v>461000</v>
      </c>
      <c r="Z455" s="41">
        <f>Y455*U455</f>
        <v>3618850</v>
      </c>
      <c r="AA455" s="41">
        <v>2089500</v>
      </c>
      <c r="AB455" s="41">
        <f>AA455*U455</f>
        <v>16402575</v>
      </c>
      <c r="AC455" s="41">
        <v>0</v>
      </c>
      <c r="AD455" s="41">
        <v>0</v>
      </c>
      <c r="AE455" s="41">
        <v>0</v>
      </c>
      <c r="AF455" s="41">
        <v>0</v>
      </c>
      <c r="AG455" s="41">
        <v>0</v>
      </c>
      <c r="AH455" s="41">
        <v>0</v>
      </c>
      <c r="AI455" s="41">
        <v>0</v>
      </c>
      <c r="AJ455" s="41">
        <v>0</v>
      </c>
      <c r="AK455" s="41">
        <v>0</v>
      </c>
      <c r="AL455" s="41">
        <v>0</v>
      </c>
      <c r="AM455" s="41">
        <f>Z455+AE455+AJ455</f>
        <v>3618850</v>
      </c>
      <c r="AN455" s="41">
        <f t="shared" si="86"/>
        <v>5101</v>
      </c>
      <c r="AO455" s="41">
        <f t="shared" si="87"/>
        <v>5101</v>
      </c>
      <c r="AP455" s="40"/>
      <c r="AQ455" s="36">
        <v>45097</v>
      </c>
      <c r="AR455" s="36"/>
      <c r="AS455" s="36"/>
      <c r="AT455" s="36">
        <v>45112</v>
      </c>
      <c r="AU455" s="36"/>
      <c r="AV455" s="38"/>
      <c r="AW455" s="40" t="s">
        <v>87</v>
      </c>
    </row>
    <row r="456" spans="1:49" s="34" customFormat="1" ht="66" customHeight="1" x14ac:dyDescent="0.3">
      <c r="A456" s="35" t="s">
        <v>2761</v>
      </c>
      <c r="B456" s="38">
        <v>45015</v>
      </c>
      <c r="C456" s="40">
        <v>1416</v>
      </c>
      <c r="D456" s="39" t="s">
        <v>2762</v>
      </c>
      <c r="E456" s="1" t="s">
        <v>2763</v>
      </c>
      <c r="F456" s="36">
        <v>45048</v>
      </c>
      <c r="G456" s="35" t="s">
        <v>2764</v>
      </c>
      <c r="H456" s="40" t="s">
        <v>802</v>
      </c>
      <c r="I456" s="40" t="s">
        <v>2765</v>
      </c>
      <c r="J456" s="57">
        <v>390714544.80000001</v>
      </c>
      <c r="K456" s="41">
        <v>390714544.80000001</v>
      </c>
      <c r="L456" s="30">
        <f t="shared" si="89"/>
        <v>390714544.80000001</v>
      </c>
      <c r="M456" s="30">
        <f t="shared" si="85"/>
        <v>390714544.80000001</v>
      </c>
      <c r="N456" s="40" t="s">
        <v>804</v>
      </c>
      <c r="O456" s="40" t="s">
        <v>805</v>
      </c>
      <c r="P456" s="40" t="s">
        <v>218</v>
      </c>
      <c r="Q456" s="44">
        <v>100</v>
      </c>
      <c r="R456" s="37">
        <v>0</v>
      </c>
      <c r="S456" s="37" t="s">
        <v>219</v>
      </c>
      <c r="T456" s="48">
        <v>5</v>
      </c>
      <c r="U456" s="30">
        <f>M456/W456</f>
        <v>7950.2400000000007</v>
      </c>
      <c r="V456" s="41">
        <f t="shared" si="88"/>
        <v>39751.200000000004</v>
      </c>
      <c r="W456" s="41">
        <f t="shared" si="80"/>
        <v>49145</v>
      </c>
      <c r="X456" s="41">
        <f t="shared" si="84"/>
        <v>46585</v>
      </c>
      <c r="Y456" s="41">
        <v>26440</v>
      </c>
      <c r="Z456" s="41">
        <f>Y456*U456</f>
        <v>210204345.60000002</v>
      </c>
      <c r="AA456" s="41">
        <v>20145</v>
      </c>
      <c r="AB456" s="41">
        <f>AA456*U456</f>
        <v>160157584.80000001</v>
      </c>
      <c r="AC456" s="41">
        <f>AD456+AF456</f>
        <v>2560</v>
      </c>
      <c r="AD456" s="41">
        <v>1445</v>
      </c>
      <c r="AE456" s="41">
        <f>AD456*U456</f>
        <v>11488096.800000001</v>
      </c>
      <c r="AF456" s="41">
        <v>1115</v>
      </c>
      <c r="AG456" s="41">
        <f>AF456*U456</f>
        <v>8864517.6000000015</v>
      </c>
      <c r="AH456" s="41">
        <v>0</v>
      </c>
      <c r="AI456" s="41">
        <v>0</v>
      </c>
      <c r="AJ456" s="41">
        <v>0</v>
      </c>
      <c r="AK456" s="41">
        <v>0</v>
      </c>
      <c r="AL456" s="41">
        <v>0</v>
      </c>
      <c r="AM456" s="41">
        <f>Z456+AE456+AJ456</f>
        <v>221692442.40000004</v>
      </c>
      <c r="AN456" s="41">
        <f t="shared" si="86"/>
        <v>9829</v>
      </c>
      <c r="AO456" s="41">
        <f t="shared" si="87"/>
        <v>9829</v>
      </c>
      <c r="AP456" s="40"/>
      <c r="AQ456" s="36">
        <v>45077</v>
      </c>
      <c r="AR456" s="36">
        <v>45153</v>
      </c>
      <c r="AS456" s="36"/>
      <c r="AT456" s="36">
        <v>45092</v>
      </c>
      <c r="AU456" s="36">
        <v>45168</v>
      </c>
      <c r="AV456" s="38"/>
      <c r="AW456" s="40" t="s">
        <v>75</v>
      </c>
    </row>
    <row r="457" spans="1:49" s="34" customFormat="1" ht="66" customHeight="1" x14ac:dyDescent="0.3">
      <c r="A457" s="35" t="s">
        <v>2766</v>
      </c>
      <c r="B457" s="38">
        <v>45015</v>
      </c>
      <c r="C457" s="40">
        <v>545</v>
      </c>
      <c r="D457" s="39" t="s">
        <v>2767</v>
      </c>
      <c r="E457" s="1" t="s">
        <v>2768</v>
      </c>
      <c r="F457" s="36">
        <v>45034</v>
      </c>
      <c r="G457" s="37" t="s">
        <v>2769</v>
      </c>
      <c r="H457" s="40" t="s">
        <v>224</v>
      </c>
      <c r="I457" s="40" t="s">
        <v>1261</v>
      </c>
      <c r="J457" s="57">
        <v>18913984</v>
      </c>
      <c r="K457" s="41">
        <v>18913984</v>
      </c>
      <c r="L457" s="30">
        <f t="shared" si="89"/>
        <v>18913984</v>
      </c>
      <c r="M457" s="30">
        <f t="shared" si="85"/>
        <v>18913984</v>
      </c>
      <c r="N457" s="40" t="s">
        <v>2770</v>
      </c>
      <c r="O457" s="40" t="s">
        <v>2771</v>
      </c>
      <c r="P457" s="40" t="s">
        <v>2772</v>
      </c>
      <c r="Q457" s="44">
        <v>0</v>
      </c>
      <c r="R457" s="37">
        <v>100</v>
      </c>
      <c r="S457" s="37" t="s">
        <v>219</v>
      </c>
      <c r="T457" s="48">
        <v>10</v>
      </c>
      <c r="U457" s="30">
        <f>M457/W457</f>
        <v>47284.959999999999</v>
      </c>
      <c r="V457" s="41">
        <f t="shared" si="88"/>
        <v>472849.6</v>
      </c>
      <c r="W457" s="41">
        <f t="shared" si="80"/>
        <v>400</v>
      </c>
      <c r="X457" s="41">
        <v>400</v>
      </c>
      <c r="Y457" s="41">
        <v>0</v>
      </c>
      <c r="Z457" s="41">
        <v>0</v>
      </c>
      <c r="AA457" s="41">
        <v>0</v>
      </c>
      <c r="AB457" s="41">
        <v>0</v>
      </c>
      <c r="AC457" s="41">
        <v>0</v>
      </c>
      <c r="AD457" s="41">
        <v>0</v>
      </c>
      <c r="AE457" s="41">
        <v>0</v>
      </c>
      <c r="AF457" s="41">
        <v>0</v>
      </c>
      <c r="AG457" s="41">
        <v>0</v>
      </c>
      <c r="AH457" s="41">
        <v>0</v>
      </c>
      <c r="AI457" s="41">
        <v>0</v>
      </c>
      <c r="AJ457" s="41">
        <v>0</v>
      </c>
      <c r="AK457" s="41">
        <v>0</v>
      </c>
      <c r="AL457" s="41">
        <v>0</v>
      </c>
      <c r="AM457" s="41"/>
      <c r="AN457" s="41">
        <f t="shared" si="86"/>
        <v>40</v>
      </c>
      <c r="AO457" s="41">
        <f t="shared" si="87"/>
        <v>40</v>
      </c>
      <c r="AP457" s="40" t="s">
        <v>2773</v>
      </c>
      <c r="AQ457" s="36">
        <v>45092</v>
      </c>
      <c r="AR457" s="36"/>
      <c r="AS457" s="36"/>
      <c r="AT457" s="36">
        <v>45108</v>
      </c>
      <c r="AU457" s="36"/>
      <c r="AV457" s="38"/>
      <c r="AW457" s="40" t="s">
        <v>87</v>
      </c>
    </row>
    <row r="458" spans="1:49" s="34" customFormat="1" ht="66" customHeight="1" x14ac:dyDescent="0.3">
      <c r="A458" s="35" t="s">
        <v>2774</v>
      </c>
      <c r="B458" s="38">
        <v>45027</v>
      </c>
      <c r="C458" s="40">
        <v>1688</v>
      </c>
      <c r="D458" s="39" t="s">
        <v>459</v>
      </c>
      <c r="E458" s="1" t="s">
        <v>2775</v>
      </c>
      <c r="F458" s="36" t="s">
        <v>459</v>
      </c>
      <c r="G458" s="37" t="s">
        <v>459</v>
      </c>
      <c r="H458" s="40" t="s">
        <v>459</v>
      </c>
      <c r="I458" s="40" t="s">
        <v>2776</v>
      </c>
      <c r="J458" s="57">
        <v>824953105.5</v>
      </c>
      <c r="K458" s="41">
        <v>0</v>
      </c>
      <c r="L458" s="30">
        <f t="shared" si="89"/>
        <v>0</v>
      </c>
      <c r="M458" s="30">
        <f t="shared" si="85"/>
        <v>0</v>
      </c>
      <c r="N458" s="40"/>
      <c r="O458" s="40"/>
      <c r="P458" s="40"/>
      <c r="Q458" s="44"/>
      <c r="R458" s="37"/>
      <c r="S458" s="37"/>
      <c r="T458" s="48"/>
      <c r="U458" s="30" t="e">
        <f>M458/W458</f>
        <v>#DIV/0!</v>
      </c>
      <c r="V458" s="41" t="e">
        <f t="shared" si="88"/>
        <v>#DIV/0!</v>
      </c>
      <c r="W458" s="41">
        <f t="shared" si="80"/>
        <v>0</v>
      </c>
      <c r="X458" s="41">
        <f t="shared" si="84"/>
        <v>0</v>
      </c>
      <c r="Y458" s="41">
        <v>0</v>
      </c>
      <c r="Z458" s="41">
        <v>0</v>
      </c>
      <c r="AA458" s="41">
        <v>0</v>
      </c>
      <c r="AB458" s="41">
        <v>0</v>
      </c>
      <c r="AC458" s="41">
        <v>0</v>
      </c>
      <c r="AD458" s="41">
        <v>0</v>
      </c>
      <c r="AE458" s="41">
        <v>0</v>
      </c>
      <c r="AF458" s="41">
        <v>0</v>
      </c>
      <c r="AG458" s="41">
        <v>0</v>
      </c>
      <c r="AH458" s="41">
        <v>0</v>
      </c>
      <c r="AI458" s="41">
        <v>0</v>
      </c>
      <c r="AJ458" s="41">
        <v>0</v>
      </c>
      <c r="AK458" s="41">
        <v>0</v>
      </c>
      <c r="AL458" s="41">
        <v>0</v>
      </c>
      <c r="AM458" s="41"/>
      <c r="AN458" s="41" t="e">
        <f t="shared" si="86"/>
        <v>#DIV/0!</v>
      </c>
      <c r="AO458" s="41" t="e">
        <f t="shared" si="87"/>
        <v>#DIV/0!</v>
      </c>
      <c r="AP458" s="40"/>
      <c r="AQ458" s="36">
        <v>45184</v>
      </c>
      <c r="AR458" s="36">
        <v>45275</v>
      </c>
      <c r="AS458" s="36"/>
      <c r="AT458" s="36"/>
      <c r="AU458" s="36"/>
      <c r="AV458" s="38"/>
      <c r="AW458" s="40"/>
    </row>
    <row r="459" spans="1:49" s="34" customFormat="1" ht="66" customHeight="1" x14ac:dyDescent="0.3">
      <c r="A459" s="35" t="s">
        <v>2777</v>
      </c>
      <c r="B459" s="38">
        <v>45027</v>
      </c>
      <c r="C459" s="40">
        <v>1416</v>
      </c>
      <c r="D459" s="39" t="s">
        <v>2778</v>
      </c>
      <c r="E459" s="1" t="s">
        <v>2779</v>
      </c>
      <c r="F459" s="36">
        <v>45058</v>
      </c>
      <c r="G459" s="37" t="s">
        <v>2780</v>
      </c>
      <c r="H459" s="40" t="s">
        <v>224</v>
      </c>
      <c r="I459" s="40" t="s">
        <v>2781</v>
      </c>
      <c r="J459" s="57">
        <v>645944782.20000005</v>
      </c>
      <c r="K459" s="41">
        <v>645944782.20000005</v>
      </c>
      <c r="L459" s="30">
        <f t="shared" si="89"/>
        <v>645944782.20000005</v>
      </c>
      <c r="M459" s="30">
        <f t="shared" si="85"/>
        <v>645944782.20000005</v>
      </c>
      <c r="N459" s="40" t="s">
        <v>2782</v>
      </c>
      <c r="O459" s="40" t="s">
        <v>2783</v>
      </c>
      <c r="P459" s="40" t="s">
        <v>218</v>
      </c>
      <c r="Q459" s="44">
        <v>0</v>
      </c>
      <c r="R459" s="37">
        <v>100</v>
      </c>
      <c r="S459" s="37" t="s">
        <v>219</v>
      </c>
      <c r="T459" s="48">
        <v>5</v>
      </c>
      <c r="U459" s="30">
        <f>M459/W459</f>
        <v>18607.080000000002</v>
      </c>
      <c r="V459" s="41">
        <f t="shared" si="88"/>
        <v>93035.400000000009</v>
      </c>
      <c r="W459" s="41">
        <f t="shared" si="80"/>
        <v>34715</v>
      </c>
      <c r="X459" s="41">
        <f>Y459+AA459</f>
        <v>34715</v>
      </c>
      <c r="Y459" s="41">
        <v>12660</v>
      </c>
      <c r="Z459" s="41">
        <f>Y459*U459</f>
        <v>235565632.80000001</v>
      </c>
      <c r="AA459" s="41">
        <v>22055</v>
      </c>
      <c r="AB459" s="41">
        <f>AA459*U459</f>
        <v>410379149.40000004</v>
      </c>
      <c r="AC459" s="41">
        <v>0</v>
      </c>
      <c r="AD459" s="41">
        <v>0</v>
      </c>
      <c r="AE459" s="41">
        <v>0</v>
      </c>
      <c r="AF459" s="41">
        <v>0</v>
      </c>
      <c r="AG459" s="41">
        <v>0</v>
      </c>
      <c r="AH459" s="41">
        <v>0</v>
      </c>
      <c r="AI459" s="41">
        <v>0</v>
      </c>
      <c r="AJ459" s="41">
        <v>0</v>
      </c>
      <c r="AK459" s="41">
        <v>0</v>
      </c>
      <c r="AL459" s="41">
        <v>0</v>
      </c>
      <c r="AM459" s="41">
        <f>Z459+AE459+AJ459</f>
        <v>235565632.80000001</v>
      </c>
      <c r="AN459" s="41">
        <f t="shared" si="86"/>
        <v>6943</v>
      </c>
      <c r="AO459" s="41">
        <f t="shared" si="87"/>
        <v>6943</v>
      </c>
      <c r="AP459" s="40"/>
      <c r="AQ459" s="36">
        <v>45184</v>
      </c>
      <c r="AR459" s="36"/>
      <c r="AS459" s="36"/>
      <c r="AT459" s="36">
        <v>45200</v>
      </c>
      <c r="AU459" s="36"/>
      <c r="AV459" s="38"/>
      <c r="AW459" s="40" t="s">
        <v>49</v>
      </c>
    </row>
    <row r="460" spans="1:49" s="34" customFormat="1" ht="66" customHeight="1" x14ac:dyDescent="0.3">
      <c r="A460" s="35" t="s">
        <v>2784</v>
      </c>
      <c r="B460" s="38">
        <v>45027</v>
      </c>
      <c r="C460" s="40">
        <v>545</v>
      </c>
      <c r="D460" s="39" t="s">
        <v>459</v>
      </c>
      <c r="E460" s="1" t="s">
        <v>2785</v>
      </c>
      <c r="F460" s="36" t="s">
        <v>459</v>
      </c>
      <c r="G460" s="37" t="s">
        <v>459</v>
      </c>
      <c r="H460" s="40" t="s">
        <v>459</v>
      </c>
      <c r="I460" s="40" t="s">
        <v>2786</v>
      </c>
      <c r="J460" s="57">
        <v>21234044.16</v>
      </c>
      <c r="K460" s="41">
        <v>0</v>
      </c>
      <c r="L460" s="30">
        <f t="shared" si="89"/>
        <v>0</v>
      </c>
      <c r="M460" s="30">
        <f t="shared" si="85"/>
        <v>0</v>
      </c>
      <c r="N460" s="40"/>
      <c r="O460" s="40"/>
      <c r="P460" s="40"/>
      <c r="Q460" s="44"/>
      <c r="R460" s="37"/>
      <c r="S460" s="37"/>
      <c r="T460" s="48"/>
      <c r="U460" s="30" t="e">
        <f>M460/W460</f>
        <v>#DIV/0!</v>
      </c>
      <c r="V460" s="41" t="e">
        <f t="shared" si="88"/>
        <v>#DIV/0!</v>
      </c>
      <c r="W460" s="41">
        <f t="shared" si="80"/>
        <v>0</v>
      </c>
      <c r="X460" s="41">
        <f t="shared" si="84"/>
        <v>0</v>
      </c>
      <c r="Y460" s="41">
        <v>0</v>
      </c>
      <c r="Z460" s="41">
        <v>0</v>
      </c>
      <c r="AA460" s="41">
        <v>0</v>
      </c>
      <c r="AB460" s="41">
        <v>0</v>
      </c>
      <c r="AC460" s="41">
        <v>0</v>
      </c>
      <c r="AD460" s="41">
        <v>0</v>
      </c>
      <c r="AE460" s="41">
        <v>0</v>
      </c>
      <c r="AF460" s="41">
        <v>0</v>
      </c>
      <c r="AG460" s="41">
        <v>0</v>
      </c>
      <c r="AH460" s="41">
        <v>0</v>
      </c>
      <c r="AI460" s="41">
        <v>0</v>
      </c>
      <c r="AJ460" s="41">
        <v>0</v>
      </c>
      <c r="AK460" s="41">
        <v>0</v>
      </c>
      <c r="AL460" s="41">
        <v>0</v>
      </c>
      <c r="AM460" s="41"/>
      <c r="AN460" s="41" t="e">
        <f t="shared" si="86"/>
        <v>#DIV/0!</v>
      </c>
      <c r="AO460" s="41" t="e">
        <f t="shared" si="87"/>
        <v>#DIV/0!</v>
      </c>
      <c r="AP460" s="40"/>
      <c r="AQ460" s="36">
        <v>45138</v>
      </c>
      <c r="AR460" s="36"/>
      <c r="AS460" s="36"/>
      <c r="AT460" s="36"/>
      <c r="AU460" s="36"/>
      <c r="AV460" s="38"/>
      <c r="AW460" s="40"/>
    </row>
    <row r="461" spans="1:49" s="34" customFormat="1" ht="66" customHeight="1" x14ac:dyDescent="0.3">
      <c r="A461" s="35" t="s">
        <v>2787</v>
      </c>
      <c r="B461" s="38">
        <v>45028</v>
      </c>
      <c r="C461" s="40">
        <v>545</v>
      </c>
      <c r="D461" s="39" t="s">
        <v>2788</v>
      </c>
      <c r="E461" s="1" t="s">
        <v>2789</v>
      </c>
      <c r="F461" s="36">
        <v>45049</v>
      </c>
      <c r="G461" s="37" t="s">
        <v>2790</v>
      </c>
      <c r="H461" s="40" t="s">
        <v>802</v>
      </c>
      <c r="I461" s="40" t="s">
        <v>2791</v>
      </c>
      <c r="J461" s="57">
        <v>48674481.240000002</v>
      </c>
      <c r="K461" s="41">
        <v>48674481.240000002</v>
      </c>
      <c r="L461" s="30">
        <f t="shared" si="89"/>
        <v>48674481.240000002</v>
      </c>
      <c r="M461" s="30">
        <f t="shared" si="85"/>
        <v>48674481.240000002</v>
      </c>
      <c r="N461" s="40" t="s">
        <v>1521</v>
      </c>
      <c r="O461" s="40" t="s">
        <v>2792</v>
      </c>
      <c r="P461" s="40" t="s">
        <v>1436</v>
      </c>
      <c r="Q461" s="44">
        <v>0</v>
      </c>
      <c r="R461" s="37">
        <v>100</v>
      </c>
      <c r="S461" s="37" t="s">
        <v>584</v>
      </c>
      <c r="T461" s="67">
        <v>18541.599999999999</v>
      </c>
      <c r="U461" s="30">
        <f>M461/W461</f>
        <v>47.730000000000004</v>
      </c>
      <c r="V461" s="41">
        <f t="shared" si="88"/>
        <v>884990.56799999997</v>
      </c>
      <c r="W461" s="41">
        <f t="shared" si="80"/>
        <v>1019788</v>
      </c>
      <c r="X461" s="41">
        <v>1019788</v>
      </c>
      <c r="Y461" s="41">
        <v>0</v>
      </c>
      <c r="Z461" s="41">
        <v>0</v>
      </c>
      <c r="AA461" s="41">
        <v>0</v>
      </c>
      <c r="AB461" s="41">
        <v>0</v>
      </c>
      <c r="AC461" s="41">
        <v>0</v>
      </c>
      <c r="AD461" s="41">
        <v>0</v>
      </c>
      <c r="AE461" s="41">
        <v>0</v>
      </c>
      <c r="AF461" s="41">
        <v>0</v>
      </c>
      <c r="AG461" s="41">
        <v>0</v>
      </c>
      <c r="AH461" s="41">
        <v>0</v>
      </c>
      <c r="AI461" s="41">
        <v>0</v>
      </c>
      <c r="AJ461" s="41">
        <v>0</v>
      </c>
      <c r="AK461" s="41">
        <v>0</v>
      </c>
      <c r="AL461" s="41">
        <v>0</v>
      </c>
      <c r="AM461" s="41"/>
      <c r="AN461" s="41">
        <f t="shared" si="86"/>
        <v>55.000000000000007</v>
      </c>
      <c r="AO461" s="41">
        <f t="shared" si="87"/>
        <v>55</v>
      </c>
      <c r="AP461" s="40"/>
      <c r="AQ461" s="36">
        <v>45138</v>
      </c>
      <c r="AR461" s="36"/>
      <c r="AS461" s="36"/>
      <c r="AT461" s="36">
        <v>45153</v>
      </c>
      <c r="AU461" s="36"/>
      <c r="AV461" s="38"/>
      <c r="AW461" s="40" t="s">
        <v>87</v>
      </c>
    </row>
    <row r="462" spans="1:49" s="34" customFormat="1" ht="66" customHeight="1" x14ac:dyDescent="0.3">
      <c r="A462" s="35" t="s">
        <v>2793</v>
      </c>
      <c r="B462" s="38">
        <v>45028</v>
      </c>
      <c r="C462" s="40">
        <v>545</v>
      </c>
      <c r="D462" s="39" t="s">
        <v>459</v>
      </c>
      <c r="E462" s="1" t="s">
        <v>2794</v>
      </c>
      <c r="F462" s="36" t="s">
        <v>459</v>
      </c>
      <c r="G462" s="37" t="s">
        <v>459</v>
      </c>
      <c r="H462" s="40" t="s">
        <v>459</v>
      </c>
      <c r="I462" s="40" t="s">
        <v>1420</v>
      </c>
      <c r="J462" s="57">
        <v>10806642</v>
      </c>
      <c r="K462" s="41">
        <v>0</v>
      </c>
      <c r="L462" s="30">
        <f t="shared" si="89"/>
        <v>0</v>
      </c>
      <c r="M462" s="30">
        <f t="shared" si="85"/>
        <v>0</v>
      </c>
      <c r="N462" s="40"/>
      <c r="O462" s="40"/>
      <c r="P462" s="40"/>
      <c r="Q462" s="44"/>
      <c r="R462" s="37"/>
      <c r="S462" s="37"/>
      <c r="T462" s="48"/>
      <c r="U462" s="30" t="e">
        <f>M462/W462</f>
        <v>#DIV/0!</v>
      </c>
      <c r="V462" s="41" t="e">
        <f t="shared" si="88"/>
        <v>#DIV/0!</v>
      </c>
      <c r="W462" s="41">
        <f t="shared" si="80"/>
        <v>0</v>
      </c>
      <c r="X462" s="41">
        <f t="shared" si="84"/>
        <v>0</v>
      </c>
      <c r="Y462" s="41">
        <v>0</v>
      </c>
      <c r="Z462" s="41">
        <v>0</v>
      </c>
      <c r="AA462" s="41">
        <v>0</v>
      </c>
      <c r="AB462" s="41">
        <v>0</v>
      </c>
      <c r="AC462" s="41">
        <v>0</v>
      </c>
      <c r="AD462" s="41">
        <v>0</v>
      </c>
      <c r="AE462" s="41">
        <v>0</v>
      </c>
      <c r="AF462" s="41">
        <v>0</v>
      </c>
      <c r="AG462" s="41">
        <v>0</v>
      </c>
      <c r="AH462" s="41">
        <v>0</v>
      </c>
      <c r="AI462" s="41">
        <v>0</v>
      </c>
      <c r="AJ462" s="41">
        <v>0</v>
      </c>
      <c r="AK462" s="41">
        <v>0</v>
      </c>
      <c r="AL462" s="41">
        <v>0</v>
      </c>
      <c r="AM462" s="41"/>
      <c r="AN462" s="41" t="e">
        <f t="shared" si="86"/>
        <v>#DIV/0!</v>
      </c>
      <c r="AO462" s="41" t="e">
        <f t="shared" si="87"/>
        <v>#DIV/0!</v>
      </c>
      <c r="AP462" s="40"/>
      <c r="AQ462" s="36">
        <v>45078</v>
      </c>
      <c r="AR462" s="36"/>
      <c r="AS462" s="36"/>
      <c r="AT462" s="36"/>
      <c r="AU462" s="36"/>
      <c r="AV462" s="38"/>
      <c r="AW462" s="40"/>
    </row>
    <row r="463" spans="1:49" s="34" customFormat="1" ht="66" customHeight="1" x14ac:dyDescent="0.3">
      <c r="A463" s="35" t="s">
        <v>2795</v>
      </c>
      <c r="B463" s="38">
        <v>45028</v>
      </c>
      <c r="C463" s="40">
        <v>1416</v>
      </c>
      <c r="D463" s="39" t="s">
        <v>2796</v>
      </c>
      <c r="E463" s="1" t="s">
        <v>2797</v>
      </c>
      <c r="F463" s="36">
        <v>45049</v>
      </c>
      <c r="G463" s="37" t="s">
        <v>2798</v>
      </c>
      <c r="H463" s="40" t="s">
        <v>177</v>
      </c>
      <c r="I463" s="40" t="s">
        <v>1210</v>
      </c>
      <c r="J463" s="57">
        <v>94544988</v>
      </c>
      <c r="K463" s="41">
        <v>94544988</v>
      </c>
      <c r="L463" s="30">
        <f t="shared" si="89"/>
        <v>94544988</v>
      </c>
      <c r="M463" s="30">
        <f t="shared" si="85"/>
        <v>94544988</v>
      </c>
      <c r="N463" s="40" t="s">
        <v>1211</v>
      </c>
      <c r="O463" s="40" t="s">
        <v>2799</v>
      </c>
      <c r="P463" s="40" t="s">
        <v>1213</v>
      </c>
      <c r="Q463" s="44">
        <v>0</v>
      </c>
      <c r="R463" s="37">
        <v>100</v>
      </c>
      <c r="S463" s="37" t="s">
        <v>229</v>
      </c>
      <c r="T463" s="48">
        <v>1200</v>
      </c>
      <c r="U463" s="30">
        <f>M463/W463</f>
        <v>15.01</v>
      </c>
      <c r="V463" s="41">
        <f t="shared" si="88"/>
        <v>18012</v>
      </c>
      <c r="W463" s="41">
        <f t="shared" si="80"/>
        <v>6298800</v>
      </c>
      <c r="X463" s="41">
        <f t="shared" si="84"/>
        <v>6298800</v>
      </c>
      <c r="Y463" s="41">
        <v>1844400</v>
      </c>
      <c r="Z463" s="41">
        <f>Y463*U463</f>
        <v>27684444</v>
      </c>
      <c r="AA463" s="41">
        <v>4454400</v>
      </c>
      <c r="AB463" s="41">
        <f>AA463*U463</f>
        <v>66860544</v>
      </c>
      <c r="AC463" s="41">
        <v>0</v>
      </c>
      <c r="AD463" s="41">
        <v>0</v>
      </c>
      <c r="AE463" s="41">
        <v>0</v>
      </c>
      <c r="AF463" s="41">
        <v>0</v>
      </c>
      <c r="AG463" s="41">
        <v>0</v>
      </c>
      <c r="AH463" s="41">
        <v>0</v>
      </c>
      <c r="AI463" s="41">
        <v>0</v>
      </c>
      <c r="AJ463" s="41">
        <v>0</v>
      </c>
      <c r="AK463" s="41">
        <v>0</v>
      </c>
      <c r="AL463" s="41">
        <v>0</v>
      </c>
      <c r="AM463" s="41">
        <f>Z463+AE463+AJ463</f>
        <v>27684444</v>
      </c>
      <c r="AN463" s="41">
        <f t="shared" si="86"/>
        <v>5249</v>
      </c>
      <c r="AO463" s="41">
        <f t="shared" si="87"/>
        <v>5249</v>
      </c>
      <c r="AP463" s="40"/>
      <c r="AQ463" s="36">
        <v>45092</v>
      </c>
      <c r="AR463" s="36"/>
      <c r="AS463" s="36"/>
      <c r="AT463" s="36">
        <v>45107</v>
      </c>
      <c r="AU463" s="36"/>
      <c r="AV463" s="38"/>
      <c r="AW463" s="40" t="s">
        <v>87</v>
      </c>
    </row>
    <row r="464" spans="1:49" s="34" customFormat="1" ht="66" customHeight="1" x14ac:dyDescent="0.3">
      <c r="A464" s="35" t="s">
        <v>2800</v>
      </c>
      <c r="B464" s="38">
        <v>45028</v>
      </c>
      <c r="C464" s="40">
        <v>1416</v>
      </c>
      <c r="D464" s="39" t="s">
        <v>2801</v>
      </c>
      <c r="E464" s="1" t="s">
        <v>2802</v>
      </c>
      <c r="F464" s="36">
        <v>45048</v>
      </c>
      <c r="G464" s="37" t="s">
        <v>2803</v>
      </c>
      <c r="H464" s="40" t="s">
        <v>224</v>
      </c>
      <c r="I464" s="40" t="s">
        <v>2804</v>
      </c>
      <c r="J464" s="57">
        <v>4276800</v>
      </c>
      <c r="K464" s="41">
        <v>4062960</v>
      </c>
      <c r="L464" s="30">
        <f t="shared" si="89"/>
        <v>4062960</v>
      </c>
      <c r="M464" s="30">
        <f t="shared" si="85"/>
        <v>4062960</v>
      </c>
      <c r="N464" s="40" t="s">
        <v>2805</v>
      </c>
      <c r="O464" s="40" t="s">
        <v>2806</v>
      </c>
      <c r="P464" s="40" t="s">
        <v>1032</v>
      </c>
      <c r="Q464" s="44">
        <v>0</v>
      </c>
      <c r="R464" s="37">
        <v>100</v>
      </c>
      <c r="S464" s="37" t="s">
        <v>457</v>
      </c>
      <c r="T464" s="48">
        <v>200</v>
      </c>
      <c r="U464" s="30">
        <f>M464/W464</f>
        <v>125.4</v>
      </c>
      <c r="V464" s="41">
        <f t="shared" si="88"/>
        <v>25080</v>
      </c>
      <c r="W464" s="41">
        <f t="shared" si="80"/>
        <v>32400</v>
      </c>
      <c r="X464" s="41">
        <f t="shared" si="84"/>
        <v>32400</v>
      </c>
      <c r="Y464" s="41">
        <v>19200</v>
      </c>
      <c r="Z464" s="41">
        <f>Y464*U464</f>
        <v>2407680</v>
      </c>
      <c r="AA464" s="41">
        <v>13200</v>
      </c>
      <c r="AB464" s="41">
        <f>AA464*U464</f>
        <v>1655280</v>
      </c>
      <c r="AC464" s="41">
        <v>0</v>
      </c>
      <c r="AD464" s="41">
        <v>0</v>
      </c>
      <c r="AE464" s="41">
        <v>0</v>
      </c>
      <c r="AF464" s="41">
        <v>0</v>
      </c>
      <c r="AG464" s="41">
        <v>0</v>
      </c>
      <c r="AH464" s="41">
        <v>0</v>
      </c>
      <c r="AI464" s="41">
        <v>0</v>
      </c>
      <c r="AJ464" s="41">
        <v>0</v>
      </c>
      <c r="AK464" s="41">
        <v>0</v>
      </c>
      <c r="AL464" s="41">
        <v>0</v>
      </c>
      <c r="AM464" s="41">
        <f>Z464+AE464+AJ464</f>
        <v>2407680</v>
      </c>
      <c r="AN464" s="41">
        <f t="shared" si="86"/>
        <v>162</v>
      </c>
      <c r="AO464" s="41">
        <f t="shared" si="87"/>
        <v>162</v>
      </c>
      <c r="AP464" s="40"/>
      <c r="AQ464" s="36">
        <v>45078</v>
      </c>
      <c r="AR464" s="36"/>
      <c r="AS464" s="36"/>
      <c r="AT464" s="36">
        <v>45092</v>
      </c>
      <c r="AU464" s="36"/>
      <c r="AV464" s="38"/>
      <c r="AW464" s="40" t="s">
        <v>87</v>
      </c>
    </row>
    <row r="465" spans="1:49" s="34" customFormat="1" ht="66" customHeight="1" x14ac:dyDescent="0.3">
      <c r="A465" s="35" t="s">
        <v>2807</v>
      </c>
      <c r="B465" s="38">
        <v>45028</v>
      </c>
      <c r="C465" s="40">
        <v>1416</v>
      </c>
      <c r="D465" s="39" t="s">
        <v>2808</v>
      </c>
      <c r="E465" s="1" t="s">
        <v>2809</v>
      </c>
      <c r="F465" s="36">
        <v>45065</v>
      </c>
      <c r="G465" s="37" t="s">
        <v>2810</v>
      </c>
      <c r="H465" s="40" t="s">
        <v>186</v>
      </c>
      <c r="I465" s="40" t="s">
        <v>811</v>
      </c>
      <c r="J465" s="57">
        <v>1538921058.5999999</v>
      </c>
      <c r="K465" s="41">
        <v>1538921058.5999999</v>
      </c>
      <c r="L465" s="30">
        <f t="shared" si="89"/>
        <v>1538921058.5999999</v>
      </c>
      <c r="M465" s="30">
        <f t="shared" si="85"/>
        <v>1538921058.5999999</v>
      </c>
      <c r="N465" s="40" t="s">
        <v>812</v>
      </c>
      <c r="O465" s="40" t="s">
        <v>2811</v>
      </c>
      <c r="P465" s="40" t="s">
        <v>47</v>
      </c>
      <c r="Q465" s="44">
        <v>100</v>
      </c>
      <c r="R465" s="37">
        <v>0</v>
      </c>
      <c r="S465" s="37" t="s">
        <v>219</v>
      </c>
      <c r="T465" s="48">
        <v>30</v>
      </c>
      <c r="U465" s="30">
        <f>M465/W465</f>
        <v>9102.81</v>
      </c>
      <c r="V465" s="41">
        <f t="shared" si="88"/>
        <v>273084.3</v>
      </c>
      <c r="W465" s="41">
        <f t="shared" si="80"/>
        <v>169060</v>
      </c>
      <c r="X465" s="41">
        <f t="shared" si="84"/>
        <v>84900</v>
      </c>
      <c r="Y465" s="41">
        <v>43140</v>
      </c>
      <c r="Z465" s="41">
        <f>Y465*U465</f>
        <v>392695223.39999998</v>
      </c>
      <c r="AA465" s="41">
        <v>41760</v>
      </c>
      <c r="AB465" s="41">
        <f>AA465*U465</f>
        <v>380133345.59999996</v>
      </c>
      <c r="AC465" s="41">
        <f>AD465+AF465</f>
        <v>84160</v>
      </c>
      <c r="AD465" s="41">
        <v>42750</v>
      </c>
      <c r="AE465" s="41">
        <f>AD465*U465</f>
        <v>389145127.5</v>
      </c>
      <c r="AF465" s="41">
        <v>41410</v>
      </c>
      <c r="AG465" s="41">
        <f>AF465*U465</f>
        <v>376947362.09999996</v>
      </c>
      <c r="AH465" s="41">
        <v>0</v>
      </c>
      <c r="AI465" s="41">
        <v>0</v>
      </c>
      <c r="AJ465" s="41">
        <v>0</v>
      </c>
      <c r="AK465" s="41">
        <v>0</v>
      </c>
      <c r="AL465" s="41">
        <v>0</v>
      </c>
      <c r="AM465" s="41">
        <f>Z465+AE465+AJ465</f>
        <v>781840350.89999998</v>
      </c>
      <c r="AN465" s="41">
        <f t="shared" si="86"/>
        <v>5635.333333333333</v>
      </c>
      <c r="AO465" s="41">
        <f t="shared" si="87"/>
        <v>5636</v>
      </c>
      <c r="AP465" s="40"/>
      <c r="AQ465" s="36">
        <v>45092</v>
      </c>
      <c r="AR465" s="36">
        <v>45200</v>
      </c>
      <c r="AS465" s="36"/>
      <c r="AT465" s="36">
        <v>45107</v>
      </c>
      <c r="AU465" s="36">
        <v>45214</v>
      </c>
      <c r="AV465" s="38"/>
      <c r="AW465" s="40" t="s">
        <v>75</v>
      </c>
    </row>
    <row r="466" spans="1:49" s="34" customFormat="1" ht="66" customHeight="1" x14ac:dyDescent="0.3">
      <c r="A466" s="35" t="s">
        <v>2812</v>
      </c>
      <c r="B466" s="38">
        <v>45028</v>
      </c>
      <c r="C466" s="40">
        <v>1416</v>
      </c>
      <c r="D466" s="39" t="s">
        <v>2813</v>
      </c>
      <c r="E466" s="1" t="s">
        <v>2814</v>
      </c>
      <c r="F466" s="36">
        <v>45049</v>
      </c>
      <c r="G466" s="37" t="s">
        <v>2815</v>
      </c>
      <c r="H466" s="40" t="s">
        <v>177</v>
      </c>
      <c r="I466" s="40" t="s">
        <v>2816</v>
      </c>
      <c r="J466" s="57">
        <v>331588</v>
      </c>
      <c r="K466" s="41">
        <v>331588</v>
      </c>
      <c r="L466" s="30">
        <f t="shared" si="89"/>
        <v>331588</v>
      </c>
      <c r="M466" s="30">
        <f t="shared" si="85"/>
        <v>331588</v>
      </c>
      <c r="N466" s="40" t="s">
        <v>528</v>
      </c>
      <c r="O466" s="40" t="s">
        <v>2817</v>
      </c>
      <c r="P466" s="40" t="s">
        <v>636</v>
      </c>
      <c r="Q466" s="44">
        <v>0</v>
      </c>
      <c r="R466" s="37">
        <v>100</v>
      </c>
      <c r="S466" s="37" t="s">
        <v>584</v>
      </c>
      <c r="T466" s="48">
        <v>40</v>
      </c>
      <c r="U466" s="30">
        <f>M466/W466</f>
        <v>218.15</v>
      </c>
      <c r="V466" s="41">
        <f t="shared" si="88"/>
        <v>8726</v>
      </c>
      <c r="W466" s="41">
        <f t="shared" si="80"/>
        <v>1520</v>
      </c>
      <c r="X466" s="41">
        <f t="shared" si="84"/>
        <v>1520</v>
      </c>
      <c r="Y466" s="41">
        <v>1520</v>
      </c>
      <c r="Z466" s="41">
        <f>Y466*U466</f>
        <v>331588</v>
      </c>
      <c r="AA466" s="41">
        <v>0</v>
      </c>
      <c r="AB466" s="41">
        <v>0</v>
      </c>
      <c r="AC466" s="41">
        <v>0</v>
      </c>
      <c r="AD466" s="41">
        <v>0</v>
      </c>
      <c r="AE466" s="41">
        <v>0</v>
      </c>
      <c r="AF466" s="41">
        <v>0</v>
      </c>
      <c r="AG466" s="41">
        <v>0</v>
      </c>
      <c r="AH466" s="41">
        <v>0</v>
      </c>
      <c r="AI466" s="41">
        <v>0</v>
      </c>
      <c r="AJ466" s="41">
        <v>0</v>
      </c>
      <c r="AK466" s="41">
        <v>0</v>
      </c>
      <c r="AL466" s="41">
        <v>0</v>
      </c>
      <c r="AM466" s="41">
        <f>Z466+AE466+AJ466</f>
        <v>331588</v>
      </c>
      <c r="AN466" s="41">
        <f t="shared" si="86"/>
        <v>38</v>
      </c>
      <c r="AO466" s="41">
        <f t="shared" si="87"/>
        <v>38</v>
      </c>
      <c r="AP466" s="40"/>
      <c r="AQ466" s="36">
        <v>45092</v>
      </c>
      <c r="AR466" s="36"/>
      <c r="AS466" s="36"/>
      <c r="AT466" s="36">
        <v>45107</v>
      </c>
      <c r="AU466" s="36"/>
      <c r="AV466" s="38"/>
      <c r="AW466" s="40" t="s">
        <v>87</v>
      </c>
    </row>
    <row r="467" spans="1:49" s="34" customFormat="1" ht="87" customHeight="1" x14ac:dyDescent="0.3">
      <c r="A467" s="35" t="s">
        <v>2818</v>
      </c>
      <c r="B467" s="38">
        <v>45028</v>
      </c>
      <c r="C467" s="40">
        <v>1416</v>
      </c>
      <c r="D467" s="39" t="s">
        <v>2819</v>
      </c>
      <c r="E467" s="1" t="s">
        <v>2820</v>
      </c>
      <c r="F467" s="36">
        <v>45049</v>
      </c>
      <c r="G467" s="37" t="s">
        <v>2821</v>
      </c>
      <c r="H467" s="40" t="s">
        <v>224</v>
      </c>
      <c r="I467" s="40" t="s">
        <v>2822</v>
      </c>
      <c r="J467" s="57">
        <v>227892192</v>
      </c>
      <c r="K467" s="41">
        <v>227892192</v>
      </c>
      <c r="L467" s="30">
        <f t="shared" si="89"/>
        <v>227892192</v>
      </c>
      <c r="M467" s="30">
        <f t="shared" si="85"/>
        <v>227892192</v>
      </c>
      <c r="N467" s="40" t="s">
        <v>831</v>
      </c>
      <c r="O467" s="40" t="s">
        <v>2823</v>
      </c>
      <c r="P467" s="40" t="s">
        <v>263</v>
      </c>
      <c r="Q467" s="44">
        <v>0</v>
      </c>
      <c r="R467" s="37">
        <v>100</v>
      </c>
      <c r="S467" s="37" t="s">
        <v>229</v>
      </c>
      <c r="T467" s="48">
        <v>400</v>
      </c>
      <c r="U467" s="30">
        <f>M467/W467</f>
        <v>29.48</v>
      </c>
      <c r="V467" s="41">
        <f t="shared" si="88"/>
        <v>11792</v>
      </c>
      <c r="W467" s="41">
        <f t="shared" si="80"/>
        <v>7730400</v>
      </c>
      <c r="X467" s="41">
        <f t="shared" si="84"/>
        <v>7730400</v>
      </c>
      <c r="Y467" s="41">
        <v>2996800</v>
      </c>
      <c r="Z467" s="41">
        <f>Y467*U467</f>
        <v>88345664</v>
      </c>
      <c r="AA467" s="41">
        <v>4733600</v>
      </c>
      <c r="AB467" s="41">
        <f>AA467*U467</f>
        <v>139546528</v>
      </c>
      <c r="AC467" s="41">
        <v>0</v>
      </c>
      <c r="AD467" s="41">
        <v>0</v>
      </c>
      <c r="AE467" s="41">
        <v>0</v>
      </c>
      <c r="AF467" s="41">
        <v>0</v>
      </c>
      <c r="AG467" s="41">
        <v>0</v>
      </c>
      <c r="AH467" s="41">
        <v>0</v>
      </c>
      <c r="AI467" s="41">
        <v>0</v>
      </c>
      <c r="AJ467" s="41">
        <v>0</v>
      </c>
      <c r="AK467" s="41">
        <v>0</v>
      </c>
      <c r="AL467" s="41">
        <v>0</v>
      </c>
      <c r="AM467" s="41">
        <f>Z467+AE467+AJ467</f>
        <v>88345664</v>
      </c>
      <c r="AN467" s="41">
        <f t="shared" si="86"/>
        <v>19326</v>
      </c>
      <c r="AO467" s="41">
        <f t="shared" si="87"/>
        <v>19326</v>
      </c>
      <c r="AP467" s="40"/>
      <c r="AQ467" s="36">
        <v>45092</v>
      </c>
      <c r="AR467" s="36"/>
      <c r="AS467" s="36"/>
      <c r="AT467" s="36">
        <v>45107</v>
      </c>
      <c r="AU467" s="36"/>
      <c r="AV467" s="38"/>
      <c r="AW467" s="40" t="s">
        <v>87</v>
      </c>
    </row>
    <row r="468" spans="1:49" s="34" customFormat="1" ht="87" customHeight="1" x14ac:dyDescent="0.3">
      <c r="A468" s="35" t="s">
        <v>2824</v>
      </c>
      <c r="B468" s="38">
        <v>45029</v>
      </c>
      <c r="C468" s="40">
        <v>1416</v>
      </c>
      <c r="D468" s="39" t="s">
        <v>2825</v>
      </c>
      <c r="E468" s="1" t="s">
        <v>2826</v>
      </c>
      <c r="F468" s="36">
        <v>45051</v>
      </c>
      <c r="G468" s="37" t="s">
        <v>2827</v>
      </c>
      <c r="H468" s="40" t="s">
        <v>571</v>
      </c>
      <c r="I468" s="40" t="s">
        <v>2828</v>
      </c>
      <c r="J468" s="57">
        <v>25266351.600000001</v>
      </c>
      <c r="K468" s="41">
        <v>25266351.600000001</v>
      </c>
      <c r="L468" s="30">
        <f t="shared" si="89"/>
        <v>25266351.600000001</v>
      </c>
      <c r="M468" s="30">
        <f t="shared" si="85"/>
        <v>25266351.600000001</v>
      </c>
      <c r="N468" s="40" t="s">
        <v>2829</v>
      </c>
      <c r="O468" s="40" t="s">
        <v>2830</v>
      </c>
      <c r="P468" s="40" t="s">
        <v>47</v>
      </c>
      <c r="Q468" s="44">
        <v>100</v>
      </c>
      <c r="R468" s="37">
        <v>0</v>
      </c>
      <c r="S468" s="37" t="s">
        <v>1964</v>
      </c>
      <c r="T468" s="48">
        <v>20</v>
      </c>
      <c r="U468" s="30">
        <f>M468/W468</f>
        <v>431.24</v>
      </c>
      <c r="V468" s="41">
        <f t="shared" si="88"/>
        <v>8624.7999999999993</v>
      </c>
      <c r="W468" s="41">
        <f t="shared" ref="W468:W531" si="90">X468+AC468+AH468</f>
        <v>58590</v>
      </c>
      <c r="X468" s="41">
        <f t="shared" si="84"/>
        <v>58590</v>
      </c>
      <c r="Y468" s="41">
        <v>0</v>
      </c>
      <c r="Z468" s="41">
        <v>0</v>
      </c>
      <c r="AA468" s="41">
        <v>58590</v>
      </c>
      <c r="AB468" s="41">
        <f>AA468*U468</f>
        <v>25266351.600000001</v>
      </c>
      <c r="AC468" s="41">
        <v>0</v>
      </c>
      <c r="AD468" s="41">
        <v>0</v>
      </c>
      <c r="AE468" s="41">
        <v>0</v>
      </c>
      <c r="AF468" s="41">
        <v>0</v>
      </c>
      <c r="AG468" s="41">
        <v>0</v>
      </c>
      <c r="AH468" s="41">
        <v>0</v>
      </c>
      <c r="AI468" s="41">
        <v>0</v>
      </c>
      <c r="AJ468" s="41">
        <v>0</v>
      </c>
      <c r="AK468" s="41">
        <v>0</v>
      </c>
      <c r="AL468" s="41">
        <v>0</v>
      </c>
      <c r="AM468" s="41">
        <v>0</v>
      </c>
      <c r="AN468" s="41">
        <f t="shared" si="86"/>
        <v>2929.5</v>
      </c>
      <c r="AO468" s="41">
        <f t="shared" si="87"/>
        <v>2930</v>
      </c>
      <c r="AP468" s="40"/>
      <c r="AQ468" s="36">
        <v>45107</v>
      </c>
      <c r="AR468" s="36"/>
      <c r="AS468" s="36"/>
      <c r="AT468" s="36">
        <v>45122</v>
      </c>
      <c r="AU468" s="36"/>
      <c r="AV468" s="38"/>
      <c r="AW468" s="40" t="s">
        <v>87</v>
      </c>
    </row>
    <row r="469" spans="1:49" s="34" customFormat="1" ht="87" customHeight="1" x14ac:dyDescent="0.3">
      <c r="A469" s="35" t="s">
        <v>2831</v>
      </c>
      <c r="B469" s="38">
        <v>45029</v>
      </c>
      <c r="C469" s="40">
        <v>1416</v>
      </c>
      <c r="D469" s="39" t="s">
        <v>2832</v>
      </c>
      <c r="E469" s="1" t="s">
        <v>2833</v>
      </c>
      <c r="F469" s="36">
        <v>45049</v>
      </c>
      <c r="G469" s="37" t="s">
        <v>2834</v>
      </c>
      <c r="H469" s="40" t="s">
        <v>685</v>
      </c>
      <c r="I469" s="40" t="s">
        <v>686</v>
      </c>
      <c r="J469" s="57">
        <v>21754308</v>
      </c>
      <c r="K469" s="41">
        <v>21644020</v>
      </c>
      <c r="L469" s="30">
        <v>23697580</v>
      </c>
      <c r="M469" s="30">
        <f t="shared" si="85"/>
        <v>23697580</v>
      </c>
      <c r="N469" s="40" t="s">
        <v>2835</v>
      </c>
      <c r="O469" s="40" t="s">
        <v>2836</v>
      </c>
      <c r="P469" s="40" t="s">
        <v>47</v>
      </c>
      <c r="Q469" s="44">
        <v>100</v>
      </c>
      <c r="R469" s="37">
        <v>0</v>
      </c>
      <c r="S469" s="37" t="s">
        <v>1964</v>
      </c>
      <c r="T469" s="54" t="s">
        <v>2837</v>
      </c>
      <c r="U469" s="30">
        <f>M469/W469</f>
        <v>15.7</v>
      </c>
      <c r="V469" s="41" t="e">
        <f t="shared" si="88"/>
        <v>#VALUE!</v>
      </c>
      <c r="W469" s="41">
        <f t="shared" si="90"/>
        <v>1509400</v>
      </c>
      <c r="X469" s="41">
        <f t="shared" si="84"/>
        <v>600050</v>
      </c>
      <c r="Y469" s="41">
        <v>128350</v>
      </c>
      <c r="Z469" s="41">
        <f>Y469*U469</f>
        <v>2015095</v>
      </c>
      <c r="AA469" s="41">
        <v>471700</v>
      </c>
      <c r="AB469" s="41">
        <f>AA469*U469</f>
        <v>7405690</v>
      </c>
      <c r="AC469" s="41">
        <f>AD469+AF469</f>
        <v>909350</v>
      </c>
      <c r="AD469" s="41">
        <f>167050+130800</f>
        <v>297850</v>
      </c>
      <c r="AE469" s="41">
        <f>AD469*U469</f>
        <v>4676245</v>
      </c>
      <c r="AF469" s="41">
        <v>611500</v>
      </c>
      <c r="AG469" s="41">
        <f>AF469*U469</f>
        <v>9600550</v>
      </c>
      <c r="AH469" s="41">
        <v>0</v>
      </c>
      <c r="AI469" s="41">
        <v>0</v>
      </c>
      <c r="AJ469" s="41">
        <v>0</v>
      </c>
      <c r="AK469" s="41">
        <v>0</v>
      </c>
      <c r="AL469" s="41">
        <v>0</v>
      </c>
      <c r="AM469" s="41">
        <f>Z469+AE469</f>
        <v>6691340</v>
      </c>
      <c r="AN469" s="41" t="e">
        <f t="shared" si="86"/>
        <v>#VALUE!</v>
      </c>
      <c r="AO469" s="41" t="e">
        <f t="shared" si="87"/>
        <v>#VALUE!</v>
      </c>
      <c r="AP469" s="40"/>
      <c r="AQ469" s="36">
        <v>45061</v>
      </c>
      <c r="AR469" s="36">
        <v>45200</v>
      </c>
      <c r="AS469" s="36"/>
      <c r="AT469" s="36">
        <v>45076</v>
      </c>
      <c r="AU469" s="36">
        <v>45214</v>
      </c>
      <c r="AV469" s="38"/>
      <c r="AW469" s="40" t="s">
        <v>75</v>
      </c>
    </row>
    <row r="470" spans="1:49" s="34" customFormat="1" ht="87" customHeight="1" x14ac:dyDescent="0.3">
      <c r="A470" s="35" t="s">
        <v>2838</v>
      </c>
      <c r="B470" s="38">
        <v>45029</v>
      </c>
      <c r="C470" s="40">
        <v>1416</v>
      </c>
      <c r="D470" s="39" t="s">
        <v>459</v>
      </c>
      <c r="E470" s="1" t="s">
        <v>2839</v>
      </c>
      <c r="F470" s="36" t="s">
        <v>459</v>
      </c>
      <c r="G470" s="37" t="s">
        <v>459</v>
      </c>
      <c r="H470" s="40" t="s">
        <v>459</v>
      </c>
      <c r="I470" s="40" t="s">
        <v>2840</v>
      </c>
      <c r="J470" s="57">
        <v>6360454.7999999998</v>
      </c>
      <c r="K470" s="41">
        <v>0</v>
      </c>
      <c r="L470" s="30">
        <f t="shared" si="89"/>
        <v>0</v>
      </c>
      <c r="M470" s="30">
        <f t="shared" si="85"/>
        <v>0</v>
      </c>
      <c r="N470" s="40"/>
      <c r="O470" s="40"/>
      <c r="P470" s="40"/>
      <c r="Q470" s="44"/>
      <c r="R470" s="37"/>
      <c r="S470" s="37"/>
      <c r="T470" s="48"/>
      <c r="U470" s="30" t="e">
        <f>M470/W470</f>
        <v>#DIV/0!</v>
      </c>
      <c r="V470" s="41" t="e">
        <f t="shared" si="88"/>
        <v>#DIV/0!</v>
      </c>
      <c r="W470" s="41">
        <f t="shared" si="90"/>
        <v>0</v>
      </c>
      <c r="X470" s="41">
        <f t="shared" si="84"/>
        <v>0</v>
      </c>
      <c r="Y470" s="41">
        <v>0</v>
      </c>
      <c r="Z470" s="41">
        <v>0</v>
      </c>
      <c r="AA470" s="41">
        <v>0</v>
      </c>
      <c r="AB470" s="41">
        <v>0</v>
      </c>
      <c r="AC470" s="41">
        <v>0</v>
      </c>
      <c r="AD470" s="41">
        <v>0</v>
      </c>
      <c r="AE470" s="41">
        <v>0</v>
      </c>
      <c r="AF470" s="41">
        <v>0</v>
      </c>
      <c r="AG470" s="41">
        <v>0</v>
      </c>
      <c r="AH470" s="41">
        <v>0</v>
      </c>
      <c r="AI470" s="41">
        <v>0</v>
      </c>
      <c r="AJ470" s="41">
        <v>0</v>
      </c>
      <c r="AK470" s="41">
        <v>0</v>
      </c>
      <c r="AL470" s="41">
        <v>0</v>
      </c>
      <c r="AM470" s="41">
        <f>Z470+AE470</f>
        <v>0</v>
      </c>
      <c r="AN470" s="41" t="e">
        <f t="shared" si="86"/>
        <v>#DIV/0!</v>
      </c>
      <c r="AO470" s="41" t="e">
        <f t="shared" si="87"/>
        <v>#DIV/0!</v>
      </c>
      <c r="AP470" s="40"/>
      <c r="AQ470" s="36">
        <v>45200</v>
      </c>
      <c r="AR470" s="36"/>
      <c r="AS470" s="36"/>
      <c r="AT470" s="36"/>
      <c r="AU470" s="36"/>
      <c r="AV470" s="38"/>
      <c r="AW470" s="40"/>
    </row>
    <row r="471" spans="1:49" s="34" customFormat="1" ht="87" customHeight="1" x14ac:dyDescent="0.3">
      <c r="A471" s="35" t="s">
        <v>2841</v>
      </c>
      <c r="B471" s="38">
        <v>45029</v>
      </c>
      <c r="C471" s="40">
        <v>1416</v>
      </c>
      <c r="D471" s="39" t="s">
        <v>2842</v>
      </c>
      <c r="E471" s="1" t="s">
        <v>2843</v>
      </c>
      <c r="F471" s="36">
        <v>45049</v>
      </c>
      <c r="G471" s="37" t="s">
        <v>2844</v>
      </c>
      <c r="H471" s="40" t="s">
        <v>186</v>
      </c>
      <c r="I471" s="40" t="s">
        <v>2845</v>
      </c>
      <c r="J471" s="57">
        <v>6717529.5</v>
      </c>
      <c r="K471" s="41">
        <v>6717529.5</v>
      </c>
      <c r="L471" s="30">
        <f t="shared" si="89"/>
        <v>6717529.5</v>
      </c>
      <c r="M471" s="30">
        <f t="shared" si="85"/>
        <v>6717529.5</v>
      </c>
      <c r="N471" s="40" t="s">
        <v>2846</v>
      </c>
      <c r="O471" s="40" t="s">
        <v>2847</v>
      </c>
      <c r="P471" s="40" t="s">
        <v>218</v>
      </c>
      <c r="Q471" s="44">
        <v>0</v>
      </c>
      <c r="R471" s="37">
        <v>100</v>
      </c>
      <c r="S471" s="37" t="s">
        <v>1964</v>
      </c>
      <c r="T471" s="48">
        <v>1</v>
      </c>
      <c r="U471" s="30">
        <f>M471/W471</f>
        <v>14446.3</v>
      </c>
      <c r="V471" s="41">
        <f t="shared" si="88"/>
        <v>14446.3</v>
      </c>
      <c r="W471" s="41">
        <f t="shared" si="90"/>
        <v>465</v>
      </c>
      <c r="X471" s="41">
        <f t="shared" si="84"/>
        <v>465</v>
      </c>
      <c r="Y471" s="41">
        <v>0</v>
      </c>
      <c r="Z471" s="41">
        <v>0</v>
      </c>
      <c r="AA471" s="41">
        <v>465</v>
      </c>
      <c r="AB471" s="41">
        <f>U471*AA471</f>
        <v>6717529.5</v>
      </c>
      <c r="AC471" s="41">
        <v>0</v>
      </c>
      <c r="AD471" s="41">
        <v>0</v>
      </c>
      <c r="AE471" s="41">
        <v>0</v>
      </c>
      <c r="AF471" s="41">
        <v>0</v>
      </c>
      <c r="AG471" s="41">
        <v>0</v>
      </c>
      <c r="AH471" s="41">
        <v>0</v>
      </c>
      <c r="AI471" s="41">
        <v>0</v>
      </c>
      <c r="AJ471" s="41">
        <v>0</v>
      </c>
      <c r="AK471" s="41">
        <v>0</v>
      </c>
      <c r="AL471" s="41">
        <v>0</v>
      </c>
      <c r="AM471" s="41">
        <f>Z471+AE471</f>
        <v>0</v>
      </c>
      <c r="AN471" s="41">
        <f t="shared" si="86"/>
        <v>465</v>
      </c>
      <c r="AO471" s="41">
        <f t="shared" si="87"/>
        <v>465</v>
      </c>
      <c r="AP471" s="40"/>
      <c r="AQ471" s="36">
        <v>45092</v>
      </c>
      <c r="AR471" s="36"/>
      <c r="AS471" s="36"/>
      <c r="AT471" s="36">
        <v>45107</v>
      </c>
      <c r="AU471" s="36"/>
      <c r="AV471" s="38"/>
      <c r="AW471" s="40" t="s">
        <v>87</v>
      </c>
    </row>
    <row r="472" spans="1:49" s="34" customFormat="1" ht="87" customHeight="1" x14ac:dyDescent="0.3">
      <c r="A472" s="35" t="s">
        <v>2848</v>
      </c>
      <c r="B472" s="38">
        <v>45029</v>
      </c>
      <c r="C472" s="40">
        <v>1416</v>
      </c>
      <c r="D472" s="39" t="s">
        <v>2849</v>
      </c>
      <c r="E472" s="1" t="s">
        <v>2850</v>
      </c>
      <c r="F472" s="36">
        <v>45049</v>
      </c>
      <c r="G472" s="37" t="s">
        <v>2851</v>
      </c>
      <c r="H472" s="40" t="s">
        <v>887</v>
      </c>
      <c r="I472" s="40" t="s">
        <v>1041</v>
      </c>
      <c r="J472" s="57">
        <v>72656760.780000001</v>
      </c>
      <c r="K472" s="41">
        <v>71929152.900000006</v>
      </c>
      <c r="L472" s="30">
        <f t="shared" si="89"/>
        <v>71929152.900000006</v>
      </c>
      <c r="M472" s="30">
        <f t="shared" si="85"/>
        <v>71929152.900000006</v>
      </c>
      <c r="N472" s="40" t="s">
        <v>865</v>
      </c>
      <c r="O472" s="40" t="s">
        <v>2852</v>
      </c>
      <c r="P472" s="40" t="s">
        <v>218</v>
      </c>
      <c r="Q472" s="44">
        <v>0</v>
      </c>
      <c r="R472" s="37">
        <v>100</v>
      </c>
      <c r="S472" s="37" t="s">
        <v>219</v>
      </c>
      <c r="T472" s="41">
        <v>3.6</v>
      </c>
      <c r="U472" s="30">
        <f>M472/W472</f>
        <v>16048.45</v>
      </c>
      <c r="V472" s="41">
        <f t="shared" si="88"/>
        <v>57774.420000000006</v>
      </c>
      <c r="W472" s="41">
        <f t="shared" si="90"/>
        <v>4482</v>
      </c>
      <c r="X472" s="41">
        <f t="shared" si="84"/>
        <v>4482</v>
      </c>
      <c r="Y472" s="41">
        <v>2394</v>
      </c>
      <c r="Z472" s="41">
        <f>Y472*U472</f>
        <v>38419989.300000004</v>
      </c>
      <c r="AA472" s="41">
        <v>2088</v>
      </c>
      <c r="AB472" s="41">
        <f>AA472*U472</f>
        <v>33509163.600000001</v>
      </c>
      <c r="AC472" s="41">
        <v>0</v>
      </c>
      <c r="AD472" s="41">
        <v>0</v>
      </c>
      <c r="AE472" s="41">
        <v>0</v>
      </c>
      <c r="AF472" s="41">
        <v>0</v>
      </c>
      <c r="AG472" s="41">
        <v>0</v>
      </c>
      <c r="AH472" s="41">
        <v>0</v>
      </c>
      <c r="AI472" s="41">
        <v>0</v>
      </c>
      <c r="AJ472" s="41">
        <v>0</v>
      </c>
      <c r="AK472" s="41">
        <v>0</v>
      </c>
      <c r="AL472" s="41">
        <v>0</v>
      </c>
      <c r="AM472" s="41">
        <f>Z472+AE472+AJ472</f>
        <v>38419989.300000004</v>
      </c>
      <c r="AN472" s="41">
        <f t="shared" si="86"/>
        <v>1245</v>
      </c>
      <c r="AO472" s="41">
        <f t="shared" si="87"/>
        <v>1245</v>
      </c>
      <c r="AP472" s="40"/>
      <c r="AQ472" s="36">
        <v>45061</v>
      </c>
      <c r="AR472" s="36"/>
      <c r="AS472" s="36"/>
      <c r="AT472" s="36">
        <v>45076</v>
      </c>
      <c r="AU472" s="36"/>
      <c r="AV472" s="38"/>
      <c r="AW472" s="40" t="s">
        <v>87</v>
      </c>
    </row>
    <row r="473" spans="1:49" s="34" customFormat="1" ht="87" customHeight="1" x14ac:dyDescent="0.3">
      <c r="A473" s="35" t="s">
        <v>2853</v>
      </c>
      <c r="B473" s="38">
        <v>45029</v>
      </c>
      <c r="C473" s="40">
        <v>1416</v>
      </c>
      <c r="D473" s="39" t="s">
        <v>2854</v>
      </c>
      <c r="E473" s="1" t="s">
        <v>2855</v>
      </c>
      <c r="F473" s="36">
        <v>45068</v>
      </c>
      <c r="G473" s="37" t="s">
        <v>2856</v>
      </c>
      <c r="H473" s="40" t="s">
        <v>186</v>
      </c>
      <c r="I473" s="40" t="s">
        <v>2857</v>
      </c>
      <c r="J473" s="57">
        <v>1415167696.25</v>
      </c>
      <c r="K473" s="41">
        <v>1415167696.25</v>
      </c>
      <c r="L473" s="30">
        <f t="shared" si="89"/>
        <v>1415167696.25</v>
      </c>
      <c r="M473" s="30">
        <f t="shared" si="85"/>
        <v>1415167696.25</v>
      </c>
      <c r="N473" s="40" t="s">
        <v>2846</v>
      </c>
      <c r="O473" s="40" t="s">
        <v>2858</v>
      </c>
      <c r="P473" s="40" t="s">
        <v>218</v>
      </c>
      <c r="Q473" s="44">
        <v>0</v>
      </c>
      <c r="R473" s="37">
        <v>100</v>
      </c>
      <c r="S473" s="37" t="s">
        <v>219</v>
      </c>
      <c r="T473" s="48">
        <v>1</v>
      </c>
      <c r="U473" s="30">
        <f>M473/W473</f>
        <v>23003.75</v>
      </c>
      <c r="V473" s="41">
        <f t="shared" si="88"/>
        <v>23003.75</v>
      </c>
      <c r="W473" s="41">
        <f t="shared" si="90"/>
        <v>61519</v>
      </c>
      <c r="X473" s="41">
        <f t="shared" si="84"/>
        <v>61519</v>
      </c>
      <c r="Y473" s="41">
        <v>0</v>
      </c>
      <c r="Z473" s="41">
        <v>0</v>
      </c>
      <c r="AA473" s="41">
        <v>61519</v>
      </c>
      <c r="AB473" s="41">
        <f>AA473*U473</f>
        <v>1415167696.25</v>
      </c>
      <c r="AC473" s="41">
        <v>0</v>
      </c>
      <c r="AD473" s="41">
        <v>0</v>
      </c>
      <c r="AE473" s="41">
        <v>0</v>
      </c>
      <c r="AF473" s="41">
        <v>0</v>
      </c>
      <c r="AG473" s="41">
        <v>0</v>
      </c>
      <c r="AH473" s="41">
        <v>0</v>
      </c>
      <c r="AI473" s="41">
        <v>0</v>
      </c>
      <c r="AJ473" s="41">
        <v>0</v>
      </c>
      <c r="AK473" s="41">
        <v>0</v>
      </c>
      <c r="AL473" s="41">
        <v>0</v>
      </c>
      <c r="AM473" s="41"/>
      <c r="AN473" s="41">
        <f t="shared" si="86"/>
        <v>61519</v>
      </c>
      <c r="AO473" s="41">
        <f t="shared" si="87"/>
        <v>61519</v>
      </c>
      <c r="AP473" s="40"/>
      <c r="AQ473" s="36">
        <v>45122</v>
      </c>
      <c r="AR473" s="36"/>
      <c r="AS473" s="36"/>
      <c r="AT473" s="36">
        <v>45137</v>
      </c>
      <c r="AU473" s="36"/>
      <c r="AV473" s="38"/>
      <c r="AW473" s="40" t="s">
        <v>49</v>
      </c>
    </row>
    <row r="474" spans="1:49" s="34" customFormat="1" ht="30" customHeight="1" x14ac:dyDescent="0.3">
      <c r="A474" s="35" t="s">
        <v>2859</v>
      </c>
      <c r="B474" s="36">
        <v>45034</v>
      </c>
      <c r="C474" s="37">
        <v>1416</v>
      </c>
      <c r="D474" s="39" t="s">
        <v>459</v>
      </c>
      <c r="E474" s="1" t="s">
        <v>2860</v>
      </c>
      <c r="F474" s="36" t="s">
        <v>459</v>
      </c>
      <c r="G474" s="37" t="s">
        <v>459</v>
      </c>
      <c r="H474" s="40" t="s">
        <v>459</v>
      </c>
      <c r="I474" s="40" t="s">
        <v>2861</v>
      </c>
      <c r="J474" s="41">
        <v>114663333</v>
      </c>
      <c r="K474" s="41">
        <v>0</v>
      </c>
      <c r="L474" s="30">
        <f t="shared" si="89"/>
        <v>0</v>
      </c>
      <c r="M474" s="30">
        <f t="shared" si="85"/>
        <v>0</v>
      </c>
      <c r="N474" s="40"/>
      <c r="O474" s="40"/>
      <c r="P474" s="40"/>
      <c r="Q474" s="44"/>
      <c r="R474" s="37"/>
      <c r="S474" s="37"/>
      <c r="T474" s="48"/>
      <c r="U474" s="30" t="e">
        <f>M474/W474</f>
        <v>#DIV/0!</v>
      </c>
      <c r="V474" s="41" t="e">
        <f t="shared" si="88"/>
        <v>#DIV/0!</v>
      </c>
      <c r="W474" s="41">
        <f t="shared" si="90"/>
        <v>0</v>
      </c>
      <c r="X474" s="41">
        <f t="shared" si="84"/>
        <v>0</v>
      </c>
      <c r="Y474" s="41">
        <v>0</v>
      </c>
      <c r="Z474" s="41">
        <v>0</v>
      </c>
      <c r="AA474" s="41">
        <v>0</v>
      </c>
      <c r="AB474" s="41">
        <v>0</v>
      </c>
      <c r="AC474" s="41">
        <v>0</v>
      </c>
      <c r="AD474" s="41">
        <v>0</v>
      </c>
      <c r="AE474" s="41">
        <v>0</v>
      </c>
      <c r="AF474" s="41">
        <v>0</v>
      </c>
      <c r="AG474" s="41">
        <v>0</v>
      </c>
      <c r="AH474" s="41">
        <v>0</v>
      </c>
      <c r="AI474" s="41">
        <v>0</v>
      </c>
      <c r="AJ474" s="41">
        <v>0</v>
      </c>
      <c r="AK474" s="41">
        <v>0</v>
      </c>
      <c r="AL474" s="41">
        <v>0</v>
      </c>
      <c r="AM474" s="41"/>
      <c r="AN474" s="41" t="e">
        <f t="shared" si="86"/>
        <v>#DIV/0!</v>
      </c>
      <c r="AO474" s="41" t="e">
        <f t="shared" si="87"/>
        <v>#DIV/0!</v>
      </c>
      <c r="AP474" s="40"/>
      <c r="AQ474" s="36">
        <v>45170</v>
      </c>
      <c r="AR474" s="36">
        <v>45260</v>
      </c>
      <c r="AS474" s="36"/>
      <c r="AT474" s="36"/>
      <c r="AU474" s="36"/>
      <c r="AV474" s="38"/>
      <c r="AW474" s="40"/>
    </row>
    <row r="475" spans="1:49" s="34" customFormat="1" ht="78" x14ac:dyDescent="0.3">
      <c r="A475" s="35" t="s">
        <v>2862</v>
      </c>
      <c r="B475" s="36">
        <v>45034</v>
      </c>
      <c r="C475" s="37">
        <v>545</v>
      </c>
      <c r="D475" s="39" t="s">
        <v>2863</v>
      </c>
      <c r="E475" s="1" t="s">
        <v>2864</v>
      </c>
      <c r="F475" s="36">
        <v>45056</v>
      </c>
      <c r="G475" s="37" t="s">
        <v>2865</v>
      </c>
      <c r="H475" s="40" t="s">
        <v>802</v>
      </c>
      <c r="I475" s="40" t="s">
        <v>1520</v>
      </c>
      <c r="J475" s="41">
        <v>46016582.979999997</v>
      </c>
      <c r="K475" s="41">
        <v>46016582.979999997</v>
      </c>
      <c r="L475" s="30">
        <f t="shared" si="89"/>
        <v>46016582.979999997</v>
      </c>
      <c r="M475" s="30">
        <f t="shared" si="85"/>
        <v>46016582.979999997</v>
      </c>
      <c r="N475" s="40" t="s">
        <v>1434</v>
      </c>
      <c r="O475" s="40" t="s">
        <v>1522</v>
      </c>
      <c r="P475" s="40" t="s">
        <v>1436</v>
      </c>
      <c r="Q475" s="44">
        <v>0</v>
      </c>
      <c r="R475" s="37">
        <v>100</v>
      </c>
      <c r="S475" s="37" t="s">
        <v>584</v>
      </c>
      <c r="T475" s="67">
        <v>27854.400000000001</v>
      </c>
      <c r="U475" s="30">
        <f>M475/W475</f>
        <v>31.770000002761609</v>
      </c>
      <c r="V475" s="41">
        <f t="shared" si="88"/>
        <v>884934.288076923</v>
      </c>
      <c r="W475" s="41">
        <f t="shared" si="90"/>
        <v>1448428.8</v>
      </c>
      <c r="X475" s="41">
        <v>1448428.8</v>
      </c>
      <c r="Y475" s="41">
        <v>0</v>
      </c>
      <c r="Z475" s="41">
        <v>0</v>
      </c>
      <c r="AA475" s="41">
        <v>0</v>
      </c>
      <c r="AB475" s="41">
        <v>0</v>
      </c>
      <c r="AC475" s="41">
        <v>0</v>
      </c>
      <c r="AD475" s="41">
        <v>0</v>
      </c>
      <c r="AE475" s="41">
        <v>0</v>
      </c>
      <c r="AF475" s="41">
        <v>0</v>
      </c>
      <c r="AG475" s="41">
        <v>0</v>
      </c>
      <c r="AH475" s="41">
        <v>0</v>
      </c>
      <c r="AI475" s="41">
        <v>0</v>
      </c>
      <c r="AJ475" s="41">
        <v>0</v>
      </c>
      <c r="AK475" s="41">
        <v>0</v>
      </c>
      <c r="AL475" s="41">
        <v>0</v>
      </c>
      <c r="AM475" s="41"/>
      <c r="AN475" s="41">
        <f t="shared" si="86"/>
        <v>52</v>
      </c>
      <c r="AO475" s="41">
        <f t="shared" si="87"/>
        <v>52</v>
      </c>
      <c r="AP475" s="40" t="s">
        <v>2866</v>
      </c>
      <c r="AQ475" s="36">
        <v>45138</v>
      </c>
      <c r="AR475" s="36"/>
      <c r="AS475" s="36"/>
      <c r="AT475" s="36">
        <v>45122</v>
      </c>
      <c r="AU475" s="36"/>
      <c r="AV475" s="38"/>
      <c r="AW475" s="40" t="s">
        <v>87</v>
      </c>
    </row>
    <row r="476" spans="1:49" s="34" customFormat="1" ht="71.400000000000006" customHeight="1" x14ac:dyDescent="0.3">
      <c r="A476" s="35" t="s">
        <v>2867</v>
      </c>
      <c r="B476" s="36">
        <v>45034</v>
      </c>
      <c r="C476" s="37">
        <v>1416</v>
      </c>
      <c r="D476" s="39" t="s">
        <v>2868</v>
      </c>
      <c r="E476" s="1" t="s">
        <v>2869</v>
      </c>
      <c r="F476" s="36">
        <v>45056</v>
      </c>
      <c r="G476" s="37" t="s">
        <v>2870</v>
      </c>
      <c r="H476" s="40" t="s">
        <v>224</v>
      </c>
      <c r="I476" s="40" t="s">
        <v>779</v>
      </c>
      <c r="J476" s="41">
        <v>80429166</v>
      </c>
      <c r="K476" s="41">
        <v>80429166</v>
      </c>
      <c r="L476" s="30">
        <v>90421110</v>
      </c>
      <c r="M476" s="30">
        <f t="shared" si="85"/>
        <v>90421110</v>
      </c>
      <c r="N476" s="40" t="s">
        <v>780</v>
      </c>
      <c r="O476" s="40" t="s">
        <v>781</v>
      </c>
      <c r="P476" s="40" t="s">
        <v>218</v>
      </c>
      <c r="Q476" s="44">
        <v>0</v>
      </c>
      <c r="R476" s="37">
        <v>100</v>
      </c>
      <c r="S476" s="37" t="s">
        <v>229</v>
      </c>
      <c r="T476" s="48">
        <v>600</v>
      </c>
      <c r="U476" s="30">
        <f>M476/W476</f>
        <v>24.93</v>
      </c>
      <c r="V476" s="41">
        <f t="shared" si="88"/>
        <v>14958</v>
      </c>
      <c r="W476" s="41">
        <f t="shared" si="90"/>
        <v>3627000</v>
      </c>
      <c r="X476" s="41">
        <f t="shared" si="84"/>
        <v>1506600</v>
      </c>
      <c r="Y476" s="41">
        <v>126000</v>
      </c>
      <c r="Z476" s="41">
        <f>Y476*U476</f>
        <v>3141180</v>
      </c>
      <c r="AA476" s="41">
        <v>1380600</v>
      </c>
      <c r="AB476" s="41">
        <f>AA476*U476</f>
        <v>34418358</v>
      </c>
      <c r="AC476" s="41">
        <f>AD476+AF476</f>
        <v>2120400</v>
      </c>
      <c r="AD476" s="41">
        <f>144000+400800</f>
        <v>544800</v>
      </c>
      <c r="AE476" s="41">
        <f>AD476*U476</f>
        <v>13581864</v>
      </c>
      <c r="AF476" s="41">
        <v>1575600</v>
      </c>
      <c r="AG476" s="41">
        <f>AF476*U476</f>
        <v>39279708</v>
      </c>
      <c r="AH476" s="41">
        <f>AI476+AK476</f>
        <v>0</v>
      </c>
      <c r="AI476" s="41">
        <v>0</v>
      </c>
      <c r="AJ476" s="41">
        <v>0</v>
      </c>
      <c r="AK476" s="41">
        <v>0</v>
      </c>
      <c r="AL476" s="41">
        <v>0</v>
      </c>
      <c r="AM476" s="41">
        <f>Z476+AE476+AJ476</f>
        <v>16723044</v>
      </c>
      <c r="AN476" s="41">
        <f t="shared" si="86"/>
        <v>6045</v>
      </c>
      <c r="AO476" s="41">
        <f t="shared" si="87"/>
        <v>6045</v>
      </c>
      <c r="AP476" s="40"/>
      <c r="AQ476" s="36">
        <v>45078</v>
      </c>
      <c r="AR476" s="36">
        <v>45122</v>
      </c>
      <c r="AS476" s="36"/>
      <c r="AT476" s="36">
        <v>45137</v>
      </c>
      <c r="AU476" s="36"/>
      <c r="AV476" s="38"/>
      <c r="AW476" s="40" t="s">
        <v>87</v>
      </c>
    </row>
    <row r="477" spans="1:49" s="34" customFormat="1" ht="160.94999999999999" customHeight="1" x14ac:dyDescent="0.3">
      <c r="A477" s="35" t="s">
        <v>2871</v>
      </c>
      <c r="B477" s="36">
        <v>45034</v>
      </c>
      <c r="C477" s="37">
        <v>1416</v>
      </c>
      <c r="D477" s="39" t="s">
        <v>2872</v>
      </c>
      <c r="E477" s="1" t="s">
        <v>2873</v>
      </c>
      <c r="F477" s="36">
        <v>45057</v>
      </c>
      <c r="G477" s="37" t="s">
        <v>2874</v>
      </c>
      <c r="H477" s="40" t="s">
        <v>571</v>
      </c>
      <c r="I477" s="40" t="s">
        <v>2875</v>
      </c>
      <c r="J477" s="41">
        <v>30779998.800000001</v>
      </c>
      <c r="K477" s="41">
        <v>30779998.800000001</v>
      </c>
      <c r="L477" s="30">
        <f t="shared" si="89"/>
        <v>30779998.800000001</v>
      </c>
      <c r="M477" s="30">
        <f t="shared" si="85"/>
        <v>30779998.800000001</v>
      </c>
      <c r="N477" s="40" t="s">
        <v>2876</v>
      </c>
      <c r="O477" s="40" t="s">
        <v>2877</v>
      </c>
      <c r="P477" s="40" t="s">
        <v>47</v>
      </c>
      <c r="Q477" s="44">
        <v>100</v>
      </c>
      <c r="R477" s="37">
        <v>0</v>
      </c>
      <c r="S477" s="37" t="s">
        <v>1964</v>
      </c>
      <c r="T477" s="54" t="s">
        <v>2878</v>
      </c>
      <c r="U477" s="30">
        <f>M477/W477</f>
        <v>24.28</v>
      </c>
      <c r="V477" s="41" t="e">
        <f t="shared" si="88"/>
        <v>#VALUE!</v>
      </c>
      <c r="W477" s="41">
        <f t="shared" si="90"/>
        <v>1267710</v>
      </c>
      <c r="X477" s="41">
        <f>Y477+AA477</f>
        <v>1267710</v>
      </c>
      <c r="Y477" s="41">
        <v>141780</v>
      </c>
      <c r="Z477" s="41">
        <f>Y477*U477</f>
        <v>3442418.4000000004</v>
      </c>
      <c r="AA477" s="41">
        <v>1125930</v>
      </c>
      <c r="AB477" s="41">
        <f>AA477*U477</f>
        <v>27337580.400000002</v>
      </c>
      <c r="AC477" s="41">
        <f>AD477+AF477</f>
        <v>0</v>
      </c>
      <c r="AD477" s="41">
        <v>0</v>
      </c>
      <c r="AE477" s="41">
        <f>AD477*U477</f>
        <v>0</v>
      </c>
      <c r="AF477" s="41">
        <v>0</v>
      </c>
      <c r="AG477" s="41">
        <f>AF477*U477</f>
        <v>0</v>
      </c>
      <c r="AH477" s="41">
        <f>AI477+AK477</f>
        <v>0</v>
      </c>
      <c r="AI477" s="41">
        <v>0</v>
      </c>
      <c r="AJ477" s="41">
        <v>0</v>
      </c>
      <c r="AK477" s="41">
        <v>0</v>
      </c>
      <c r="AL477" s="41">
        <v>0</v>
      </c>
      <c r="AM477" s="41">
        <f>Z477+AE477+AJ477</f>
        <v>3442418.4000000004</v>
      </c>
      <c r="AN477" s="41" t="e">
        <f t="shared" si="86"/>
        <v>#VALUE!</v>
      </c>
      <c r="AO477" s="41" t="e">
        <f t="shared" si="87"/>
        <v>#VALUE!</v>
      </c>
      <c r="AP477" s="40"/>
      <c r="AQ477" s="36">
        <v>45078</v>
      </c>
      <c r="AR477" s="36"/>
      <c r="AS477" s="36"/>
      <c r="AT477" s="36">
        <v>45092</v>
      </c>
      <c r="AU477" s="36"/>
      <c r="AV477" s="38"/>
      <c r="AW477" s="40" t="s">
        <v>87</v>
      </c>
    </row>
    <row r="478" spans="1:49" s="34" customFormat="1" ht="52.95" customHeight="1" x14ac:dyDescent="0.3">
      <c r="A478" s="35" t="s">
        <v>2879</v>
      </c>
      <c r="B478" s="36">
        <v>45034</v>
      </c>
      <c r="C478" s="37">
        <v>1416</v>
      </c>
      <c r="D478" s="39" t="s">
        <v>459</v>
      </c>
      <c r="E478" s="1" t="s">
        <v>2880</v>
      </c>
      <c r="F478" s="36" t="s">
        <v>459</v>
      </c>
      <c r="G478" s="37" t="s">
        <v>459</v>
      </c>
      <c r="H478" s="40" t="s">
        <v>459</v>
      </c>
      <c r="I478" s="40" t="s">
        <v>641</v>
      </c>
      <c r="J478" s="41">
        <v>373350116</v>
      </c>
      <c r="K478" s="41"/>
      <c r="L478" s="30">
        <f t="shared" si="89"/>
        <v>0</v>
      </c>
      <c r="M478" s="30">
        <f t="shared" si="85"/>
        <v>0</v>
      </c>
      <c r="N478" s="40"/>
      <c r="O478" s="40"/>
      <c r="P478" s="40"/>
      <c r="Q478" s="44"/>
      <c r="R478" s="37"/>
      <c r="S478" s="37"/>
      <c r="T478" s="48"/>
      <c r="U478" s="30">
        <f>M478/W478</f>
        <v>0</v>
      </c>
      <c r="V478" s="41">
        <f t="shared" si="88"/>
        <v>0</v>
      </c>
      <c r="W478" s="41">
        <f t="shared" si="90"/>
        <v>2123600</v>
      </c>
      <c r="X478" s="41">
        <f t="shared" ref="X478:X540" si="91">Y478+AA478</f>
        <v>2123600</v>
      </c>
      <c r="Y478" s="41">
        <v>1142400</v>
      </c>
      <c r="Z478" s="41">
        <f t="shared" ref="Z478:Z542" si="92">Y478*U478</f>
        <v>0</v>
      </c>
      <c r="AA478" s="41">
        <v>981200</v>
      </c>
      <c r="AB478" s="41">
        <f t="shared" ref="AB478:AB542" si="93">AA478*U478</f>
        <v>0</v>
      </c>
      <c r="AC478" s="41">
        <f t="shared" ref="AC478:AC542" si="94">AD478+AF478</f>
        <v>0</v>
      </c>
      <c r="AD478" s="41">
        <v>0</v>
      </c>
      <c r="AE478" s="41">
        <f t="shared" ref="AE478:AE542" si="95">AD478*U478</f>
        <v>0</v>
      </c>
      <c r="AF478" s="41">
        <v>0</v>
      </c>
      <c r="AG478" s="41">
        <f t="shared" ref="AG478:AG542" si="96">AF478*U478</f>
        <v>0</v>
      </c>
      <c r="AH478" s="41">
        <f t="shared" ref="AH478:AH542" si="97">AI478+AK478</f>
        <v>0</v>
      </c>
      <c r="AI478" s="41">
        <v>0</v>
      </c>
      <c r="AJ478" s="41">
        <v>0</v>
      </c>
      <c r="AK478" s="41">
        <v>0</v>
      </c>
      <c r="AL478" s="41">
        <v>0</v>
      </c>
      <c r="AM478" s="41">
        <f t="shared" ref="AM478:AM542" si="98">Z478+AE478+AJ478</f>
        <v>0</v>
      </c>
      <c r="AN478" s="41" t="e">
        <f t="shared" si="86"/>
        <v>#DIV/0!</v>
      </c>
      <c r="AO478" s="41" t="e">
        <f t="shared" si="87"/>
        <v>#DIV/0!</v>
      </c>
      <c r="AP478" s="40"/>
      <c r="AQ478" s="36">
        <v>45092</v>
      </c>
      <c r="AR478" s="36"/>
      <c r="AS478" s="36"/>
      <c r="AT478" s="36">
        <v>45107</v>
      </c>
      <c r="AU478" s="36"/>
      <c r="AV478" s="38"/>
      <c r="AW478" s="40"/>
    </row>
    <row r="479" spans="1:49" s="34" customFormat="1" ht="52.95" customHeight="1" x14ac:dyDescent="0.3">
      <c r="A479" s="35"/>
      <c r="B479" s="36" t="s">
        <v>39</v>
      </c>
      <c r="C479" s="37">
        <v>1416</v>
      </c>
      <c r="D479" s="39"/>
      <c r="E479" s="1" t="s">
        <v>2880</v>
      </c>
      <c r="F479" s="36">
        <v>45064</v>
      </c>
      <c r="G479" s="37" t="s">
        <v>2881</v>
      </c>
      <c r="H479" s="40" t="s">
        <v>2882</v>
      </c>
      <c r="I479" s="40" t="s">
        <v>641</v>
      </c>
      <c r="J479" s="41">
        <v>373350116</v>
      </c>
      <c r="K479" s="41">
        <v>373350116</v>
      </c>
      <c r="L479" s="30">
        <f t="shared" si="89"/>
        <v>373350116</v>
      </c>
      <c r="M479" s="30">
        <f t="shared" si="85"/>
        <v>373350116</v>
      </c>
      <c r="N479" s="40" t="s">
        <v>2883</v>
      </c>
      <c r="O479" s="40" t="s">
        <v>2884</v>
      </c>
      <c r="P479" s="40" t="s">
        <v>733</v>
      </c>
      <c r="Q479" s="44">
        <v>0</v>
      </c>
      <c r="R479" s="37">
        <v>100</v>
      </c>
      <c r="S479" s="37" t="s">
        <v>457</v>
      </c>
      <c r="T479" s="48">
        <v>400</v>
      </c>
      <c r="U479" s="30">
        <f>M479/W479</f>
        <v>175.81</v>
      </c>
      <c r="V479" s="41">
        <f t="shared" si="88"/>
        <v>70324</v>
      </c>
      <c r="W479" s="41">
        <f t="shared" si="90"/>
        <v>2123600</v>
      </c>
      <c r="X479" s="41">
        <f t="shared" si="91"/>
        <v>2123600</v>
      </c>
      <c r="Y479" s="41">
        <v>1142400</v>
      </c>
      <c r="Z479" s="41">
        <f t="shared" si="92"/>
        <v>200845344</v>
      </c>
      <c r="AA479" s="41">
        <v>981200</v>
      </c>
      <c r="AB479" s="41">
        <f t="shared" si="93"/>
        <v>172504772</v>
      </c>
      <c r="AC479" s="41">
        <f t="shared" si="94"/>
        <v>0</v>
      </c>
      <c r="AD479" s="41">
        <v>0</v>
      </c>
      <c r="AE479" s="41">
        <f t="shared" si="95"/>
        <v>0</v>
      </c>
      <c r="AF479" s="41">
        <v>0</v>
      </c>
      <c r="AG479" s="41">
        <f t="shared" si="96"/>
        <v>0</v>
      </c>
      <c r="AH479" s="41">
        <f t="shared" si="97"/>
        <v>0</v>
      </c>
      <c r="AI479" s="41">
        <v>0</v>
      </c>
      <c r="AJ479" s="41">
        <v>0</v>
      </c>
      <c r="AK479" s="41">
        <v>0</v>
      </c>
      <c r="AL479" s="41">
        <v>0</v>
      </c>
      <c r="AM479" s="41">
        <f t="shared" si="98"/>
        <v>200845344</v>
      </c>
      <c r="AN479" s="41">
        <f t="shared" si="86"/>
        <v>5309</v>
      </c>
      <c r="AO479" s="41">
        <f t="shared" si="87"/>
        <v>5309</v>
      </c>
      <c r="AP479" s="40"/>
      <c r="AQ479" s="36">
        <v>45092</v>
      </c>
      <c r="AR479" s="36"/>
      <c r="AS479" s="36"/>
      <c r="AT479" s="36">
        <v>45107</v>
      </c>
      <c r="AU479" s="36"/>
      <c r="AV479" s="38"/>
      <c r="AW479" s="40" t="s">
        <v>87</v>
      </c>
    </row>
    <row r="480" spans="1:49" s="34" customFormat="1" ht="164.4" customHeight="1" x14ac:dyDescent="0.3">
      <c r="A480" s="35" t="s">
        <v>2885</v>
      </c>
      <c r="B480" s="36">
        <v>45034</v>
      </c>
      <c r="C480" s="37" t="s">
        <v>2077</v>
      </c>
      <c r="D480" s="39" t="s">
        <v>2886</v>
      </c>
      <c r="E480" s="1" t="s">
        <v>2887</v>
      </c>
      <c r="F480" s="36">
        <v>45058</v>
      </c>
      <c r="G480" s="37" t="s">
        <v>2888</v>
      </c>
      <c r="H480" s="40" t="s">
        <v>571</v>
      </c>
      <c r="I480" s="40" t="s">
        <v>2889</v>
      </c>
      <c r="J480" s="41">
        <v>99491700</v>
      </c>
      <c r="K480" s="41">
        <v>99491700</v>
      </c>
      <c r="L480" s="30">
        <v>101571525</v>
      </c>
      <c r="M480" s="30">
        <f t="shared" si="85"/>
        <v>101571525</v>
      </c>
      <c r="N480" s="40" t="s">
        <v>2890</v>
      </c>
      <c r="O480" s="40" t="s">
        <v>2891</v>
      </c>
      <c r="P480" s="40" t="s">
        <v>47</v>
      </c>
      <c r="Q480" s="44">
        <v>100</v>
      </c>
      <c r="R480" s="37">
        <v>0</v>
      </c>
      <c r="S480" s="37" t="s">
        <v>1964</v>
      </c>
      <c r="T480" s="54" t="s">
        <v>2892</v>
      </c>
      <c r="U480" s="30">
        <f>M480/W480</f>
        <v>82.5</v>
      </c>
      <c r="V480" s="57" t="s">
        <v>2893</v>
      </c>
      <c r="W480" s="41">
        <f t="shared" si="90"/>
        <v>1231170</v>
      </c>
      <c r="X480" s="41">
        <v>844170</v>
      </c>
      <c r="Y480" s="41">
        <v>0</v>
      </c>
      <c r="Z480" s="41">
        <f t="shared" si="92"/>
        <v>0</v>
      </c>
      <c r="AA480" s="41">
        <v>0</v>
      </c>
      <c r="AB480" s="41">
        <f t="shared" si="93"/>
        <v>0</v>
      </c>
      <c r="AC480" s="41">
        <f>361790+25210</f>
        <v>387000</v>
      </c>
      <c r="AD480" s="41">
        <v>0</v>
      </c>
      <c r="AE480" s="41">
        <f t="shared" si="95"/>
        <v>0</v>
      </c>
      <c r="AF480" s="41">
        <v>0</v>
      </c>
      <c r="AG480" s="41">
        <f t="shared" si="96"/>
        <v>0</v>
      </c>
      <c r="AH480" s="41">
        <f t="shared" si="97"/>
        <v>0</v>
      </c>
      <c r="AI480" s="41">
        <v>0</v>
      </c>
      <c r="AJ480" s="41">
        <v>0</v>
      </c>
      <c r="AK480" s="41">
        <v>0</v>
      </c>
      <c r="AL480" s="41">
        <v>0</v>
      </c>
      <c r="AM480" s="41">
        <f t="shared" si="98"/>
        <v>0</v>
      </c>
      <c r="AN480" s="57" t="s">
        <v>2894</v>
      </c>
      <c r="AO480" s="57" t="s">
        <v>2895</v>
      </c>
      <c r="AP480" s="40"/>
      <c r="AQ480" s="36">
        <v>45108</v>
      </c>
      <c r="AR480" s="36">
        <v>45170</v>
      </c>
      <c r="AS480" s="36"/>
      <c r="AT480" s="36">
        <v>45122</v>
      </c>
      <c r="AU480" s="36">
        <v>45184</v>
      </c>
      <c r="AV480" s="38"/>
      <c r="AW480" s="40" t="s">
        <v>75</v>
      </c>
    </row>
    <row r="481" spans="1:49" s="34" customFormat="1" ht="48.6" customHeight="1" x14ac:dyDescent="0.3">
      <c r="A481" s="35" t="s">
        <v>2896</v>
      </c>
      <c r="B481" s="36">
        <v>45035</v>
      </c>
      <c r="C481" s="37">
        <v>1416</v>
      </c>
      <c r="D481" s="39" t="s">
        <v>2897</v>
      </c>
      <c r="E481" s="1" t="s">
        <v>2898</v>
      </c>
      <c r="F481" s="36">
        <v>45069</v>
      </c>
      <c r="G481" s="37" t="s">
        <v>2899</v>
      </c>
      <c r="H481" s="40" t="s">
        <v>878</v>
      </c>
      <c r="I481" s="40" t="s">
        <v>2900</v>
      </c>
      <c r="J481" s="41">
        <v>606532971</v>
      </c>
      <c r="K481" s="41">
        <v>606532971</v>
      </c>
      <c r="L481" s="30">
        <f t="shared" si="89"/>
        <v>606532971</v>
      </c>
      <c r="M481" s="30">
        <f t="shared" si="85"/>
        <v>606532971</v>
      </c>
      <c r="N481" s="40" t="s">
        <v>880</v>
      </c>
      <c r="O481" s="40" t="s">
        <v>881</v>
      </c>
      <c r="P481" s="40" t="s">
        <v>583</v>
      </c>
      <c r="Q481" s="44">
        <v>0</v>
      </c>
      <c r="R481" s="37">
        <v>100</v>
      </c>
      <c r="S481" s="37" t="s">
        <v>882</v>
      </c>
      <c r="T481" s="48">
        <v>120</v>
      </c>
      <c r="U481" s="30">
        <f>M481/W481</f>
        <v>142.66999999999999</v>
      </c>
      <c r="V481" s="41">
        <f t="shared" si="88"/>
        <v>17120.399999999998</v>
      </c>
      <c r="W481" s="41">
        <f t="shared" si="90"/>
        <v>4251300</v>
      </c>
      <c r="X481" s="41">
        <f t="shared" si="91"/>
        <v>4251300</v>
      </c>
      <c r="Y481" s="41">
        <v>27000</v>
      </c>
      <c r="Z481" s="41">
        <f t="shared" si="92"/>
        <v>3852089.9999999995</v>
      </c>
      <c r="AA481" s="41">
        <v>4224300</v>
      </c>
      <c r="AB481" s="41">
        <f t="shared" si="93"/>
        <v>602680881</v>
      </c>
      <c r="AC481" s="41">
        <f t="shared" si="94"/>
        <v>0</v>
      </c>
      <c r="AD481" s="41">
        <v>0</v>
      </c>
      <c r="AE481" s="41">
        <f t="shared" si="95"/>
        <v>0</v>
      </c>
      <c r="AF481" s="41">
        <v>0</v>
      </c>
      <c r="AG481" s="41">
        <f t="shared" si="96"/>
        <v>0</v>
      </c>
      <c r="AH481" s="41">
        <f t="shared" si="97"/>
        <v>0</v>
      </c>
      <c r="AI481" s="41">
        <v>0</v>
      </c>
      <c r="AJ481" s="41">
        <v>0</v>
      </c>
      <c r="AK481" s="41">
        <v>0</v>
      </c>
      <c r="AL481" s="41">
        <v>0</v>
      </c>
      <c r="AM481" s="41">
        <f t="shared" si="98"/>
        <v>3852089.9999999995</v>
      </c>
      <c r="AN481" s="41">
        <f t="shared" si="86"/>
        <v>35427.5</v>
      </c>
      <c r="AO481" s="41">
        <f t="shared" si="87"/>
        <v>35428</v>
      </c>
      <c r="AP481" s="40"/>
      <c r="AQ481" s="36">
        <v>45092</v>
      </c>
      <c r="AR481" s="36"/>
      <c r="AS481" s="36"/>
      <c r="AT481" s="36">
        <v>45107</v>
      </c>
      <c r="AU481" s="36"/>
      <c r="AV481" s="38"/>
      <c r="AW481" s="40" t="s">
        <v>87</v>
      </c>
    </row>
    <row r="482" spans="1:49" s="34" customFormat="1" ht="72" x14ac:dyDescent="0.3">
      <c r="A482" s="35" t="s">
        <v>2901</v>
      </c>
      <c r="B482" s="36">
        <v>45035</v>
      </c>
      <c r="C482" s="37">
        <v>1416</v>
      </c>
      <c r="D482" s="39" t="s">
        <v>2902</v>
      </c>
      <c r="E482" s="1" t="s">
        <v>2903</v>
      </c>
      <c r="F482" s="36">
        <v>45058</v>
      </c>
      <c r="G482" s="37" t="s">
        <v>2904</v>
      </c>
      <c r="H482" s="40" t="s">
        <v>571</v>
      </c>
      <c r="I482" s="40" t="s">
        <v>2905</v>
      </c>
      <c r="J482" s="41">
        <v>113085940.95</v>
      </c>
      <c r="K482" s="41">
        <v>87637323.75</v>
      </c>
      <c r="L482" s="30">
        <f t="shared" si="89"/>
        <v>87637323.75</v>
      </c>
      <c r="M482" s="30">
        <f t="shared" si="85"/>
        <v>87637323.75</v>
      </c>
      <c r="N482" s="40" t="s">
        <v>2906</v>
      </c>
      <c r="O482" s="40" t="s">
        <v>2907</v>
      </c>
      <c r="P482" s="40" t="s">
        <v>47</v>
      </c>
      <c r="Q482" s="44">
        <v>100</v>
      </c>
      <c r="R482" s="37">
        <v>0</v>
      </c>
      <c r="S482" s="37" t="s">
        <v>1964</v>
      </c>
      <c r="T482" s="48">
        <v>30</v>
      </c>
      <c r="U482" s="30">
        <f>M482/W482</f>
        <v>97.25</v>
      </c>
      <c r="V482" s="41">
        <f t="shared" si="88"/>
        <v>2917.5</v>
      </c>
      <c r="W482" s="41">
        <f t="shared" si="90"/>
        <v>901155</v>
      </c>
      <c r="X482" s="41">
        <f t="shared" si="91"/>
        <v>901155</v>
      </c>
      <c r="Y482" s="41">
        <v>9600</v>
      </c>
      <c r="Z482" s="41">
        <f t="shared" si="92"/>
        <v>933600</v>
      </c>
      <c r="AA482" s="41">
        <v>891555</v>
      </c>
      <c r="AB482" s="41">
        <f t="shared" si="93"/>
        <v>86703723.75</v>
      </c>
      <c r="AC482" s="41">
        <f t="shared" si="94"/>
        <v>0</v>
      </c>
      <c r="AD482" s="41">
        <v>0</v>
      </c>
      <c r="AE482" s="41">
        <f t="shared" si="95"/>
        <v>0</v>
      </c>
      <c r="AF482" s="41">
        <v>0</v>
      </c>
      <c r="AG482" s="41">
        <f t="shared" si="96"/>
        <v>0</v>
      </c>
      <c r="AH482" s="41">
        <f t="shared" si="97"/>
        <v>0</v>
      </c>
      <c r="AI482" s="41">
        <v>0</v>
      </c>
      <c r="AJ482" s="41">
        <v>0</v>
      </c>
      <c r="AK482" s="41">
        <v>0</v>
      </c>
      <c r="AL482" s="41">
        <v>0</v>
      </c>
      <c r="AM482" s="41">
        <f t="shared" si="98"/>
        <v>933600</v>
      </c>
      <c r="AN482" s="41">
        <f t="shared" si="86"/>
        <v>30038.5</v>
      </c>
      <c r="AO482" s="41">
        <f t="shared" si="87"/>
        <v>30039</v>
      </c>
      <c r="AP482" s="40"/>
      <c r="AQ482" s="36">
        <v>45092</v>
      </c>
      <c r="AR482" s="36"/>
      <c r="AS482" s="36"/>
      <c r="AT482" s="36">
        <v>45137</v>
      </c>
      <c r="AU482" s="36"/>
      <c r="AV482" s="38"/>
      <c r="AW482" s="40" t="s">
        <v>49</v>
      </c>
    </row>
    <row r="483" spans="1:49" s="34" customFormat="1" ht="54.6" customHeight="1" x14ac:dyDescent="0.3">
      <c r="A483" s="35" t="s">
        <v>2908</v>
      </c>
      <c r="B483" s="36">
        <v>45035</v>
      </c>
      <c r="C483" s="37">
        <v>1416</v>
      </c>
      <c r="D483" s="39" t="s">
        <v>2909</v>
      </c>
      <c r="E483" s="1" t="s">
        <v>2910</v>
      </c>
      <c r="F483" s="36">
        <v>45069</v>
      </c>
      <c r="G483" s="37" t="s">
        <v>2911</v>
      </c>
      <c r="H483" s="40" t="s">
        <v>944</v>
      </c>
      <c r="I483" s="40" t="s">
        <v>2912</v>
      </c>
      <c r="J483" s="41">
        <v>317402900.43000001</v>
      </c>
      <c r="K483" s="41">
        <v>317402900.43000001</v>
      </c>
      <c r="L483" s="30">
        <f t="shared" si="89"/>
        <v>317402900.43000001</v>
      </c>
      <c r="M483" s="30">
        <f t="shared" si="85"/>
        <v>317402900.43000001</v>
      </c>
      <c r="N483" s="40" t="s">
        <v>355</v>
      </c>
      <c r="O483" s="40" t="s">
        <v>946</v>
      </c>
      <c r="P483" s="40" t="s">
        <v>357</v>
      </c>
      <c r="Q483" s="44">
        <v>0</v>
      </c>
      <c r="R483" s="37">
        <v>100</v>
      </c>
      <c r="S483" s="37" t="s">
        <v>219</v>
      </c>
      <c r="T483" s="48">
        <v>1</v>
      </c>
      <c r="U483" s="30">
        <f>M483/W483</f>
        <v>263842.81</v>
      </c>
      <c r="V483" s="41">
        <f t="shared" si="88"/>
        <v>263842.81</v>
      </c>
      <c r="W483" s="41">
        <f t="shared" si="90"/>
        <v>1203</v>
      </c>
      <c r="X483" s="41">
        <f t="shared" si="91"/>
        <v>1203</v>
      </c>
      <c r="Y483" s="41">
        <v>476</v>
      </c>
      <c r="Z483" s="41">
        <f t="shared" si="92"/>
        <v>125589177.56</v>
      </c>
      <c r="AA483" s="41">
        <v>727</v>
      </c>
      <c r="AB483" s="41">
        <f t="shared" si="93"/>
        <v>191813722.87</v>
      </c>
      <c r="AC483" s="41">
        <f t="shared" si="94"/>
        <v>0</v>
      </c>
      <c r="AD483" s="41">
        <v>0</v>
      </c>
      <c r="AE483" s="41">
        <f t="shared" si="95"/>
        <v>0</v>
      </c>
      <c r="AF483" s="41">
        <v>0</v>
      </c>
      <c r="AG483" s="41">
        <f t="shared" si="96"/>
        <v>0</v>
      </c>
      <c r="AH483" s="41">
        <f t="shared" si="97"/>
        <v>0</v>
      </c>
      <c r="AI483" s="41">
        <v>0</v>
      </c>
      <c r="AJ483" s="41">
        <v>0</v>
      </c>
      <c r="AK483" s="41">
        <v>0</v>
      </c>
      <c r="AL483" s="41">
        <v>0</v>
      </c>
      <c r="AM483" s="41">
        <f t="shared" si="98"/>
        <v>125589177.56</v>
      </c>
      <c r="AN483" s="41">
        <f t="shared" si="86"/>
        <v>1203</v>
      </c>
      <c r="AO483" s="41">
        <f t="shared" si="87"/>
        <v>1203</v>
      </c>
      <c r="AP483" s="40"/>
      <c r="AQ483" s="36">
        <v>45092</v>
      </c>
      <c r="AR483" s="36"/>
      <c r="AS483" s="36"/>
      <c r="AT483" s="36">
        <v>45107</v>
      </c>
      <c r="AU483" s="36"/>
      <c r="AV483" s="38"/>
      <c r="AW483" s="40" t="s">
        <v>87</v>
      </c>
    </row>
    <row r="484" spans="1:49" s="34" customFormat="1" ht="90.75" customHeight="1" x14ac:dyDescent="0.3">
      <c r="A484" s="35" t="s">
        <v>2913</v>
      </c>
      <c r="B484" s="36">
        <v>45035</v>
      </c>
      <c r="C484" s="37">
        <v>1416</v>
      </c>
      <c r="D484" s="39" t="s">
        <v>2914</v>
      </c>
      <c r="E484" s="1" t="s">
        <v>2915</v>
      </c>
      <c r="F484" s="36">
        <v>45076</v>
      </c>
      <c r="G484" s="37" t="s">
        <v>2916</v>
      </c>
      <c r="H484" s="40" t="s">
        <v>177</v>
      </c>
      <c r="I484" s="40" t="s">
        <v>2917</v>
      </c>
      <c r="J484" s="41">
        <v>363889787.02999997</v>
      </c>
      <c r="K484" s="41">
        <v>363889787.02999997</v>
      </c>
      <c r="L484" s="30">
        <f t="shared" si="89"/>
        <v>363889787.02999997</v>
      </c>
      <c r="M484" s="30">
        <f t="shared" si="85"/>
        <v>363889787.02999997</v>
      </c>
      <c r="N484" s="40" t="s">
        <v>889</v>
      </c>
      <c r="O484" s="40" t="s">
        <v>2918</v>
      </c>
      <c r="P484" s="40" t="s">
        <v>47</v>
      </c>
      <c r="Q484" s="44">
        <v>100</v>
      </c>
      <c r="R484" s="37">
        <v>0</v>
      </c>
      <c r="S484" s="37" t="s">
        <v>200</v>
      </c>
      <c r="T484" s="54" t="s">
        <v>892</v>
      </c>
      <c r="U484" s="30">
        <f>M484/W484</f>
        <v>1212.9699999999998</v>
      </c>
      <c r="V484" s="41" t="e">
        <f t="shared" si="88"/>
        <v>#VALUE!</v>
      </c>
      <c r="W484" s="41">
        <f t="shared" si="90"/>
        <v>299999</v>
      </c>
      <c r="X484" s="41">
        <f t="shared" si="91"/>
        <v>299999</v>
      </c>
      <c r="Y484" s="41">
        <v>3614</v>
      </c>
      <c r="Z484" s="41">
        <f t="shared" si="92"/>
        <v>4383673.5799999991</v>
      </c>
      <c r="AA484" s="41">
        <v>296385</v>
      </c>
      <c r="AB484" s="41">
        <f t="shared" si="93"/>
        <v>359506113.44999993</v>
      </c>
      <c r="AC484" s="41">
        <f t="shared" si="94"/>
        <v>0</v>
      </c>
      <c r="AD484" s="41">
        <v>0</v>
      </c>
      <c r="AE484" s="41">
        <f t="shared" si="95"/>
        <v>0</v>
      </c>
      <c r="AF484" s="41">
        <v>0</v>
      </c>
      <c r="AG484" s="41">
        <f t="shared" si="96"/>
        <v>0</v>
      </c>
      <c r="AH484" s="41">
        <f t="shared" si="97"/>
        <v>0</v>
      </c>
      <c r="AI484" s="41">
        <v>0</v>
      </c>
      <c r="AJ484" s="41">
        <v>0</v>
      </c>
      <c r="AK484" s="41">
        <v>0</v>
      </c>
      <c r="AL484" s="41">
        <v>0</v>
      </c>
      <c r="AM484" s="41">
        <f t="shared" si="98"/>
        <v>4383673.5799999991</v>
      </c>
      <c r="AN484" s="41" t="e">
        <f t="shared" si="86"/>
        <v>#VALUE!</v>
      </c>
      <c r="AO484" s="41" t="e">
        <f t="shared" si="87"/>
        <v>#VALUE!</v>
      </c>
      <c r="AP484" s="40"/>
      <c r="AQ484" s="36">
        <v>45108</v>
      </c>
      <c r="AR484" s="36"/>
      <c r="AS484" s="36"/>
      <c r="AT484" s="36">
        <v>45122</v>
      </c>
      <c r="AU484" s="36"/>
      <c r="AV484" s="38"/>
      <c r="AW484" s="40" t="s">
        <v>49</v>
      </c>
    </row>
    <row r="485" spans="1:49" s="34" customFormat="1" ht="45" customHeight="1" x14ac:dyDescent="0.3">
      <c r="A485" s="35" t="s">
        <v>2919</v>
      </c>
      <c r="B485" s="36">
        <v>45035</v>
      </c>
      <c r="C485" s="37" t="s">
        <v>162</v>
      </c>
      <c r="D485" s="39" t="s">
        <v>2920</v>
      </c>
      <c r="E485" s="1" t="s">
        <v>2921</v>
      </c>
      <c r="F485" s="36">
        <v>45058</v>
      </c>
      <c r="G485" s="37" t="s">
        <v>2922</v>
      </c>
      <c r="H485" s="40" t="s">
        <v>186</v>
      </c>
      <c r="I485" s="40" t="s">
        <v>2496</v>
      </c>
      <c r="J485" s="41">
        <v>263960434.63999999</v>
      </c>
      <c r="K485" s="41">
        <v>263960434.63999999</v>
      </c>
      <c r="L485" s="30">
        <v>266594536.63999999</v>
      </c>
      <c r="M485" s="30">
        <f t="shared" si="85"/>
        <v>266594536.63999999</v>
      </c>
      <c r="N485" s="40" t="s">
        <v>2923</v>
      </c>
      <c r="O485" s="40" t="s">
        <v>2924</v>
      </c>
      <c r="P485" s="40" t="s">
        <v>199</v>
      </c>
      <c r="Q485" s="44">
        <v>0</v>
      </c>
      <c r="R485" s="37">
        <v>100</v>
      </c>
      <c r="S485" s="37" t="s">
        <v>1964</v>
      </c>
      <c r="T485" s="48">
        <v>28</v>
      </c>
      <c r="U485" s="30">
        <f>M485/W485</f>
        <v>2926.7799999999997</v>
      </c>
      <c r="V485" s="41">
        <f t="shared" si="88"/>
        <v>81949.84</v>
      </c>
      <c r="W485" s="41">
        <f t="shared" si="90"/>
        <v>91088</v>
      </c>
      <c r="X485" s="41">
        <v>91088</v>
      </c>
      <c r="Y485" s="41">
        <v>0</v>
      </c>
      <c r="Z485" s="41">
        <f t="shared" si="92"/>
        <v>0</v>
      </c>
      <c r="AA485" s="41">
        <v>0</v>
      </c>
      <c r="AB485" s="41">
        <f t="shared" si="93"/>
        <v>0</v>
      </c>
      <c r="AC485" s="41">
        <f t="shared" si="94"/>
        <v>0</v>
      </c>
      <c r="AD485" s="41">
        <v>0</v>
      </c>
      <c r="AE485" s="41">
        <f t="shared" si="95"/>
        <v>0</v>
      </c>
      <c r="AF485" s="41">
        <v>0</v>
      </c>
      <c r="AG485" s="41">
        <f t="shared" si="96"/>
        <v>0</v>
      </c>
      <c r="AH485" s="41">
        <f t="shared" si="97"/>
        <v>0</v>
      </c>
      <c r="AI485" s="41">
        <v>0</v>
      </c>
      <c r="AJ485" s="41">
        <v>0</v>
      </c>
      <c r="AK485" s="41">
        <v>0</v>
      </c>
      <c r="AL485" s="41">
        <v>0</v>
      </c>
      <c r="AM485" s="41">
        <f t="shared" si="98"/>
        <v>0</v>
      </c>
      <c r="AN485" s="41">
        <f>W485/T485</f>
        <v>3253.1428571428573</v>
      </c>
      <c r="AO485" s="41">
        <f t="shared" si="87"/>
        <v>3254</v>
      </c>
      <c r="AP485" s="40"/>
      <c r="AQ485" s="36">
        <v>45107</v>
      </c>
      <c r="AR485" s="36"/>
      <c r="AS485" s="36"/>
      <c r="AT485" s="36">
        <v>45122</v>
      </c>
      <c r="AU485" s="36"/>
      <c r="AV485" s="38"/>
      <c r="AW485" s="40" t="s">
        <v>87</v>
      </c>
    </row>
    <row r="486" spans="1:49" s="34" customFormat="1" ht="93.6" x14ac:dyDescent="0.3">
      <c r="A486" s="35" t="s">
        <v>2925</v>
      </c>
      <c r="B486" s="36">
        <v>45036</v>
      </c>
      <c r="C486" s="37">
        <v>1688</v>
      </c>
      <c r="D486" s="39" t="s">
        <v>2926</v>
      </c>
      <c r="E486" s="1" t="s">
        <v>2927</v>
      </c>
      <c r="F486" s="36">
        <v>45058</v>
      </c>
      <c r="G486" s="37" t="s">
        <v>2928</v>
      </c>
      <c r="H486" s="40" t="s">
        <v>2929</v>
      </c>
      <c r="I486" s="40" t="s">
        <v>2930</v>
      </c>
      <c r="J486" s="41">
        <v>51605550.780000001</v>
      </c>
      <c r="K486" s="41">
        <v>51605550.780000001</v>
      </c>
      <c r="L486" s="30">
        <v>52230232.579999998</v>
      </c>
      <c r="M486" s="30">
        <f t="shared" si="85"/>
        <v>52230232.579999998</v>
      </c>
      <c r="N486" s="40" t="s">
        <v>2931</v>
      </c>
      <c r="O486" s="40" t="s">
        <v>2932</v>
      </c>
      <c r="P486" s="40" t="s">
        <v>47</v>
      </c>
      <c r="Q486" s="44">
        <v>100</v>
      </c>
      <c r="R486" s="37">
        <v>0</v>
      </c>
      <c r="S486" s="37" t="s">
        <v>48</v>
      </c>
      <c r="T486" s="48">
        <v>100</v>
      </c>
      <c r="U486" s="30">
        <f>M486/W486</f>
        <v>15.201816112689109</v>
      </c>
      <c r="V486" s="41">
        <f t="shared" si="88"/>
        <v>1520.181611268911</v>
      </c>
      <c r="W486" s="41">
        <v>3435789</v>
      </c>
      <c r="X486" s="41">
        <v>3477379</v>
      </c>
      <c r="Y486" s="41">
        <v>0</v>
      </c>
      <c r="Z486" s="41">
        <f t="shared" si="92"/>
        <v>0</v>
      </c>
      <c r="AA486" s="41">
        <v>0</v>
      </c>
      <c r="AB486" s="41">
        <f t="shared" si="93"/>
        <v>0</v>
      </c>
      <c r="AC486" s="41">
        <f t="shared" si="94"/>
        <v>0</v>
      </c>
      <c r="AD486" s="41">
        <v>0</v>
      </c>
      <c r="AE486" s="41">
        <f t="shared" si="95"/>
        <v>0</v>
      </c>
      <c r="AF486" s="41">
        <v>0</v>
      </c>
      <c r="AG486" s="41">
        <f t="shared" si="96"/>
        <v>0</v>
      </c>
      <c r="AH486" s="41">
        <f t="shared" si="97"/>
        <v>0</v>
      </c>
      <c r="AI486" s="41">
        <v>0</v>
      </c>
      <c r="AJ486" s="41">
        <v>0</v>
      </c>
      <c r="AK486" s="41">
        <v>0</v>
      </c>
      <c r="AL486" s="41">
        <v>0</v>
      </c>
      <c r="AM486" s="41">
        <f t="shared" si="98"/>
        <v>0</v>
      </c>
      <c r="AN486" s="41">
        <f t="shared" si="86"/>
        <v>34357.89</v>
      </c>
      <c r="AO486" s="41">
        <f t="shared" si="87"/>
        <v>34358</v>
      </c>
      <c r="AP486" s="40"/>
      <c r="AQ486" s="36">
        <v>45200</v>
      </c>
      <c r="AR486" s="36"/>
      <c r="AS486" s="36"/>
      <c r="AT486" s="36">
        <v>45214</v>
      </c>
      <c r="AU486" s="36"/>
      <c r="AV486" s="38"/>
      <c r="AW486" s="40" t="s">
        <v>49</v>
      </c>
    </row>
    <row r="487" spans="1:49" s="34" customFormat="1" ht="39" customHeight="1" x14ac:dyDescent="0.3">
      <c r="A487" s="35" t="s">
        <v>2933</v>
      </c>
      <c r="B487" s="36">
        <v>45036</v>
      </c>
      <c r="C487" s="37">
        <v>1416</v>
      </c>
      <c r="D487" s="39" t="s">
        <v>2934</v>
      </c>
      <c r="E487" s="1" t="s">
        <v>2935</v>
      </c>
      <c r="F487" s="36">
        <v>45070</v>
      </c>
      <c r="G487" s="37" t="s">
        <v>2936</v>
      </c>
      <c r="H487" s="40" t="s">
        <v>186</v>
      </c>
      <c r="I487" s="40" t="s">
        <v>473</v>
      </c>
      <c r="J487" s="41">
        <v>1055940600</v>
      </c>
      <c r="K487" s="41">
        <v>1055940600</v>
      </c>
      <c r="L487" s="30">
        <f t="shared" si="89"/>
        <v>1055940600</v>
      </c>
      <c r="M487" s="30">
        <f t="shared" si="85"/>
        <v>1055940600</v>
      </c>
      <c r="N487" s="40" t="s">
        <v>2937</v>
      </c>
      <c r="O487" s="40" t="s">
        <v>475</v>
      </c>
      <c r="P487" s="40" t="s">
        <v>190</v>
      </c>
      <c r="Q487" s="44">
        <v>0</v>
      </c>
      <c r="R487" s="37">
        <v>100</v>
      </c>
      <c r="S487" s="37" t="s">
        <v>1964</v>
      </c>
      <c r="T487" s="48">
        <v>1</v>
      </c>
      <c r="U487" s="30">
        <f>M487/W487</f>
        <v>85800</v>
      </c>
      <c r="V487" s="41">
        <f t="shared" si="88"/>
        <v>85800</v>
      </c>
      <c r="W487" s="41">
        <f t="shared" si="90"/>
        <v>12307</v>
      </c>
      <c r="X487" s="41">
        <f t="shared" si="91"/>
        <v>12307</v>
      </c>
      <c r="Y487" s="41">
        <v>0</v>
      </c>
      <c r="Z487" s="41">
        <f t="shared" si="92"/>
        <v>0</v>
      </c>
      <c r="AA487" s="41">
        <v>12307</v>
      </c>
      <c r="AB487" s="41">
        <f t="shared" si="93"/>
        <v>1055940600</v>
      </c>
      <c r="AC487" s="41">
        <f t="shared" si="94"/>
        <v>0</v>
      </c>
      <c r="AD487" s="41">
        <v>0</v>
      </c>
      <c r="AE487" s="41">
        <f t="shared" si="95"/>
        <v>0</v>
      </c>
      <c r="AF487" s="41">
        <v>0</v>
      </c>
      <c r="AG487" s="41">
        <f t="shared" si="96"/>
        <v>0</v>
      </c>
      <c r="AH487" s="41">
        <f t="shared" si="97"/>
        <v>0</v>
      </c>
      <c r="AI487" s="41">
        <v>0</v>
      </c>
      <c r="AJ487" s="41">
        <v>0</v>
      </c>
      <c r="AK487" s="41">
        <v>0</v>
      </c>
      <c r="AL487" s="41">
        <v>0</v>
      </c>
      <c r="AM487" s="41">
        <f t="shared" si="98"/>
        <v>0</v>
      </c>
      <c r="AN487" s="41">
        <f t="shared" si="86"/>
        <v>12307</v>
      </c>
      <c r="AO487" s="41">
        <f t="shared" si="87"/>
        <v>12307</v>
      </c>
      <c r="AP487" s="40"/>
      <c r="AQ487" s="36">
        <v>45092</v>
      </c>
      <c r="AR487" s="36"/>
      <c r="AS487" s="36"/>
      <c r="AT487" s="36">
        <v>45107</v>
      </c>
      <c r="AU487" s="36"/>
      <c r="AV487" s="38"/>
      <c r="AW487" s="40" t="s">
        <v>87</v>
      </c>
    </row>
    <row r="488" spans="1:49" s="34" customFormat="1" ht="72" x14ac:dyDescent="0.3">
      <c r="A488" s="35" t="s">
        <v>2938</v>
      </c>
      <c r="B488" s="36">
        <v>45036</v>
      </c>
      <c r="C488" s="37">
        <v>1416</v>
      </c>
      <c r="D488" s="39" t="s">
        <v>2939</v>
      </c>
      <c r="E488" s="1" t="s">
        <v>2940</v>
      </c>
      <c r="F488" s="36">
        <v>45058</v>
      </c>
      <c r="G488" s="37" t="s">
        <v>2941</v>
      </c>
      <c r="H488" s="40" t="s">
        <v>2942</v>
      </c>
      <c r="I488" s="40" t="s">
        <v>312</v>
      </c>
      <c r="J488" s="41">
        <v>1428262.8</v>
      </c>
      <c r="K488" s="41">
        <v>1428262.8</v>
      </c>
      <c r="L488" s="30">
        <f t="shared" si="89"/>
        <v>1428262.8</v>
      </c>
      <c r="M488" s="30">
        <f t="shared" si="85"/>
        <v>1428262.8</v>
      </c>
      <c r="N488" s="40" t="s">
        <v>299</v>
      </c>
      <c r="O488" s="40" t="s">
        <v>2943</v>
      </c>
      <c r="P488" s="40" t="s">
        <v>199</v>
      </c>
      <c r="Q488" s="44">
        <v>0</v>
      </c>
      <c r="R488" s="37">
        <v>100</v>
      </c>
      <c r="S488" s="37" t="s">
        <v>1964</v>
      </c>
      <c r="T488" s="48">
        <v>50</v>
      </c>
      <c r="U488" s="30">
        <f>M488/W488</f>
        <v>59.81</v>
      </c>
      <c r="V488" s="41">
        <f t="shared" si="88"/>
        <v>2990.5</v>
      </c>
      <c r="W488" s="41">
        <f t="shared" si="90"/>
        <v>23880</v>
      </c>
      <c r="X488" s="41">
        <f t="shared" si="91"/>
        <v>23880</v>
      </c>
      <c r="Y488" s="41">
        <v>1440</v>
      </c>
      <c r="Z488" s="41">
        <f t="shared" si="92"/>
        <v>86126.400000000009</v>
      </c>
      <c r="AA488" s="41">
        <v>22440</v>
      </c>
      <c r="AB488" s="41">
        <f t="shared" si="93"/>
        <v>1342136.4000000001</v>
      </c>
      <c r="AC488" s="41">
        <f t="shared" si="94"/>
        <v>0</v>
      </c>
      <c r="AD488" s="41">
        <v>0</v>
      </c>
      <c r="AE488" s="41">
        <f t="shared" si="95"/>
        <v>0</v>
      </c>
      <c r="AF488" s="41">
        <v>0</v>
      </c>
      <c r="AG488" s="41">
        <f t="shared" si="96"/>
        <v>0</v>
      </c>
      <c r="AH488" s="41">
        <f t="shared" si="97"/>
        <v>0</v>
      </c>
      <c r="AI488" s="41">
        <v>0</v>
      </c>
      <c r="AJ488" s="41">
        <v>0</v>
      </c>
      <c r="AK488" s="41">
        <v>0</v>
      </c>
      <c r="AL488" s="41">
        <v>0</v>
      </c>
      <c r="AM488" s="41">
        <f t="shared" si="98"/>
        <v>86126.400000000009</v>
      </c>
      <c r="AN488" s="41">
        <f t="shared" si="86"/>
        <v>477.6</v>
      </c>
      <c r="AO488" s="41">
        <f t="shared" si="87"/>
        <v>478</v>
      </c>
      <c r="AP488" s="40"/>
      <c r="AQ488" s="36">
        <v>45078</v>
      </c>
      <c r="AR488" s="36"/>
      <c r="AS488" s="36"/>
      <c r="AT488" s="36">
        <v>45107</v>
      </c>
      <c r="AU488" s="36"/>
      <c r="AV488" s="38"/>
      <c r="AW488" s="40" t="s">
        <v>87</v>
      </c>
    </row>
    <row r="489" spans="1:49" s="34" customFormat="1" ht="51" customHeight="1" x14ac:dyDescent="0.3">
      <c r="A489" s="35" t="s">
        <v>2944</v>
      </c>
      <c r="B489" s="36">
        <v>45036</v>
      </c>
      <c r="C489" s="37">
        <v>1416</v>
      </c>
      <c r="D489" s="39" t="s">
        <v>2945</v>
      </c>
      <c r="E489" s="1" t="s">
        <v>2946</v>
      </c>
      <c r="F489" s="36">
        <v>45070</v>
      </c>
      <c r="G489" s="37" t="s">
        <v>2947</v>
      </c>
      <c r="H489" s="40" t="s">
        <v>2942</v>
      </c>
      <c r="I489" s="40" t="s">
        <v>317</v>
      </c>
      <c r="J489" s="41">
        <v>1998821100</v>
      </c>
      <c r="K489" s="41">
        <v>1998821100</v>
      </c>
      <c r="L489" s="30">
        <v>2006558472</v>
      </c>
      <c r="M489" s="30">
        <f t="shared" si="85"/>
        <v>2006558472</v>
      </c>
      <c r="N489" s="40" t="s">
        <v>318</v>
      </c>
      <c r="O489" s="40" t="s">
        <v>2948</v>
      </c>
      <c r="P489" s="40" t="s">
        <v>348</v>
      </c>
      <c r="Q489" s="44">
        <v>0</v>
      </c>
      <c r="R489" s="37">
        <v>100</v>
      </c>
      <c r="S489" s="37" t="s">
        <v>219</v>
      </c>
      <c r="T489" s="48">
        <v>10</v>
      </c>
      <c r="U489" s="30">
        <f>M489/W489</f>
        <v>25791.24</v>
      </c>
      <c r="V489" s="41">
        <f t="shared" si="88"/>
        <v>257912.40000000002</v>
      </c>
      <c r="W489" s="41">
        <f t="shared" si="90"/>
        <v>77800</v>
      </c>
      <c r="X489" s="41">
        <f t="shared" si="91"/>
        <v>77800</v>
      </c>
      <c r="Y489" s="41">
        <f>1200+300</f>
        <v>1500</v>
      </c>
      <c r="Z489" s="41">
        <f t="shared" si="92"/>
        <v>38686860</v>
      </c>
      <c r="AA489" s="41">
        <v>76300</v>
      </c>
      <c r="AB489" s="41">
        <f t="shared" si="93"/>
        <v>1967871612.0000002</v>
      </c>
      <c r="AC489" s="41">
        <f t="shared" si="94"/>
        <v>0</v>
      </c>
      <c r="AD489" s="41">
        <v>0</v>
      </c>
      <c r="AE489" s="41">
        <f t="shared" si="95"/>
        <v>0</v>
      </c>
      <c r="AF489" s="41">
        <v>0</v>
      </c>
      <c r="AG489" s="41">
        <f t="shared" si="96"/>
        <v>0</v>
      </c>
      <c r="AH489" s="41">
        <f t="shared" si="97"/>
        <v>0</v>
      </c>
      <c r="AI489" s="41">
        <v>0</v>
      </c>
      <c r="AJ489" s="41">
        <v>0</v>
      </c>
      <c r="AK489" s="41">
        <v>0</v>
      </c>
      <c r="AL489" s="41">
        <v>0</v>
      </c>
      <c r="AM489" s="41">
        <f t="shared" si="98"/>
        <v>38686860</v>
      </c>
      <c r="AN489" s="41">
        <f t="shared" si="86"/>
        <v>7780</v>
      </c>
      <c r="AO489" s="41">
        <f t="shared" si="87"/>
        <v>7780</v>
      </c>
      <c r="AP489" s="40"/>
      <c r="AQ489" s="36">
        <v>45092</v>
      </c>
      <c r="AR489" s="36"/>
      <c r="AS489" s="36"/>
      <c r="AT489" s="36">
        <v>45107</v>
      </c>
      <c r="AU489" s="36"/>
      <c r="AV489" s="38"/>
      <c r="AW489" s="40" t="s">
        <v>87</v>
      </c>
    </row>
    <row r="490" spans="1:49" s="34" customFormat="1" ht="124.8" x14ac:dyDescent="0.3">
      <c r="A490" s="35" t="s">
        <v>2949</v>
      </c>
      <c r="B490" s="36">
        <v>45036</v>
      </c>
      <c r="C490" s="37">
        <v>1416</v>
      </c>
      <c r="D490" s="39" t="s">
        <v>2950</v>
      </c>
      <c r="E490" s="1" t="s">
        <v>2951</v>
      </c>
      <c r="F490" s="36">
        <v>45061</v>
      </c>
      <c r="G490" s="37" t="s">
        <v>2952</v>
      </c>
      <c r="H490" s="40" t="s">
        <v>186</v>
      </c>
      <c r="I490" s="40" t="s">
        <v>2953</v>
      </c>
      <c r="J490" s="41">
        <v>2177377.16</v>
      </c>
      <c r="K490" s="41">
        <v>979404.72</v>
      </c>
      <c r="L490" s="30">
        <f t="shared" si="89"/>
        <v>979404.72</v>
      </c>
      <c r="M490" s="30">
        <f t="shared" si="85"/>
        <v>979404.72</v>
      </c>
      <c r="N490" s="40" t="s">
        <v>2954</v>
      </c>
      <c r="O490" s="40" t="s">
        <v>2955</v>
      </c>
      <c r="P490" s="40" t="s">
        <v>47</v>
      </c>
      <c r="Q490" s="44">
        <v>100</v>
      </c>
      <c r="R490" s="37">
        <v>0</v>
      </c>
      <c r="S490" s="37" t="s">
        <v>1964</v>
      </c>
      <c r="T490" s="48">
        <v>28</v>
      </c>
      <c r="U490" s="30">
        <f>M490/W490</f>
        <v>3.54</v>
      </c>
      <c r="V490" s="41">
        <f t="shared" si="88"/>
        <v>99.12</v>
      </c>
      <c r="W490" s="41">
        <f t="shared" si="90"/>
        <v>276668</v>
      </c>
      <c r="X490" s="41">
        <f t="shared" si="91"/>
        <v>276668</v>
      </c>
      <c r="Y490" s="41">
        <v>140</v>
      </c>
      <c r="Z490" s="41">
        <f t="shared" si="92"/>
        <v>495.6</v>
      </c>
      <c r="AA490" s="41">
        <v>276528</v>
      </c>
      <c r="AB490" s="41">
        <f t="shared" si="93"/>
        <v>978909.12</v>
      </c>
      <c r="AC490" s="41">
        <f t="shared" si="94"/>
        <v>0</v>
      </c>
      <c r="AD490" s="41">
        <v>0</v>
      </c>
      <c r="AE490" s="41">
        <f t="shared" si="95"/>
        <v>0</v>
      </c>
      <c r="AF490" s="41">
        <v>0</v>
      </c>
      <c r="AG490" s="41">
        <f t="shared" si="96"/>
        <v>0</v>
      </c>
      <c r="AH490" s="41">
        <f t="shared" si="97"/>
        <v>0</v>
      </c>
      <c r="AI490" s="41">
        <v>0</v>
      </c>
      <c r="AJ490" s="41">
        <v>0</v>
      </c>
      <c r="AK490" s="41">
        <v>0</v>
      </c>
      <c r="AL490" s="41">
        <v>0</v>
      </c>
      <c r="AM490" s="41">
        <f t="shared" si="98"/>
        <v>495.6</v>
      </c>
      <c r="AN490" s="41">
        <f t="shared" si="86"/>
        <v>9881</v>
      </c>
      <c r="AO490" s="41">
        <f t="shared" si="87"/>
        <v>9881</v>
      </c>
      <c r="AP490" s="40"/>
      <c r="AQ490" s="36">
        <v>45078</v>
      </c>
      <c r="AR490" s="36"/>
      <c r="AS490" s="36"/>
      <c r="AT490" s="36">
        <v>45092</v>
      </c>
      <c r="AU490" s="36"/>
      <c r="AV490" s="38"/>
      <c r="AW490" s="40" t="s">
        <v>87</v>
      </c>
    </row>
    <row r="491" spans="1:49" s="34" customFormat="1" ht="39" customHeight="1" x14ac:dyDescent="0.3">
      <c r="A491" s="35" t="s">
        <v>2956</v>
      </c>
      <c r="B491" s="36">
        <v>45036</v>
      </c>
      <c r="C491" s="37">
        <v>1416</v>
      </c>
      <c r="D491" s="39" t="s">
        <v>2957</v>
      </c>
      <c r="E491" s="1" t="s">
        <v>2958</v>
      </c>
      <c r="F491" s="36">
        <v>45061</v>
      </c>
      <c r="G491" s="37" t="s">
        <v>2959</v>
      </c>
      <c r="H491" s="40" t="s">
        <v>555</v>
      </c>
      <c r="I491" s="40" t="s">
        <v>2960</v>
      </c>
      <c r="J491" s="41">
        <v>23821757.100000001</v>
      </c>
      <c r="K491" s="41">
        <v>23702044.300000001</v>
      </c>
      <c r="L491" s="30">
        <f t="shared" si="89"/>
        <v>23702044.300000001</v>
      </c>
      <c r="M491" s="30">
        <f t="shared" si="85"/>
        <v>23702044.300000001</v>
      </c>
      <c r="N491" s="40" t="s">
        <v>2961</v>
      </c>
      <c r="O491" s="40" t="s">
        <v>2962</v>
      </c>
      <c r="P491" s="40" t="s">
        <v>47</v>
      </c>
      <c r="Q491" s="44">
        <v>100</v>
      </c>
      <c r="R491" s="37">
        <v>0</v>
      </c>
      <c r="S491" s="37" t="s">
        <v>1964</v>
      </c>
      <c r="T491" s="48">
        <v>4955</v>
      </c>
      <c r="U491" s="30">
        <f>M491/W491</f>
        <v>4783.46</v>
      </c>
      <c r="V491" s="41">
        <f t="shared" si="88"/>
        <v>23702044.300000001</v>
      </c>
      <c r="W491" s="41">
        <f t="shared" si="90"/>
        <v>4955</v>
      </c>
      <c r="X491" s="41">
        <f t="shared" si="91"/>
        <v>4955</v>
      </c>
      <c r="Y491" s="41">
        <v>0</v>
      </c>
      <c r="Z491" s="41">
        <f t="shared" si="92"/>
        <v>0</v>
      </c>
      <c r="AA491" s="41">
        <v>4955</v>
      </c>
      <c r="AB491" s="41">
        <f t="shared" si="93"/>
        <v>23702044.300000001</v>
      </c>
      <c r="AC491" s="41">
        <f t="shared" si="94"/>
        <v>0</v>
      </c>
      <c r="AD491" s="41">
        <v>0</v>
      </c>
      <c r="AE491" s="41">
        <f t="shared" si="95"/>
        <v>0</v>
      </c>
      <c r="AF491" s="41">
        <v>0</v>
      </c>
      <c r="AG491" s="41">
        <f t="shared" si="96"/>
        <v>0</v>
      </c>
      <c r="AH491" s="41">
        <f t="shared" si="97"/>
        <v>0</v>
      </c>
      <c r="AI491" s="41">
        <v>0</v>
      </c>
      <c r="AJ491" s="41">
        <v>0</v>
      </c>
      <c r="AK491" s="41">
        <v>0</v>
      </c>
      <c r="AL491" s="41">
        <v>0</v>
      </c>
      <c r="AM491" s="41">
        <f t="shared" si="98"/>
        <v>0</v>
      </c>
      <c r="AN491" s="41">
        <f t="shared" si="86"/>
        <v>1</v>
      </c>
      <c r="AO491" s="41">
        <f t="shared" si="87"/>
        <v>1</v>
      </c>
      <c r="AP491" s="40"/>
      <c r="AQ491" s="36">
        <v>45092</v>
      </c>
      <c r="AR491" s="36"/>
      <c r="AS491" s="36"/>
      <c r="AT491" s="36">
        <v>45107</v>
      </c>
      <c r="AU491" s="36"/>
      <c r="AV491" s="38"/>
      <c r="AW491" s="40" t="s">
        <v>49</v>
      </c>
    </row>
    <row r="492" spans="1:49" s="34" customFormat="1" ht="71.400000000000006" customHeight="1" x14ac:dyDescent="0.3">
      <c r="A492" s="35" t="s">
        <v>2963</v>
      </c>
      <c r="B492" s="36">
        <v>45036</v>
      </c>
      <c r="C492" s="37">
        <v>1416</v>
      </c>
      <c r="D492" s="39" t="s">
        <v>2964</v>
      </c>
      <c r="E492" s="1" t="s">
        <v>2965</v>
      </c>
      <c r="F492" s="36">
        <v>45058</v>
      </c>
      <c r="G492" s="37" t="s">
        <v>2966</v>
      </c>
      <c r="H492" s="40" t="s">
        <v>685</v>
      </c>
      <c r="I492" s="40" t="s">
        <v>761</v>
      </c>
      <c r="J492" s="41">
        <v>35018704.5</v>
      </c>
      <c r="K492" s="41">
        <v>34735915.5</v>
      </c>
      <c r="L492" s="30">
        <v>36504715.5</v>
      </c>
      <c r="M492" s="30">
        <f t="shared" si="85"/>
        <v>36504715.5</v>
      </c>
      <c r="N492" s="40" t="s">
        <v>2835</v>
      </c>
      <c r="O492" s="40" t="s">
        <v>2967</v>
      </c>
      <c r="P492" s="40" t="s">
        <v>47</v>
      </c>
      <c r="Q492" s="44">
        <v>100</v>
      </c>
      <c r="R492" s="37">
        <v>0</v>
      </c>
      <c r="S492" s="37" t="s">
        <v>1964</v>
      </c>
      <c r="T492" s="54" t="s">
        <v>2837</v>
      </c>
      <c r="U492" s="30">
        <f>M492/W492</f>
        <v>22.11</v>
      </c>
      <c r="V492" s="41" t="e">
        <f t="shared" si="88"/>
        <v>#VALUE!</v>
      </c>
      <c r="W492" s="41">
        <f t="shared" si="90"/>
        <v>1651050</v>
      </c>
      <c r="X492" s="41">
        <f t="shared" si="91"/>
        <v>700000</v>
      </c>
      <c r="Y492" s="41">
        <v>86950</v>
      </c>
      <c r="Z492" s="41">
        <f t="shared" si="92"/>
        <v>1922464.5</v>
      </c>
      <c r="AA492" s="41">
        <v>613050</v>
      </c>
      <c r="AB492" s="41">
        <f t="shared" si="93"/>
        <v>13554535.5</v>
      </c>
      <c r="AC492" s="41">
        <f t="shared" si="94"/>
        <v>951050</v>
      </c>
      <c r="AD492" s="41">
        <v>187600</v>
      </c>
      <c r="AE492" s="41">
        <f t="shared" si="95"/>
        <v>4147836</v>
      </c>
      <c r="AF492" s="41">
        <v>763450</v>
      </c>
      <c r="AG492" s="41">
        <f t="shared" si="96"/>
        <v>16879879.5</v>
      </c>
      <c r="AH492" s="41">
        <f t="shared" si="97"/>
        <v>0</v>
      </c>
      <c r="AI492" s="41">
        <v>0</v>
      </c>
      <c r="AJ492" s="41">
        <v>0</v>
      </c>
      <c r="AK492" s="41">
        <v>0</v>
      </c>
      <c r="AL492" s="41">
        <v>0</v>
      </c>
      <c r="AM492" s="41">
        <f t="shared" si="98"/>
        <v>6070300.5</v>
      </c>
      <c r="AN492" s="41" t="e">
        <f t="shared" si="86"/>
        <v>#VALUE!</v>
      </c>
      <c r="AO492" s="41" t="e">
        <f t="shared" si="87"/>
        <v>#VALUE!</v>
      </c>
      <c r="AP492" s="40"/>
      <c r="AQ492" s="36">
        <v>45092</v>
      </c>
      <c r="AR492" s="36">
        <v>45200</v>
      </c>
      <c r="AS492" s="36"/>
      <c r="AT492" s="36">
        <v>45107</v>
      </c>
      <c r="AU492" s="36">
        <v>45214</v>
      </c>
      <c r="AV492" s="38"/>
      <c r="AW492" s="40" t="s">
        <v>49</v>
      </c>
    </row>
    <row r="493" spans="1:49" s="34" customFormat="1" ht="39" customHeight="1" x14ac:dyDescent="0.3">
      <c r="A493" s="35" t="s">
        <v>2968</v>
      </c>
      <c r="B493" s="36">
        <v>45036</v>
      </c>
      <c r="C493" s="37">
        <v>1416</v>
      </c>
      <c r="D493" s="39" t="s">
        <v>2969</v>
      </c>
      <c r="E493" s="1" t="s">
        <v>2970</v>
      </c>
      <c r="F493" s="36">
        <v>45070</v>
      </c>
      <c r="G493" s="37" t="s">
        <v>2971</v>
      </c>
      <c r="H493" s="40" t="s">
        <v>186</v>
      </c>
      <c r="I493" s="40" t="s">
        <v>2972</v>
      </c>
      <c r="J493" s="41">
        <v>620714240</v>
      </c>
      <c r="K493" s="41">
        <v>620714240</v>
      </c>
      <c r="L493" s="30">
        <f t="shared" si="89"/>
        <v>620714240</v>
      </c>
      <c r="M493" s="30">
        <f t="shared" si="85"/>
        <v>620714240</v>
      </c>
      <c r="N493" s="40" t="s">
        <v>2973</v>
      </c>
      <c r="O493" s="40" t="s">
        <v>2974</v>
      </c>
      <c r="P493" s="40" t="s">
        <v>2975</v>
      </c>
      <c r="Q493" s="44">
        <v>0</v>
      </c>
      <c r="R493" s="37">
        <v>100</v>
      </c>
      <c r="S493" s="37" t="s">
        <v>229</v>
      </c>
      <c r="T493" s="54" t="s">
        <v>2976</v>
      </c>
      <c r="U493" s="30">
        <f>M493/W493</f>
        <v>12.4</v>
      </c>
      <c r="V493" s="41" t="e">
        <f t="shared" si="88"/>
        <v>#VALUE!</v>
      </c>
      <c r="W493" s="41">
        <f t="shared" si="90"/>
        <v>50057600</v>
      </c>
      <c r="X493" s="41">
        <f t="shared" si="91"/>
        <v>50057600</v>
      </c>
      <c r="Y493" s="41">
        <v>21266000</v>
      </c>
      <c r="Z493" s="41">
        <f t="shared" si="92"/>
        <v>263698400</v>
      </c>
      <c r="AA493" s="41">
        <v>28791600</v>
      </c>
      <c r="AB493" s="41">
        <f t="shared" si="93"/>
        <v>357015840</v>
      </c>
      <c r="AC493" s="41">
        <f t="shared" si="94"/>
        <v>0</v>
      </c>
      <c r="AD493" s="41">
        <v>0</v>
      </c>
      <c r="AE493" s="41">
        <f t="shared" si="95"/>
        <v>0</v>
      </c>
      <c r="AF493" s="41">
        <v>0</v>
      </c>
      <c r="AG493" s="41">
        <f t="shared" si="96"/>
        <v>0</v>
      </c>
      <c r="AH493" s="41">
        <f t="shared" si="97"/>
        <v>0</v>
      </c>
      <c r="AI493" s="41">
        <v>0</v>
      </c>
      <c r="AJ493" s="41">
        <v>0</v>
      </c>
      <c r="AK493" s="41">
        <v>0</v>
      </c>
      <c r="AL493" s="41">
        <v>0</v>
      </c>
      <c r="AM493" s="41">
        <f t="shared" si="98"/>
        <v>263698400</v>
      </c>
      <c r="AN493" s="41" t="e">
        <f t="shared" si="86"/>
        <v>#VALUE!</v>
      </c>
      <c r="AO493" s="41" t="e">
        <f t="shared" si="87"/>
        <v>#VALUE!</v>
      </c>
      <c r="AP493" s="40"/>
      <c r="AQ493" s="36">
        <v>45158</v>
      </c>
      <c r="AR493" s="36"/>
      <c r="AS493" s="36"/>
      <c r="AT493" s="36">
        <v>45174</v>
      </c>
      <c r="AU493" s="36"/>
      <c r="AV493" s="38"/>
      <c r="AW493" s="40" t="s">
        <v>49</v>
      </c>
    </row>
    <row r="494" spans="1:49" s="34" customFormat="1" ht="39" customHeight="1" x14ac:dyDescent="0.3">
      <c r="A494" s="35" t="s">
        <v>2977</v>
      </c>
      <c r="B494" s="36">
        <v>45036</v>
      </c>
      <c r="C494" s="37">
        <v>1416</v>
      </c>
      <c r="D494" s="39" t="s">
        <v>2978</v>
      </c>
      <c r="E494" s="1" t="s">
        <v>2979</v>
      </c>
      <c r="F494" s="36">
        <v>45070</v>
      </c>
      <c r="G494" s="37" t="s">
        <v>2980</v>
      </c>
      <c r="H494" s="40" t="s">
        <v>186</v>
      </c>
      <c r="I494" s="40" t="s">
        <v>2981</v>
      </c>
      <c r="J494" s="41">
        <v>487144800</v>
      </c>
      <c r="K494" s="41">
        <v>487144800</v>
      </c>
      <c r="L494" s="30">
        <v>525164256</v>
      </c>
      <c r="M494" s="30">
        <f t="shared" si="85"/>
        <v>525164256</v>
      </c>
      <c r="N494" s="40" t="s">
        <v>703</v>
      </c>
      <c r="O494" s="40" t="s">
        <v>643</v>
      </c>
      <c r="P494" s="40" t="s">
        <v>47</v>
      </c>
      <c r="Q494" s="44">
        <v>0</v>
      </c>
      <c r="R494" s="37">
        <v>100</v>
      </c>
      <c r="S494" s="37" t="s">
        <v>457</v>
      </c>
      <c r="T494" s="48">
        <v>400</v>
      </c>
      <c r="U494" s="30">
        <f>M494/W494</f>
        <v>164.16</v>
      </c>
      <c r="V494" s="41">
        <f t="shared" si="88"/>
        <v>65664</v>
      </c>
      <c r="W494" s="41">
        <f t="shared" si="90"/>
        <v>3199100</v>
      </c>
      <c r="X494" s="41">
        <f t="shared" si="91"/>
        <v>1890400</v>
      </c>
      <c r="Y494" s="41">
        <v>594400</v>
      </c>
      <c r="Z494" s="41">
        <f t="shared" si="92"/>
        <v>97576704</v>
      </c>
      <c r="AA494" s="41">
        <v>1296000</v>
      </c>
      <c r="AB494" s="41">
        <f t="shared" si="93"/>
        <v>212751360</v>
      </c>
      <c r="AC494" s="41">
        <f t="shared" si="94"/>
        <v>1308700</v>
      </c>
      <c r="AD494" s="41">
        <f>148800+231600</f>
        <v>380400</v>
      </c>
      <c r="AE494" s="41">
        <f t="shared" si="95"/>
        <v>62446464</v>
      </c>
      <c r="AF494" s="41">
        <v>928300</v>
      </c>
      <c r="AG494" s="41">
        <f t="shared" si="96"/>
        <v>152389728</v>
      </c>
      <c r="AH494" s="41">
        <f t="shared" si="97"/>
        <v>0</v>
      </c>
      <c r="AI494" s="41">
        <v>0</v>
      </c>
      <c r="AJ494" s="41">
        <v>0</v>
      </c>
      <c r="AK494" s="41">
        <v>0</v>
      </c>
      <c r="AL494" s="41">
        <v>0</v>
      </c>
      <c r="AM494" s="41">
        <f t="shared" si="98"/>
        <v>160023168</v>
      </c>
      <c r="AN494" s="41">
        <f t="shared" si="86"/>
        <v>7997.75</v>
      </c>
      <c r="AO494" s="41">
        <f t="shared" si="87"/>
        <v>7998</v>
      </c>
      <c r="AP494" s="40"/>
      <c r="AQ494" s="36">
        <v>45092</v>
      </c>
      <c r="AR494" s="36">
        <v>45200</v>
      </c>
      <c r="AS494" s="36"/>
      <c r="AT494" s="36">
        <v>45107</v>
      </c>
      <c r="AU494" s="36">
        <v>45214</v>
      </c>
      <c r="AV494" s="38"/>
      <c r="AW494" s="40" t="s">
        <v>75</v>
      </c>
    </row>
    <row r="495" spans="1:49" s="34" customFormat="1" ht="85.5" customHeight="1" x14ac:dyDescent="0.3">
      <c r="A495" s="35" t="s">
        <v>2982</v>
      </c>
      <c r="B495" s="36">
        <v>45037</v>
      </c>
      <c r="C495" s="37">
        <v>1416</v>
      </c>
      <c r="D495" s="39" t="s">
        <v>2983</v>
      </c>
      <c r="E495" s="1" t="s">
        <v>2984</v>
      </c>
      <c r="F495" s="36">
        <v>45072</v>
      </c>
      <c r="G495" s="37" t="s">
        <v>2985</v>
      </c>
      <c r="H495" s="40" t="s">
        <v>224</v>
      </c>
      <c r="I495" s="40" t="s">
        <v>935</v>
      </c>
      <c r="J495" s="41">
        <v>1010876287.5</v>
      </c>
      <c r="K495" s="41">
        <v>1010876287.5</v>
      </c>
      <c r="L495" s="30">
        <v>1015312387.5</v>
      </c>
      <c r="M495" s="30">
        <f t="shared" si="85"/>
        <v>1015312387.5</v>
      </c>
      <c r="N495" s="40" t="s">
        <v>936</v>
      </c>
      <c r="O495" s="40" t="s">
        <v>937</v>
      </c>
      <c r="P495" s="40" t="s">
        <v>348</v>
      </c>
      <c r="Q495" s="44">
        <v>0</v>
      </c>
      <c r="R495" s="37">
        <v>100</v>
      </c>
      <c r="S495" s="37" t="s">
        <v>219</v>
      </c>
      <c r="T495" s="48">
        <v>1</v>
      </c>
      <c r="U495" s="30">
        <f>M495/W495</f>
        <v>554512.5</v>
      </c>
      <c r="V495" s="41">
        <f t="shared" si="88"/>
        <v>554512.5</v>
      </c>
      <c r="W495" s="41">
        <f t="shared" si="90"/>
        <v>1831</v>
      </c>
      <c r="X495" s="41">
        <f t="shared" si="91"/>
        <v>1831</v>
      </c>
      <c r="Y495" s="41">
        <v>1446</v>
      </c>
      <c r="Z495" s="41">
        <f t="shared" si="92"/>
        <v>801825075</v>
      </c>
      <c r="AA495" s="41">
        <v>385</v>
      </c>
      <c r="AB495" s="41">
        <f t="shared" si="93"/>
        <v>213487312.5</v>
      </c>
      <c r="AC495" s="41">
        <f t="shared" si="94"/>
        <v>0</v>
      </c>
      <c r="AD495" s="41">
        <v>0</v>
      </c>
      <c r="AE495" s="41">
        <f t="shared" si="95"/>
        <v>0</v>
      </c>
      <c r="AF495" s="41">
        <v>0</v>
      </c>
      <c r="AG495" s="41">
        <f t="shared" si="96"/>
        <v>0</v>
      </c>
      <c r="AH495" s="41">
        <f t="shared" si="97"/>
        <v>0</v>
      </c>
      <c r="AI495" s="41">
        <v>0</v>
      </c>
      <c r="AJ495" s="41">
        <v>0</v>
      </c>
      <c r="AK495" s="41">
        <v>0</v>
      </c>
      <c r="AL495" s="41">
        <v>0</v>
      </c>
      <c r="AM495" s="41">
        <f t="shared" si="98"/>
        <v>801825075</v>
      </c>
      <c r="AN495" s="41">
        <f t="shared" si="86"/>
        <v>1831</v>
      </c>
      <c r="AO495" s="41">
        <f t="shared" si="87"/>
        <v>1831</v>
      </c>
      <c r="AP495" s="40"/>
      <c r="AQ495" s="36">
        <v>45092</v>
      </c>
      <c r="AR495" s="36"/>
      <c r="AS495" s="36"/>
      <c r="AT495" s="36">
        <v>45107</v>
      </c>
      <c r="AU495" s="36"/>
      <c r="AV495" s="38"/>
      <c r="AW495" s="40" t="s">
        <v>87</v>
      </c>
    </row>
    <row r="496" spans="1:49" s="34" customFormat="1" ht="46.95" customHeight="1" x14ac:dyDescent="0.3">
      <c r="A496" s="35" t="s">
        <v>2986</v>
      </c>
      <c r="B496" s="36">
        <v>45041</v>
      </c>
      <c r="C496" s="37">
        <v>1416</v>
      </c>
      <c r="D496" s="39" t="s">
        <v>2987</v>
      </c>
      <c r="E496" s="1" t="s">
        <v>2988</v>
      </c>
      <c r="F496" s="36">
        <v>45070</v>
      </c>
      <c r="G496" s="37" t="s">
        <v>2989</v>
      </c>
      <c r="H496" s="40" t="s">
        <v>186</v>
      </c>
      <c r="I496" s="40" t="s">
        <v>795</v>
      </c>
      <c r="J496" s="41">
        <v>741090552</v>
      </c>
      <c r="K496" s="41">
        <v>741090552</v>
      </c>
      <c r="L496" s="30">
        <f t="shared" si="89"/>
        <v>741090552</v>
      </c>
      <c r="M496" s="30">
        <f t="shared" si="85"/>
        <v>741090552</v>
      </c>
      <c r="N496" s="40" t="s">
        <v>796</v>
      </c>
      <c r="O496" s="40" t="s">
        <v>2990</v>
      </c>
      <c r="P496" s="40" t="s">
        <v>47</v>
      </c>
      <c r="Q496" s="44">
        <v>100</v>
      </c>
      <c r="R496" s="37">
        <v>0</v>
      </c>
      <c r="S496" s="37" t="s">
        <v>219</v>
      </c>
      <c r="T496" s="48">
        <v>15</v>
      </c>
      <c r="U496" s="30">
        <f>M496/W496</f>
        <v>401.6</v>
      </c>
      <c r="V496" s="41">
        <f t="shared" si="88"/>
        <v>6024</v>
      </c>
      <c r="W496" s="41">
        <f t="shared" si="90"/>
        <v>1845345</v>
      </c>
      <c r="X496" s="41">
        <f t="shared" si="91"/>
        <v>952500</v>
      </c>
      <c r="Y496" s="41">
        <v>709785</v>
      </c>
      <c r="Z496" s="41">
        <f t="shared" si="92"/>
        <v>285049656</v>
      </c>
      <c r="AA496" s="41">
        <v>242715</v>
      </c>
      <c r="AB496" s="41">
        <f t="shared" si="93"/>
        <v>97474344</v>
      </c>
      <c r="AC496" s="41">
        <f t="shared" si="94"/>
        <v>892845</v>
      </c>
      <c r="AD496" s="41">
        <v>663525</v>
      </c>
      <c r="AE496" s="41">
        <f t="shared" si="95"/>
        <v>266471640.00000003</v>
      </c>
      <c r="AF496" s="41">
        <v>229320</v>
      </c>
      <c r="AG496" s="41">
        <f t="shared" si="96"/>
        <v>92094912</v>
      </c>
      <c r="AH496" s="41">
        <f t="shared" si="97"/>
        <v>0</v>
      </c>
      <c r="AI496" s="41">
        <v>0</v>
      </c>
      <c r="AJ496" s="41">
        <v>0</v>
      </c>
      <c r="AK496" s="41">
        <v>0</v>
      </c>
      <c r="AL496" s="41">
        <v>0</v>
      </c>
      <c r="AM496" s="41">
        <f t="shared" si="98"/>
        <v>551521296</v>
      </c>
      <c r="AN496" s="41">
        <f t="shared" si="86"/>
        <v>123023</v>
      </c>
      <c r="AO496" s="41">
        <f t="shared" si="87"/>
        <v>123023</v>
      </c>
      <c r="AP496" s="40"/>
      <c r="AQ496" s="36">
        <v>45170</v>
      </c>
      <c r="AR496" s="36">
        <v>45261</v>
      </c>
      <c r="AS496" s="36"/>
      <c r="AT496" s="36">
        <v>45184</v>
      </c>
      <c r="AU496" s="36">
        <v>45275</v>
      </c>
      <c r="AV496" s="38"/>
      <c r="AW496" s="40" t="s">
        <v>49</v>
      </c>
    </row>
    <row r="497" spans="1:49" s="34" customFormat="1" ht="124.8" x14ac:dyDescent="0.3">
      <c r="A497" s="35" t="s">
        <v>2991</v>
      </c>
      <c r="B497" s="36">
        <v>45041</v>
      </c>
      <c r="C497" s="37">
        <v>1416</v>
      </c>
      <c r="D497" s="39" t="s">
        <v>2992</v>
      </c>
      <c r="E497" s="1" t="s">
        <v>2993</v>
      </c>
      <c r="F497" s="36">
        <v>45062</v>
      </c>
      <c r="G497" s="37" t="s">
        <v>2994</v>
      </c>
      <c r="H497" s="40" t="s">
        <v>858</v>
      </c>
      <c r="I497" s="40" t="s">
        <v>460</v>
      </c>
      <c r="J497" s="41">
        <v>150947977.59999999</v>
      </c>
      <c r="K497" s="41">
        <v>150947977.59999999</v>
      </c>
      <c r="L497" s="30">
        <f t="shared" si="89"/>
        <v>150947977.59999999</v>
      </c>
      <c r="M497" s="30">
        <f t="shared" si="85"/>
        <v>150947977.59999999</v>
      </c>
      <c r="N497" s="40" t="s">
        <v>2995</v>
      </c>
      <c r="O497" s="40" t="s">
        <v>2996</v>
      </c>
      <c r="P497" s="40" t="s">
        <v>47</v>
      </c>
      <c r="Q497" s="44">
        <v>100</v>
      </c>
      <c r="R497" s="37">
        <v>0</v>
      </c>
      <c r="S497" s="37" t="s">
        <v>219</v>
      </c>
      <c r="T497" s="48">
        <v>28</v>
      </c>
      <c r="U497" s="30">
        <f>M497/W497</f>
        <v>258.39999999999998</v>
      </c>
      <c r="V497" s="41">
        <f t="shared" si="88"/>
        <v>7235.1999999999989</v>
      </c>
      <c r="W497" s="41">
        <f t="shared" si="90"/>
        <v>584164</v>
      </c>
      <c r="X497" s="41">
        <f t="shared" si="91"/>
        <v>584164</v>
      </c>
      <c r="Y497" s="41">
        <v>476</v>
      </c>
      <c r="Z497" s="41">
        <f t="shared" si="92"/>
        <v>122998.39999999999</v>
      </c>
      <c r="AA497" s="41">
        <v>583688</v>
      </c>
      <c r="AB497" s="41">
        <f t="shared" si="93"/>
        <v>150824979.19999999</v>
      </c>
      <c r="AC497" s="41">
        <f t="shared" si="94"/>
        <v>0</v>
      </c>
      <c r="AD497" s="41">
        <v>0</v>
      </c>
      <c r="AE497" s="41">
        <f t="shared" si="95"/>
        <v>0</v>
      </c>
      <c r="AF497" s="41">
        <v>0</v>
      </c>
      <c r="AG497" s="41">
        <f t="shared" si="96"/>
        <v>0</v>
      </c>
      <c r="AH497" s="41">
        <f t="shared" si="97"/>
        <v>0</v>
      </c>
      <c r="AI497" s="41">
        <v>0</v>
      </c>
      <c r="AJ497" s="41">
        <v>0</v>
      </c>
      <c r="AK497" s="41">
        <v>0</v>
      </c>
      <c r="AL497" s="41">
        <v>0</v>
      </c>
      <c r="AM497" s="41">
        <f t="shared" si="98"/>
        <v>122998.39999999999</v>
      </c>
      <c r="AN497" s="41">
        <f t="shared" si="86"/>
        <v>20863</v>
      </c>
      <c r="AO497" s="41">
        <f t="shared" si="87"/>
        <v>20863</v>
      </c>
      <c r="AP497" s="40"/>
      <c r="AQ497" s="36">
        <v>45092</v>
      </c>
      <c r="AR497" s="36"/>
      <c r="AS497" s="36"/>
      <c r="AT497" s="36">
        <v>45107</v>
      </c>
      <c r="AU497" s="36"/>
      <c r="AV497" s="38"/>
      <c r="AW497" s="40" t="s">
        <v>87</v>
      </c>
    </row>
    <row r="498" spans="1:49" s="34" customFormat="1" ht="124.8" x14ac:dyDescent="0.3">
      <c r="A498" s="35" t="s">
        <v>2997</v>
      </c>
      <c r="B498" s="36">
        <v>45041</v>
      </c>
      <c r="C498" s="37">
        <v>1416</v>
      </c>
      <c r="D498" s="39" t="s">
        <v>2998</v>
      </c>
      <c r="E498" s="1" t="s">
        <v>2999</v>
      </c>
      <c r="F498" s="36">
        <v>45062</v>
      </c>
      <c r="G498" s="37" t="s">
        <v>3000</v>
      </c>
      <c r="H498" s="40" t="s">
        <v>858</v>
      </c>
      <c r="I498" s="40" t="s">
        <v>388</v>
      </c>
      <c r="J498" s="41">
        <v>169452340.25999999</v>
      </c>
      <c r="K498" s="41">
        <v>169452340.25999999</v>
      </c>
      <c r="L498" s="30">
        <f t="shared" si="89"/>
        <v>169452340.25999999</v>
      </c>
      <c r="M498" s="30">
        <f t="shared" si="85"/>
        <v>169452340.25999999</v>
      </c>
      <c r="N498" s="40" t="s">
        <v>2995</v>
      </c>
      <c r="O498" s="40" t="s">
        <v>3001</v>
      </c>
      <c r="P498" s="40" t="s">
        <v>47</v>
      </c>
      <c r="Q498" s="44">
        <v>100</v>
      </c>
      <c r="R498" s="37">
        <v>0</v>
      </c>
      <c r="S498" s="37" t="s">
        <v>219</v>
      </c>
      <c r="T498" s="48">
        <v>6</v>
      </c>
      <c r="U498" s="30">
        <f>M498/W498</f>
        <v>516.79</v>
      </c>
      <c r="V498" s="41">
        <f t="shared" si="88"/>
        <v>3100.74</v>
      </c>
      <c r="W498" s="41">
        <f t="shared" si="90"/>
        <v>327894</v>
      </c>
      <c r="X498" s="41">
        <f t="shared" si="91"/>
        <v>327894</v>
      </c>
      <c r="Y498" s="41">
        <v>534</v>
      </c>
      <c r="Z498" s="41">
        <f t="shared" si="92"/>
        <v>275965.86</v>
      </c>
      <c r="AA498" s="41">
        <v>327360</v>
      </c>
      <c r="AB498" s="41">
        <f t="shared" si="93"/>
        <v>169176374.39999998</v>
      </c>
      <c r="AC498" s="41">
        <f t="shared" si="94"/>
        <v>0</v>
      </c>
      <c r="AD498" s="41">
        <v>0</v>
      </c>
      <c r="AE498" s="41">
        <f t="shared" si="95"/>
        <v>0</v>
      </c>
      <c r="AF498" s="41">
        <v>0</v>
      </c>
      <c r="AG498" s="41">
        <f t="shared" si="96"/>
        <v>0</v>
      </c>
      <c r="AH498" s="41">
        <f t="shared" si="97"/>
        <v>0</v>
      </c>
      <c r="AI498" s="41">
        <v>0</v>
      </c>
      <c r="AJ498" s="41">
        <v>0</v>
      </c>
      <c r="AK498" s="41">
        <v>0</v>
      </c>
      <c r="AL498" s="41">
        <v>0</v>
      </c>
      <c r="AM498" s="41">
        <f t="shared" si="98"/>
        <v>275965.86</v>
      </c>
      <c r="AN498" s="41">
        <f t="shared" si="86"/>
        <v>54649</v>
      </c>
      <c r="AO498" s="41">
        <f t="shared" si="87"/>
        <v>54649</v>
      </c>
      <c r="AP498" s="40"/>
      <c r="AQ498" s="36">
        <v>45092</v>
      </c>
      <c r="AR498" s="36"/>
      <c r="AS498" s="36"/>
      <c r="AT498" s="36">
        <v>45107</v>
      </c>
      <c r="AU498" s="36"/>
      <c r="AV498" s="38"/>
      <c r="AW498" s="40" t="s">
        <v>87</v>
      </c>
    </row>
    <row r="499" spans="1:49" s="34" customFormat="1" ht="110.4" customHeight="1" x14ac:dyDescent="0.3">
      <c r="A499" s="35" t="s">
        <v>3002</v>
      </c>
      <c r="B499" s="36">
        <v>45041</v>
      </c>
      <c r="C499" s="37">
        <v>1416</v>
      </c>
      <c r="D499" s="39" t="s">
        <v>3003</v>
      </c>
      <c r="E499" s="1" t="s">
        <v>3004</v>
      </c>
      <c r="F499" s="36">
        <v>45069</v>
      </c>
      <c r="G499" s="37" t="s">
        <v>3005</v>
      </c>
      <c r="H499" s="40" t="s">
        <v>224</v>
      </c>
      <c r="I499" s="40" t="s">
        <v>3006</v>
      </c>
      <c r="J499" s="41">
        <v>351390960</v>
      </c>
      <c r="K499" s="41">
        <v>351390960</v>
      </c>
      <c r="L499" s="30">
        <v>372053760</v>
      </c>
      <c r="M499" s="30">
        <f t="shared" si="85"/>
        <v>372053760</v>
      </c>
      <c r="N499" s="40" t="s">
        <v>780</v>
      </c>
      <c r="O499" s="40" t="s">
        <v>2679</v>
      </c>
      <c r="P499" s="40" t="s">
        <v>218</v>
      </c>
      <c r="Q499" s="44">
        <v>0</v>
      </c>
      <c r="R499" s="37">
        <v>100</v>
      </c>
      <c r="S499" s="37" t="s">
        <v>229</v>
      </c>
      <c r="T499" s="48">
        <v>2400</v>
      </c>
      <c r="U499" s="30">
        <f>M499/W499</f>
        <v>12.85</v>
      </c>
      <c r="V499" s="41">
        <f t="shared" si="88"/>
        <v>30840</v>
      </c>
      <c r="W499" s="41">
        <f t="shared" si="90"/>
        <v>28953600</v>
      </c>
      <c r="X499" s="41">
        <f t="shared" si="91"/>
        <v>17613600</v>
      </c>
      <c r="Y499" s="41">
        <v>4608000</v>
      </c>
      <c r="Z499" s="41">
        <f t="shared" si="92"/>
        <v>59212800</v>
      </c>
      <c r="AA499" s="41">
        <v>13005600</v>
      </c>
      <c r="AB499" s="41">
        <f t="shared" si="93"/>
        <v>167121960</v>
      </c>
      <c r="AC499" s="41">
        <f t="shared" si="94"/>
        <v>11340000</v>
      </c>
      <c r="AD499" s="41">
        <f>2460000+1608000</f>
        <v>4068000</v>
      </c>
      <c r="AE499" s="41">
        <f t="shared" si="95"/>
        <v>52273800</v>
      </c>
      <c r="AF499" s="41">
        <v>7272000</v>
      </c>
      <c r="AG499" s="41">
        <f t="shared" si="96"/>
        <v>93445200</v>
      </c>
      <c r="AH499" s="41">
        <f t="shared" si="97"/>
        <v>0</v>
      </c>
      <c r="AI499" s="41">
        <v>0</v>
      </c>
      <c r="AJ499" s="41">
        <v>0</v>
      </c>
      <c r="AK499" s="41">
        <v>0</v>
      </c>
      <c r="AL499" s="41">
        <v>0</v>
      </c>
      <c r="AM499" s="41">
        <f t="shared" si="98"/>
        <v>111486600</v>
      </c>
      <c r="AN499" s="41">
        <f t="shared" si="86"/>
        <v>12064</v>
      </c>
      <c r="AO499" s="41">
        <f t="shared" si="87"/>
        <v>12064</v>
      </c>
      <c r="AP499" s="40"/>
      <c r="AQ499" s="36">
        <v>45092</v>
      </c>
      <c r="AR499" s="36">
        <v>45199</v>
      </c>
      <c r="AS499" s="36"/>
      <c r="AT499" s="36">
        <v>45107</v>
      </c>
      <c r="AU499" s="36">
        <v>45214</v>
      </c>
      <c r="AV499" s="38"/>
      <c r="AW499" s="40" t="s">
        <v>75</v>
      </c>
    </row>
    <row r="500" spans="1:49" s="34" customFormat="1" ht="72" x14ac:dyDescent="0.3">
      <c r="A500" s="35" t="s">
        <v>3007</v>
      </c>
      <c r="B500" s="36">
        <v>45041</v>
      </c>
      <c r="C500" s="37">
        <v>1416</v>
      </c>
      <c r="D500" s="39" t="s">
        <v>3008</v>
      </c>
      <c r="E500" s="1" t="s">
        <v>3009</v>
      </c>
      <c r="F500" s="36">
        <v>45072</v>
      </c>
      <c r="G500" s="37" t="s">
        <v>3010</v>
      </c>
      <c r="H500" s="40" t="s">
        <v>186</v>
      </c>
      <c r="I500" s="40" t="s">
        <v>811</v>
      </c>
      <c r="J500" s="41">
        <v>1783240479</v>
      </c>
      <c r="K500" s="41">
        <v>1783240479</v>
      </c>
      <c r="L500" s="30">
        <f t="shared" si="89"/>
        <v>1783240479</v>
      </c>
      <c r="M500" s="30">
        <f t="shared" si="85"/>
        <v>1783240479</v>
      </c>
      <c r="N500" s="40" t="s">
        <v>812</v>
      </c>
      <c r="O500" s="40" t="s">
        <v>813</v>
      </c>
      <c r="P500" s="40" t="s">
        <v>47</v>
      </c>
      <c r="Q500" s="44">
        <v>100</v>
      </c>
      <c r="R500" s="37">
        <v>0</v>
      </c>
      <c r="S500" s="37" t="s">
        <v>219</v>
      </c>
      <c r="T500" s="48">
        <v>30</v>
      </c>
      <c r="U500" s="30">
        <f>M500/W500</f>
        <v>9102.81</v>
      </c>
      <c r="V500" s="41">
        <f t="shared" si="88"/>
        <v>273084.3</v>
      </c>
      <c r="W500" s="41">
        <f t="shared" si="90"/>
        <v>195900</v>
      </c>
      <c r="X500" s="41">
        <f t="shared" si="91"/>
        <v>95100</v>
      </c>
      <c r="Y500" s="41">
        <v>33870</v>
      </c>
      <c r="Z500" s="41">
        <f t="shared" si="92"/>
        <v>308312174.69999999</v>
      </c>
      <c r="AA500" s="41">
        <v>61230</v>
      </c>
      <c r="AB500" s="41">
        <f t="shared" si="93"/>
        <v>557365056.29999995</v>
      </c>
      <c r="AC500" s="41">
        <f t="shared" si="94"/>
        <v>100800</v>
      </c>
      <c r="AD500" s="41">
        <v>33000</v>
      </c>
      <c r="AE500" s="41">
        <f t="shared" si="95"/>
        <v>300392730</v>
      </c>
      <c r="AF500" s="41">
        <v>67800</v>
      </c>
      <c r="AG500" s="41">
        <f t="shared" si="96"/>
        <v>617170518</v>
      </c>
      <c r="AH500" s="41">
        <f t="shared" si="97"/>
        <v>0</v>
      </c>
      <c r="AI500" s="41">
        <v>0</v>
      </c>
      <c r="AJ500" s="41">
        <v>0</v>
      </c>
      <c r="AK500" s="41">
        <v>0</v>
      </c>
      <c r="AL500" s="41">
        <v>0</v>
      </c>
      <c r="AM500" s="41">
        <f t="shared" si="98"/>
        <v>608704904.70000005</v>
      </c>
      <c r="AN500" s="41">
        <f t="shared" si="86"/>
        <v>6530</v>
      </c>
      <c r="AO500" s="41">
        <f t="shared" si="87"/>
        <v>6530</v>
      </c>
      <c r="AP500" s="40"/>
      <c r="AQ500" s="36">
        <v>45092</v>
      </c>
      <c r="AR500" s="36">
        <v>45200</v>
      </c>
      <c r="AS500" s="36"/>
      <c r="AT500" s="36">
        <v>45107</v>
      </c>
      <c r="AU500" s="36">
        <v>45214</v>
      </c>
      <c r="AV500" s="38"/>
      <c r="AW500" s="40" t="s">
        <v>75</v>
      </c>
    </row>
    <row r="501" spans="1:49" s="34" customFormat="1" ht="72" x14ac:dyDescent="0.3">
      <c r="A501" s="35" t="s">
        <v>3011</v>
      </c>
      <c r="B501" s="36">
        <v>45042</v>
      </c>
      <c r="C501" s="37">
        <v>1416</v>
      </c>
      <c r="D501" s="39" t="s">
        <v>3012</v>
      </c>
      <c r="E501" s="1" t="s">
        <v>3013</v>
      </c>
      <c r="F501" s="36">
        <v>45072</v>
      </c>
      <c r="G501" s="37" t="s">
        <v>3014</v>
      </c>
      <c r="H501" s="40" t="s">
        <v>563</v>
      </c>
      <c r="I501" s="40" t="s">
        <v>3015</v>
      </c>
      <c r="J501" s="41">
        <v>96113539.200000003</v>
      </c>
      <c r="K501" s="41">
        <v>1922030.88</v>
      </c>
      <c r="L501" s="30">
        <f t="shared" si="89"/>
        <v>1922030.88</v>
      </c>
      <c r="M501" s="30">
        <f t="shared" si="85"/>
        <v>1922030.88</v>
      </c>
      <c r="N501" s="40" t="s">
        <v>565</v>
      </c>
      <c r="O501" s="40" t="s">
        <v>3016</v>
      </c>
      <c r="P501" s="40" t="s">
        <v>47</v>
      </c>
      <c r="Q501" s="44">
        <v>100</v>
      </c>
      <c r="R501" s="37">
        <v>0</v>
      </c>
      <c r="S501" s="37" t="s">
        <v>1964</v>
      </c>
      <c r="T501" s="48">
        <v>21</v>
      </c>
      <c r="U501" s="30">
        <f>M501/W501</f>
        <v>48.07</v>
      </c>
      <c r="V501" s="41">
        <f t="shared" si="88"/>
        <v>1009.47</v>
      </c>
      <c r="W501" s="41">
        <f t="shared" si="90"/>
        <v>39984</v>
      </c>
      <c r="X501" s="41">
        <f t="shared" si="91"/>
        <v>19992</v>
      </c>
      <c r="Y501" s="41">
        <v>63</v>
      </c>
      <c r="Z501" s="41">
        <f t="shared" si="92"/>
        <v>3028.41</v>
      </c>
      <c r="AA501" s="41">
        <v>19929</v>
      </c>
      <c r="AB501" s="41">
        <f t="shared" si="93"/>
        <v>957987.03</v>
      </c>
      <c r="AC501" s="41">
        <f t="shared" si="94"/>
        <v>19992</v>
      </c>
      <c r="AD501" s="41">
        <v>63</v>
      </c>
      <c r="AE501" s="41">
        <f t="shared" si="95"/>
        <v>3028.41</v>
      </c>
      <c r="AF501" s="41">
        <v>19929</v>
      </c>
      <c r="AG501" s="41">
        <f t="shared" si="96"/>
        <v>957987.03</v>
      </c>
      <c r="AH501" s="41">
        <f t="shared" si="97"/>
        <v>0</v>
      </c>
      <c r="AI501" s="41">
        <v>0</v>
      </c>
      <c r="AJ501" s="41">
        <v>0</v>
      </c>
      <c r="AK501" s="41">
        <v>0</v>
      </c>
      <c r="AL501" s="41">
        <v>0</v>
      </c>
      <c r="AM501" s="41">
        <f t="shared" si="98"/>
        <v>6056.82</v>
      </c>
      <c r="AN501" s="41">
        <f t="shared" si="86"/>
        <v>1904</v>
      </c>
      <c r="AO501" s="41">
        <f t="shared" si="87"/>
        <v>1904</v>
      </c>
      <c r="AP501" s="40"/>
      <c r="AQ501" s="36">
        <v>45092</v>
      </c>
      <c r="AR501" s="36">
        <v>45170</v>
      </c>
      <c r="AS501" s="36"/>
      <c r="AT501" s="36">
        <v>45107</v>
      </c>
      <c r="AU501" s="36">
        <v>45184</v>
      </c>
      <c r="AV501" s="38"/>
      <c r="AW501" s="40" t="s">
        <v>49</v>
      </c>
    </row>
    <row r="502" spans="1:49" s="34" customFormat="1" ht="78" customHeight="1" x14ac:dyDescent="0.3">
      <c r="A502" s="35" t="s">
        <v>3017</v>
      </c>
      <c r="B502" s="36">
        <v>45042</v>
      </c>
      <c r="C502" s="37">
        <v>545</v>
      </c>
      <c r="D502" s="39" t="s">
        <v>3018</v>
      </c>
      <c r="E502" s="1" t="s">
        <v>3019</v>
      </c>
      <c r="F502" s="36">
        <v>45063</v>
      </c>
      <c r="G502" s="37" t="s">
        <v>3020</v>
      </c>
      <c r="H502" s="40" t="s">
        <v>1392</v>
      </c>
      <c r="I502" s="40" t="s">
        <v>1479</v>
      </c>
      <c r="J502" s="41">
        <v>17720120</v>
      </c>
      <c r="K502" s="41">
        <v>17720120</v>
      </c>
      <c r="L502" s="30">
        <f t="shared" si="89"/>
        <v>17720120</v>
      </c>
      <c r="M502" s="30">
        <f t="shared" si="85"/>
        <v>17720120</v>
      </c>
      <c r="N502" s="40" t="s">
        <v>3021</v>
      </c>
      <c r="O502" s="40" t="s">
        <v>3022</v>
      </c>
      <c r="P502" s="40" t="s">
        <v>218</v>
      </c>
      <c r="Q502" s="44">
        <v>0</v>
      </c>
      <c r="R502" s="37">
        <v>100</v>
      </c>
      <c r="S502" s="37" t="s">
        <v>219</v>
      </c>
      <c r="T502" s="48">
        <v>2</v>
      </c>
      <c r="U502" s="30">
        <f>M502/W502</f>
        <v>521180</v>
      </c>
      <c r="V502" s="41">
        <f t="shared" si="88"/>
        <v>1042360</v>
      </c>
      <c r="W502" s="41">
        <f t="shared" si="90"/>
        <v>34</v>
      </c>
      <c r="X502" s="41">
        <v>34</v>
      </c>
      <c r="Y502" s="41">
        <v>0</v>
      </c>
      <c r="Z502" s="41">
        <f t="shared" si="92"/>
        <v>0</v>
      </c>
      <c r="AA502" s="41">
        <v>0</v>
      </c>
      <c r="AB502" s="41">
        <f t="shared" si="93"/>
        <v>0</v>
      </c>
      <c r="AC502" s="41">
        <f t="shared" si="94"/>
        <v>0</v>
      </c>
      <c r="AD502" s="41">
        <v>0</v>
      </c>
      <c r="AE502" s="41">
        <f t="shared" si="95"/>
        <v>0</v>
      </c>
      <c r="AF502" s="41">
        <v>0</v>
      </c>
      <c r="AG502" s="41">
        <f t="shared" si="96"/>
        <v>0</v>
      </c>
      <c r="AH502" s="41">
        <f t="shared" si="97"/>
        <v>0</v>
      </c>
      <c r="AI502" s="41">
        <v>0</v>
      </c>
      <c r="AJ502" s="41">
        <v>0</v>
      </c>
      <c r="AK502" s="41">
        <v>0</v>
      </c>
      <c r="AL502" s="41">
        <v>0</v>
      </c>
      <c r="AM502" s="41">
        <f t="shared" si="98"/>
        <v>0</v>
      </c>
      <c r="AN502" s="41">
        <f t="shared" si="86"/>
        <v>17</v>
      </c>
      <c r="AO502" s="41">
        <f t="shared" si="87"/>
        <v>17</v>
      </c>
      <c r="AP502" s="40"/>
      <c r="AQ502" s="36">
        <v>45078</v>
      </c>
      <c r="AR502" s="36"/>
      <c r="AS502" s="36"/>
      <c r="AT502" s="36">
        <v>45092</v>
      </c>
      <c r="AU502" s="36"/>
      <c r="AV502" s="38"/>
      <c r="AW502" s="40" t="s">
        <v>87</v>
      </c>
    </row>
    <row r="503" spans="1:49" s="34" customFormat="1" ht="35.4" customHeight="1" x14ac:dyDescent="0.3">
      <c r="A503" s="35" t="s">
        <v>3023</v>
      </c>
      <c r="B503" s="36">
        <v>45042</v>
      </c>
      <c r="C503" s="37">
        <v>1416</v>
      </c>
      <c r="D503" s="39" t="s">
        <v>3024</v>
      </c>
      <c r="E503" s="1" t="s">
        <v>3025</v>
      </c>
      <c r="F503" s="36">
        <v>45076</v>
      </c>
      <c r="G503" s="37" t="s">
        <v>3026</v>
      </c>
      <c r="H503" s="40" t="s">
        <v>571</v>
      </c>
      <c r="I503" s="40" t="s">
        <v>3027</v>
      </c>
      <c r="J503" s="41">
        <v>337937958.32999998</v>
      </c>
      <c r="K503" s="41">
        <v>192759156.87</v>
      </c>
      <c r="L503" s="30">
        <f t="shared" si="89"/>
        <v>192759156.87</v>
      </c>
      <c r="M503" s="30">
        <f t="shared" si="85"/>
        <v>192759156.87</v>
      </c>
      <c r="N503" s="40" t="s">
        <v>3028</v>
      </c>
      <c r="O503" s="40" t="s">
        <v>3029</v>
      </c>
      <c r="P503" s="40" t="s">
        <v>47</v>
      </c>
      <c r="Q503" s="44">
        <v>100</v>
      </c>
      <c r="R503" s="37">
        <v>0</v>
      </c>
      <c r="S503" s="37" t="s">
        <v>1964</v>
      </c>
      <c r="T503" s="48">
        <v>21</v>
      </c>
      <c r="U503" s="30">
        <f>M503/W503</f>
        <v>2056.69</v>
      </c>
      <c r="V503" s="41">
        <f t="shared" si="88"/>
        <v>43190.49</v>
      </c>
      <c r="W503" s="41">
        <f t="shared" si="90"/>
        <v>93723</v>
      </c>
      <c r="X503" s="41">
        <f t="shared" si="91"/>
        <v>0</v>
      </c>
      <c r="Y503" s="41">
        <v>0</v>
      </c>
      <c r="Z503" s="41">
        <f t="shared" si="92"/>
        <v>0</v>
      </c>
      <c r="AA503" s="41">
        <v>0</v>
      </c>
      <c r="AB503" s="41">
        <f t="shared" si="93"/>
        <v>0</v>
      </c>
      <c r="AC503" s="41">
        <f t="shared" si="94"/>
        <v>46872</v>
      </c>
      <c r="AD503" s="41">
        <v>0</v>
      </c>
      <c r="AE503" s="41">
        <f t="shared" si="95"/>
        <v>0</v>
      </c>
      <c r="AF503" s="41">
        <v>46872</v>
      </c>
      <c r="AG503" s="41">
        <f t="shared" si="96"/>
        <v>96401173.680000007</v>
      </c>
      <c r="AH503" s="41">
        <f t="shared" si="97"/>
        <v>46851</v>
      </c>
      <c r="AI503" s="41">
        <v>0</v>
      </c>
      <c r="AJ503" s="41">
        <v>0</v>
      </c>
      <c r="AK503" s="41">
        <v>46851</v>
      </c>
      <c r="AL503" s="41">
        <v>0</v>
      </c>
      <c r="AM503" s="41">
        <f t="shared" si="98"/>
        <v>0</v>
      </c>
      <c r="AN503" s="41">
        <f t="shared" si="86"/>
        <v>4463</v>
      </c>
      <c r="AO503" s="41">
        <f t="shared" si="87"/>
        <v>4463</v>
      </c>
      <c r="AP503" s="40"/>
      <c r="AQ503" s="36">
        <v>45092</v>
      </c>
      <c r="AR503" s="36">
        <v>45170</v>
      </c>
      <c r="AS503" s="36"/>
      <c r="AT503" s="36">
        <v>45107</v>
      </c>
      <c r="AU503" s="36">
        <v>45184</v>
      </c>
      <c r="AV503" s="38"/>
      <c r="AW503" s="40" t="s">
        <v>49</v>
      </c>
    </row>
    <row r="504" spans="1:49" s="34" customFormat="1" ht="52.5" customHeight="1" x14ac:dyDescent="0.3">
      <c r="A504" s="35" t="s">
        <v>3030</v>
      </c>
      <c r="B504" s="36">
        <v>45042</v>
      </c>
      <c r="C504" s="37">
        <v>545</v>
      </c>
      <c r="D504" s="39" t="s">
        <v>459</v>
      </c>
      <c r="E504" s="1" t="s">
        <v>3031</v>
      </c>
      <c r="F504" s="36" t="s">
        <v>459</v>
      </c>
      <c r="G504" s="37" t="s">
        <v>459</v>
      </c>
      <c r="H504" s="40" t="s">
        <v>459</v>
      </c>
      <c r="I504" s="40" t="s">
        <v>1427</v>
      </c>
      <c r="J504" s="41">
        <v>864072</v>
      </c>
      <c r="K504" s="41">
        <v>0</v>
      </c>
      <c r="L504" s="30">
        <f t="shared" si="89"/>
        <v>0</v>
      </c>
      <c r="M504" s="30">
        <f t="shared" si="85"/>
        <v>0</v>
      </c>
      <c r="N504" s="40"/>
      <c r="O504" s="40"/>
      <c r="P504" s="40"/>
      <c r="Q504" s="44"/>
      <c r="R504" s="37"/>
      <c r="S504" s="37"/>
      <c r="T504" s="48"/>
      <c r="U504" s="30" t="e">
        <f>M504/W504</f>
        <v>#DIV/0!</v>
      </c>
      <c r="V504" s="41" t="e">
        <f t="shared" si="88"/>
        <v>#DIV/0!</v>
      </c>
      <c r="W504" s="41">
        <f t="shared" si="90"/>
        <v>0</v>
      </c>
      <c r="X504" s="41">
        <f t="shared" si="91"/>
        <v>0</v>
      </c>
      <c r="Y504" s="41">
        <v>0</v>
      </c>
      <c r="Z504" s="41" t="e">
        <f t="shared" si="92"/>
        <v>#DIV/0!</v>
      </c>
      <c r="AA504" s="41">
        <v>0</v>
      </c>
      <c r="AB504" s="41" t="e">
        <f t="shared" si="93"/>
        <v>#DIV/0!</v>
      </c>
      <c r="AC504" s="41">
        <f t="shared" si="94"/>
        <v>0</v>
      </c>
      <c r="AD504" s="41">
        <v>0</v>
      </c>
      <c r="AE504" s="41" t="e">
        <f t="shared" si="95"/>
        <v>#DIV/0!</v>
      </c>
      <c r="AF504" s="41">
        <v>0</v>
      </c>
      <c r="AG504" s="41" t="e">
        <f t="shared" si="96"/>
        <v>#DIV/0!</v>
      </c>
      <c r="AH504" s="41">
        <f t="shared" si="97"/>
        <v>0</v>
      </c>
      <c r="AI504" s="41">
        <v>0</v>
      </c>
      <c r="AJ504" s="41">
        <v>0</v>
      </c>
      <c r="AK504" s="41">
        <v>0</v>
      </c>
      <c r="AL504" s="41">
        <v>0</v>
      </c>
      <c r="AM504" s="41" t="e">
        <f t="shared" si="98"/>
        <v>#DIV/0!</v>
      </c>
      <c r="AN504" s="41" t="e">
        <f t="shared" si="86"/>
        <v>#DIV/0!</v>
      </c>
      <c r="AO504" s="41" t="e">
        <f t="shared" si="87"/>
        <v>#DIV/0!</v>
      </c>
      <c r="AP504" s="40"/>
      <c r="AQ504" s="36">
        <v>45078</v>
      </c>
      <c r="AR504" s="36"/>
      <c r="AS504" s="36"/>
      <c r="AT504" s="36"/>
      <c r="AU504" s="36"/>
      <c r="AV504" s="38"/>
      <c r="AW504" s="40"/>
    </row>
    <row r="505" spans="1:49" s="34" customFormat="1" ht="37.200000000000003" customHeight="1" x14ac:dyDescent="0.3">
      <c r="A505" s="35" t="s">
        <v>3032</v>
      </c>
      <c r="B505" s="36">
        <v>45042</v>
      </c>
      <c r="C505" s="37">
        <v>1416</v>
      </c>
      <c r="D505" s="39" t="s">
        <v>3033</v>
      </c>
      <c r="E505" s="1" t="s">
        <v>3034</v>
      </c>
      <c r="F505" s="36">
        <v>45064</v>
      </c>
      <c r="G505" s="37" t="s">
        <v>3035</v>
      </c>
      <c r="H505" s="40" t="s">
        <v>571</v>
      </c>
      <c r="I505" s="40" t="s">
        <v>3036</v>
      </c>
      <c r="J505" s="41">
        <v>8581566</v>
      </c>
      <c r="K505" s="41">
        <v>8538654.5999999996</v>
      </c>
      <c r="L505" s="30">
        <f t="shared" si="89"/>
        <v>8538654.5999999996</v>
      </c>
      <c r="M505" s="30">
        <f t="shared" si="85"/>
        <v>8538654.5999999996</v>
      </c>
      <c r="N505" s="40" t="s">
        <v>3028</v>
      </c>
      <c r="O505" s="40" t="s">
        <v>3037</v>
      </c>
      <c r="P505" s="40" t="s">
        <v>47</v>
      </c>
      <c r="Q505" s="44">
        <v>100</v>
      </c>
      <c r="R505" s="37">
        <v>0</v>
      </c>
      <c r="S505" s="37" t="s">
        <v>1964</v>
      </c>
      <c r="T505" s="48">
        <v>21</v>
      </c>
      <c r="U505" s="30">
        <f>M505/W505</f>
        <v>1195.8899999999999</v>
      </c>
      <c r="V505" s="41">
        <f t="shared" si="88"/>
        <v>25113.69</v>
      </c>
      <c r="W505" s="41">
        <f t="shared" si="90"/>
        <v>7140</v>
      </c>
      <c r="X505" s="41">
        <f t="shared" si="91"/>
        <v>7140</v>
      </c>
      <c r="Y505" s="41">
        <v>0</v>
      </c>
      <c r="Z505" s="41">
        <f t="shared" si="92"/>
        <v>0</v>
      </c>
      <c r="AA505" s="41">
        <v>7140</v>
      </c>
      <c r="AB505" s="41">
        <f t="shared" si="93"/>
        <v>8538654.5999999996</v>
      </c>
      <c r="AC505" s="41">
        <f t="shared" si="94"/>
        <v>0</v>
      </c>
      <c r="AD505" s="41">
        <v>0</v>
      </c>
      <c r="AE505" s="41">
        <f t="shared" si="95"/>
        <v>0</v>
      </c>
      <c r="AF505" s="41">
        <v>0</v>
      </c>
      <c r="AG505" s="41">
        <f t="shared" si="96"/>
        <v>0</v>
      </c>
      <c r="AH505" s="41">
        <f t="shared" si="97"/>
        <v>0</v>
      </c>
      <c r="AI505" s="41">
        <v>0</v>
      </c>
      <c r="AJ505" s="41">
        <v>0</v>
      </c>
      <c r="AK505" s="41">
        <v>0</v>
      </c>
      <c r="AL505" s="41">
        <v>0</v>
      </c>
      <c r="AM505" s="41">
        <f t="shared" si="98"/>
        <v>0</v>
      </c>
      <c r="AN505" s="41">
        <f t="shared" si="86"/>
        <v>340</v>
      </c>
      <c r="AO505" s="41">
        <f t="shared" si="87"/>
        <v>340</v>
      </c>
      <c r="AP505" s="40"/>
      <c r="AQ505" s="36">
        <v>45092</v>
      </c>
      <c r="AR505" s="36"/>
      <c r="AS505" s="36"/>
      <c r="AT505" s="36">
        <v>45107</v>
      </c>
      <c r="AU505" s="36"/>
      <c r="AV505" s="38"/>
      <c r="AW505" s="40" t="s">
        <v>49</v>
      </c>
    </row>
    <row r="506" spans="1:49" s="34" customFormat="1" ht="67.5" customHeight="1" x14ac:dyDescent="0.3">
      <c r="A506" s="35" t="s">
        <v>3038</v>
      </c>
      <c r="B506" s="36">
        <v>45042</v>
      </c>
      <c r="C506" s="37" t="s">
        <v>2077</v>
      </c>
      <c r="D506" s="39" t="s">
        <v>3039</v>
      </c>
      <c r="E506" s="1" t="s">
        <v>3040</v>
      </c>
      <c r="F506" s="36">
        <v>45069</v>
      </c>
      <c r="G506" s="37" t="s">
        <v>3041</v>
      </c>
      <c r="H506" s="40" t="s">
        <v>571</v>
      </c>
      <c r="I506" s="40" t="s">
        <v>2493</v>
      </c>
      <c r="J506" s="41">
        <v>36780625.799999997</v>
      </c>
      <c r="K506" s="41">
        <v>36780625.799999997</v>
      </c>
      <c r="L506" s="30">
        <v>38065947.799999997</v>
      </c>
      <c r="M506" s="30">
        <f t="shared" si="85"/>
        <v>38065947.799999997</v>
      </c>
      <c r="N506" s="40" t="s">
        <v>3042</v>
      </c>
      <c r="O506" s="40" t="s">
        <v>3043</v>
      </c>
      <c r="P506" s="40" t="s">
        <v>47</v>
      </c>
      <c r="Q506" s="44">
        <v>100</v>
      </c>
      <c r="R506" s="37">
        <v>0</v>
      </c>
      <c r="S506" s="37" t="s">
        <v>1964</v>
      </c>
      <c r="T506" s="48">
        <v>50</v>
      </c>
      <c r="U506" s="30">
        <f>M506/W506</f>
        <v>6.1999999999999993</v>
      </c>
      <c r="V506" s="41">
        <f t="shared" si="88"/>
        <v>309.99999999999994</v>
      </c>
      <c r="W506" s="41">
        <f t="shared" si="90"/>
        <v>6139669</v>
      </c>
      <c r="X506" s="41">
        <f>5932359+207310</f>
        <v>6139669</v>
      </c>
      <c r="Y506" s="41">
        <v>0</v>
      </c>
      <c r="Z506" s="41">
        <f t="shared" si="92"/>
        <v>0</v>
      </c>
      <c r="AA506" s="41">
        <v>0</v>
      </c>
      <c r="AB506" s="41">
        <f t="shared" si="93"/>
        <v>0</v>
      </c>
      <c r="AC506" s="41">
        <f t="shared" si="94"/>
        <v>0</v>
      </c>
      <c r="AD506" s="41">
        <v>0</v>
      </c>
      <c r="AE506" s="41">
        <f t="shared" si="95"/>
        <v>0</v>
      </c>
      <c r="AF506" s="41">
        <v>0</v>
      </c>
      <c r="AG506" s="41">
        <f t="shared" si="96"/>
        <v>0</v>
      </c>
      <c r="AH506" s="41">
        <f t="shared" si="97"/>
        <v>0</v>
      </c>
      <c r="AI506" s="41">
        <v>0</v>
      </c>
      <c r="AJ506" s="41">
        <v>0</v>
      </c>
      <c r="AK506" s="41">
        <v>0</v>
      </c>
      <c r="AL506" s="41">
        <v>0</v>
      </c>
      <c r="AM506" s="41">
        <f t="shared" si="98"/>
        <v>0</v>
      </c>
      <c r="AN506" s="41">
        <f t="shared" si="86"/>
        <v>122793.38</v>
      </c>
      <c r="AO506" s="41">
        <f t="shared" si="87"/>
        <v>122794</v>
      </c>
      <c r="AP506" s="40"/>
      <c r="AQ506" s="36">
        <v>45139</v>
      </c>
      <c r="AR506" s="36"/>
      <c r="AS506" s="36"/>
      <c r="AT506" s="36">
        <v>45153</v>
      </c>
      <c r="AU506" s="36"/>
      <c r="AV506" s="38"/>
      <c r="AW506" s="40" t="s">
        <v>49</v>
      </c>
    </row>
    <row r="507" spans="1:49" s="34" customFormat="1" ht="47.4" customHeight="1" x14ac:dyDescent="0.3">
      <c r="A507" s="35" t="s">
        <v>3044</v>
      </c>
      <c r="B507" s="36">
        <v>45042</v>
      </c>
      <c r="C507" s="37">
        <v>1416</v>
      </c>
      <c r="D507" s="39" t="s">
        <v>3045</v>
      </c>
      <c r="E507" s="1" t="s">
        <v>3046</v>
      </c>
      <c r="F507" s="36">
        <v>45070</v>
      </c>
      <c r="G507" s="37" t="s">
        <v>3047</v>
      </c>
      <c r="H507" s="40" t="s">
        <v>186</v>
      </c>
      <c r="I507" s="40" t="s">
        <v>3048</v>
      </c>
      <c r="J507" s="41">
        <v>36232880</v>
      </c>
      <c r="K507" s="41">
        <v>36232880</v>
      </c>
      <c r="L507" s="30">
        <f t="shared" si="89"/>
        <v>36232880</v>
      </c>
      <c r="M507" s="30">
        <f t="shared" si="89"/>
        <v>36232880</v>
      </c>
      <c r="N507" s="40" t="s">
        <v>325</v>
      </c>
      <c r="O507" s="40" t="s">
        <v>3049</v>
      </c>
      <c r="P507" s="40" t="s">
        <v>47</v>
      </c>
      <c r="Q507" s="44">
        <v>100</v>
      </c>
      <c r="R507" s="37">
        <v>0</v>
      </c>
      <c r="S507" s="37" t="s">
        <v>229</v>
      </c>
      <c r="T507" s="48">
        <v>500</v>
      </c>
      <c r="U507" s="30">
        <f>M507/W507</f>
        <v>12.52</v>
      </c>
      <c r="V507" s="41">
        <f t="shared" si="88"/>
        <v>6260</v>
      </c>
      <c r="W507" s="41">
        <f t="shared" si="90"/>
        <v>2894000</v>
      </c>
      <c r="X507" s="41">
        <f t="shared" si="91"/>
        <v>2894000</v>
      </c>
      <c r="Y507" s="41">
        <v>175000</v>
      </c>
      <c r="Z507" s="41">
        <f t="shared" si="92"/>
        <v>2191000</v>
      </c>
      <c r="AA507" s="41">
        <v>2719000</v>
      </c>
      <c r="AB507" s="41">
        <f t="shared" si="93"/>
        <v>34041880</v>
      </c>
      <c r="AC507" s="41">
        <f t="shared" si="94"/>
        <v>0</v>
      </c>
      <c r="AD507" s="41">
        <v>0</v>
      </c>
      <c r="AE507" s="41">
        <f t="shared" si="95"/>
        <v>0</v>
      </c>
      <c r="AF507" s="41">
        <v>0</v>
      </c>
      <c r="AG507" s="41">
        <f t="shared" si="96"/>
        <v>0</v>
      </c>
      <c r="AH507" s="41">
        <f t="shared" si="97"/>
        <v>0</v>
      </c>
      <c r="AI507" s="41">
        <v>0</v>
      </c>
      <c r="AJ507" s="41">
        <v>0</v>
      </c>
      <c r="AK507" s="41">
        <v>0</v>
      </c>
      <c r="AL507" s="41">
        <v>0</v>
      </c>
      <c r="AM507" s="41">
        <f t="shared" si="98"/>
        <v>2191000</v>
      </c>
      <c r="AN507" s="41">
        <f t="shared" si="86"/>
        <v>5788</v>
      </c>
      <c r="AO507" s="41">
        <f t="shared" si="87"/>
        <v>5788</v>
      </c>
      <c r="AP507" s="40"/>
      <c r="AQ507" s="36">
        <v>45158</v>
      </c>
      <c r="AR507" s="36"/>
      <c r="AS507" s="36"/>
      <c r="AT507" s="36">
        <v>45174</v>
      </c>
      <c r="AU507" s="36"/>
      <c r="AV507" s="38"/>
      <c r="AW507" s="40" t="s">
        <v>49</v>
      </c>
    </row>
    <row r="508" spans="1:49" s="34" customFormat="1" ht="70.95" customHeight="1" x14ac:dyDescent="0.3">
      <c r="A508" s="35" t="s">
        <v>3050</v>
      </c>
      <c r="B508" s="36">
        <v>45042</v>
      </c>
      <c r="C508" s="37">
        <v>1416</v>
      </c>
      <c r="D508" s="39" t="s">
        <v>3051</v>
      </c>
      <c r="E508" s="1" t="s">
        <v>3052</v>
      </c>
      <c r="F508" s="36">
        <v>45072</v>
      </c>
      <c r="G508" s="37" t="s">
        <v>3053</v>
      </c>
      <c r="H508" s="40" t="s">
        <v>353</v>
      </c>
      <c r="I508" s="40" t="s">
        <v>3054</v>
      </c>
      <c r="J508" s="41">
        <v>1139906001.0799999</v>
      </c>
      <c r="K508" s="41">
        <v>1139906001.0799999</v>
      </c>
      <c r="L508" s="30">
        <f t="shared" ref="L508:M556" si="99">K508</f>
        <v>1139906001.0799999</v>
      </c>
      <c r="M508" s="30">
        <f t="shared" si="99"/>
        <v>1139906001.0799999</v>
      </c>
      <c r="N508" s="40" t="s">
        <v>355</v>
      </c>
      <c r="O508" s="40" t="s">
        <v>356</v>
      </c>
      <c r="P508" s="40" t="s">
        <v>357</v>
      </c>
      <c r="Q508" s="44">
        <v>0</v>
      </c>
      <c r="R508" s="37">
        <v>100</v>
      </c>
      <c r="S508" s="37" t="s">
        <v>219</v>
      </c>
      <c r="T508" s="67">
        <v>0.7</v>
      </c>
      <c r="U508" s="30">
        <f>M508/W508</f>
        <v>263842.7</v>
      </c>
      <c r="V508" s="41">
        <f t="shared" si="88"/>
        <v>184689.88999999998</v>
      </c>
      <c r="W508" s="41">
        <f t="shared" si="90"/>
        <v>4320.3999999999996</v>
      </c>
      <c r="X508" s="41">
        <f t="shared" si="91"/>
        <v>2012.5</v>
      </c>
      <c r="Y508" s="41">
        <v>1089.2</v>
      </c>
      <c r="Z508" s="41">
        <f t="shared" si="92"/>
        <v>287377468.84000003</v>
      </c>
      <c r="AA508" s="41">
        <v>923.3</v>
      </c>
      <c r="AB508" s="41">
        <f t="shared" si="93"/>
        <v>243605964.91</v>
      </c>
      <c r="AC508" s="41">
        <f t="shared" si="94"/>
        <v>2307.8999999999996</v>
      </c>
      <c r="AD508" s="41">
        <v>1216.5999999999999</v>
      </c>
      <c r="AE508" s="41">
        <f t="shared" si="95"/>
        <v>320991028.81999999</v>
      </c>
      <c r="AF508" s="41">
        <v>1091.3</v>
      </c>
      <c r="AG508" s="41">
        <f t="shared" si="96"/>
        <v>287931538.50999999</v>
      </c>
      <c r="AH508" s="41">
        <f t="shared" si="97"/>
        <v>0</v>
      </c>
      <c r="AI508" s="41">
        <v>0</v>
      </c>
      <c r="AJ508" s="41">
        <v>0</v>
      </c>
      <c r="AK508" s="41">
        <v>0</v>
      </c>
      <c r="AL508" s="41">
        <v>0</v>
      </c>
      <c r="AM508" s="41">
        <f t="shared" si="98"/>
        <v>608368497.66000009</v>
      </c>
      <c r="AN508" s="41">
        <f t="shared" ref="AN508:AN556" si="100">W508/T508</f>
        <v>6172</v>
      </c>
      <c r="AO508" s="41">
        <f t="shared" ref="AO508:AO556" si="101">_xlfn.CEILING.MATH(AN508)</f>
        <v>6172</v>
      </c>
      <c r="AP508" s="40"/>
      <c r="AQ508" s="36">
        <v>45092</v>
      </c>
      <c r="AR508" s="36">
        <v>45139</v>
      </c>
      <c r="AS508" s="36"/>
      <c r="AT508" s="36">
        <v>45107</v>
      </c>
      <c r="AU508" s="36">
        <v>45153</v>
      </c>
      <c r="AV508" s="38"/>
      <c r="AW508" s="40" t="s">
        <v>75</v>
      </c>
    </row>
    <row r="509" spans="1:49" s="34" customFormat="1" ht="61.2" customHeight="1" x14ac:dyDescent="0.3">
      <c r="A509" s="35" t="s">
        <v>3055</v>
      </c>
      <c r="B509" s="36">
        <v>45042</v>
      </c>
      <c r="C509" s="37" t="s">
        <v>2077</v>
      </c>
      <c r="D509" s="39" t="s">
        <v>3056</v>
      </c>
      <c r="E509" s="1" t="s">
        <v>3057</v>
      </c>
      <c r="F509" s="36">
        <v>45064</v>
      </c>
      <c r="G509" s="37" t="s">
        <v>3058</v>
      </c>
      <c r="H509" s="40" t="s">
        <v>2089</v>
      </c>
      <c r="I509" s="40" t="s">
        <v>3059</v>
      </c>
      <c r="J509" s="41">
        <v>64361880</v>
      </c>
      <c r="K509" s="41">
        <v>64361880</v>
      </c>
      <c r="L509" s="30">
        <f t="shared" si="99"/>
        <v>64361880</v>
      </c>
      <c r="M509" s="30">
        <f t="shared" si="99"/>
        <v>64361880</v>
      </c>
      <c r="N509" s="40" t="s">
        <v>3060</v>
      </c>
      <c r="O509" s="40" t="s">
        <v>3061</v>
      </c>
      <c r="P509" s="40" t="s">
        <v>47</v>
      </c>
      <c r="Q509" s="44">
        <v>100</v>
      </c>
      <c r="R509" s="37">
        <v>0</v>
      </c>
      <c r="S509" s="37" t="s">
        <v>1489</v>
      </c>
      <c r="T509" s="54" t="s">
        <v>3062</v>
      </c>
      <c r="U509" s="30">
        <f>M509/W509</f>
        <v>180</v>
      </c>
      <c r="V509" s="41" t="e">
        <f t="shared" ref="V509:V561" si="102">U509*T509</f>
        <v>#VALUE!</v>
      </c>
      <c r="W509" s="41">
        <f t="shared" si="90"/>
        <v>357566</v>
      </c>
      <c r="X509" s="41">
        <v>357566</v>
      </c>
      <c r="Y509" s="41">
        <v>0</v>
      </c>
      <c r="Z509" s="41">
        <f>Y509*U509</f>
        <v>0</v>
      </c>
      <c r="AA509" s="41">
        <v>0</v>
      </c>
      <c r="AB509" s="41">
        <f t="shared" si="93"/>
        <v>0</v>
      </c>
      <c r="AC509" s="41">
        <f t="shared" si="94"/>
        <v>0</v>
      </c>
      <c r="AD509" s="41">
        <v>0</v>
      </c>
      <c r="AE509" s="41">
        <f t="shared" si="95"/>
        <v>0</v>
      </c>
      <c r="AF509" s="41">
        <v>0</v>
      </c>
      <c r="AG509" s="41">
        <f t="shared" si="96"/>
        <v>0</v>
      </c>
      <c r="AH509" s="41">
        <f t="shared" si="97"/>
        <v>0</v>
      </c>
      <c r="AI509" s="41">
        <v>0</v>
      </c>
      <c r="AJ509" s="41">
        <v>0</v>
      </c>
      <c r="AK509" s="41">
        <v>0</v>
      </c>
      <c r="AL509" s="41">
        <v>0</v>
      </c>
      <c r="AM509" s="41">
        <f t="shared" si="98"/>
        <v>0</v>
      </c>
      <c r="AN509" s="41" t="e">
        <f t="shared" si="100"/>
        <v>#VALUE!</v>
      </c>
      <c r="AO509" s="41" t="e">
        <f t="shared" si="101"/>
        <v>#VALUE!</v>
      </c>
      <c r="AP509" s="40"/>
      <c r="AQ509" s="36">
        <v>45108</v>
      </c>
      <c r="AR509" s="36"/>
      <c r="AS509" s="36"/>
      <c r="AT509" s="36">
        <v>45122</v>
      </c>
      <c r="AU509" s="36"/>
      <c r="AV509" s="38"/>
      <c r="AW509" s="40" t="s">
        <v>49</v>
      </c>
    </row>
    <row r="510" spans="1:49" s="34" customFormat="1" ht="72" x14ac:dyDescent="0.3">
      <c r="A510" s="35" t="s">
        <v>3063</v>
      </c>
      <c r="B510" s="36">
        <v>45042</v>
      </c>
      <c r="C510" s="37">
        <v>1416</v>
      </c>
      <c r="D510" s="39" t="s">
        <v>3064</v>
      </c>
      <c r="E510" s="1" t="s">
        <v>3065</v>
      </c>
      <c r="F510" s="36">
        <v>45069</v>
      </c>
      <c r="G510" s="37" t="s">
        <v>3066</v>
      </c>
      <c r="H510" s="40" t="s">
        <v>344</v>
      </c>
      <c r="I510" s="40" t="s">
        <v>3067</v>
      </c>
      <c r="J510" s="41">
        <v>50656238.600000001</v>
      </c>
      <c r="K510" s="41">
        <v>50656238.600000001</v>
      </c>
      <c r="L510" s="30">
        <f t="shared" si="99"/>
        <v>50656238.600000001</v>
      </c>
      <c r="M510" s="30">
        <f t="shared" si="99"/>
        <v>50656238.600000001</v>
      </c>
      <c r="N510" s="40" t="s">
        <v>3068</v>
      </c>
      <c r="O510" s="40" t="s">
        <v>3069</v>
      </c>
      <c r="P510" s="40" t="s">
        <v>348</v>
      </c>
      <c r="Q510" s="44">
        <v>0</v>
      </c>
      <c r="R510" s="37">
        <v>100</v>
      </c>
      <c r="S510" s="37" t="s">
        <v>219</v>
      </c>
      <c r="T510" s="48">
        <v>5</v>
      </c>
      <c r="U510" s="30">
        <f>M510/W510</f>
        <v>3559.82</v>
      </c>
      <c r="V510" s="41">
        <f t="shared" si="102"/>
        <v>17799.100000000002</v>
      </c>
      <c r="W510" s="41">
        <f t="shared" si="90"/>
        <v>14230</v>
      </c>
      <c r="X510" s="41">
        <f t="shared" si="91"/>
        <v>14230</v>
      </c>
      <c r="Y510" s="41">
        <v>0</v>
      </c>
      <c r="Z510" s="41">
        <f t="shared" si="92"/>
        <v>0</v>
      </c>
      <c r="AA510" s="41">
        <v>14230</v>
      </c>
      <c r="AB510" s="41">
        <f t="shared" si="93"/>
        <v>50656238.600000001</v>
      </c>
      <c r="AC510" s="41">
        <f t="shared" si="94"/>
        <v>0</v>
      </c>
      <c r="AD510" s="41">
        <v>0</v>
      </c>
      <c r="AE510" s="41">
        <f t="shared" si="95"/>
        <v>0</v>
      </c>
      <c r="AF510" s="41">
        <v>0</v>
      </c>
      <c r="AG510" s="41">
        <f t="shared" si="96"/>
        <v>0</v>
      </c>
      <c r="AH510" s="41">
        <f t="shared" si="97"/>
        <v>0</v>
      </c>
      <c r="AI510" s="41">
        <v>0</v>
      </c>
      <c r="AJ510" s="41">
        <v>0</v>
      </c>
      <c r="AK510" s="41">
        <v>0</v>
      </c>
      <c r="AL510" s="41">
        <v>0</v>
      </c>
      <c r="AM510" s="41">
        <f t="shared" si="98"/>
        <v>0</v>
      </c>
      <c r="AN510" s="41">
        <f t="shared" si="100"/>
        <v>2846</v>
      </c>
      <c r="AO510" s="41">
        <f t="shared" si="101"/>
        <v>2846</v>
      </c>
      <c r="AP510" s="40"/>
      <c r="AQ510" s="36">
        <v>45148</v>
      </c>
      <c r="AR510" s="36"/>
      <c r="AS510" s="36"/>
      <c r="AT510" s="36">
        <v>45163</v>
      </c>
      <c r="AU510" s="36"/>
      <c r="AV510" s="38"/>
      <c r="AW510" s="40" t="s">
        <v>49</v>
      </c>
    </row>
    <row r="511" spans="1:49" s="34" customFormat="1" ht="46.95" customHeight="1" x14ac:dyDescent="0.3">
      <c r="A511" s="35" t="s">
        <v>3070</v>
      </c>
      <c r="B511" s="36">
        <v>45044</v>
      </c>
      <c r="C511" s="37">
        <v>1416</v>
      </c>
      <c r="D511" s="39" t="s">
        <v>3071</v>
      </c>
      <c r="E511" s="1" t="s">
        <v>3072</v>
      </c>
      <c r="F511" s="36">
        <v>45072</v>
      </c>
      <c r="G511" s="37" t="s">
        <v>3073</v>
      </c>
      <c r="H511" s="40" t="s">
        <v>186</v>
      </c>
      <c r="I511" s="40" t="s">
        <v>3074</v>
      </c>
      <c r="J511" s="41">
        <v>75021450</v>
      </c>
      <c r="K511" s="41">
        <v>75021450</v>
      </c>
      <c r="L511" s="30">
        <v>78887130</v>
      </c>
      <c r="M511" s="30">
        <f t="shared" si="99"/>
        <v>78887130</v>
      </c>
      <c r="N511" s="40" t="s">
        <v>325</v>
      </c>
      <c r="O511" s="40" t="s">
        <v>3075</v>
      </c>
      <c r="P511" s="40" t="s">
        <v>47</v>
      </c>
      <c r="Q511" s="44">
        <v>100</v>
      </c>
      <c r="R511" s="37">
        <v>0</v>
      </c>
      <c r="S511" s="37" t="s">
        <v>229</v>
      </c>
      <c r="T511" s="48">
        <v>1000</v>
      </c>
      <c r="U511" s="30">
        <f>M511/W511</f>
        <v>12.39</v>
      </c>
      <c r="V511" s="41">
        <f t="shared" si="102"/>
        <v>12390</v>
      </c>
      <c r="W511" s="41">
        <f t="shared" si="90"/>
        <v>6367000</v>
      </c>
      <c r="X511" s="41">
        <f t="shared" si="91"/>
        <v>6367000</v>
      </c>
      <c r="Y511" s="41">
        <v>404000</v>
      </c>
      <c r="Z511" s="41">
        <f t="shared" si="92"/>
        <v>5005560</v>
      </c>
      <c r="AA511" s="41">
        <v>5963000</v>
      </c>
      <c r="AB511" s="41">
        <f t="shared" si="93"/>
        <v>73881570</v>
      </c>
      <c r="AC511" s="41">
        <f t="shared" si="94"/>
        <v>0</v>
      </c>
      <c r="AD511" s="41">
        <v>0</v>
      </c>
      <c r="AE511" s="41">
        <f t="shared" si="95"/>
        <v>0</v>
      </c>
      <c r="AF511" s="41">
        <v>0</v>
      </c>
      <c r="AG511" s="41">
        <f t="shared" si="96"/>
        <v>0</v>
      </c>
      <c r="AH511" s="41">
        <f t="shared" si="97"/>
        <v>0</v>
      </c>
      <c r="AI511" s="41">
        <v>0</v>
      </c>
      <c r="AJ511" s="41">
        <v>0</v>
      </c>
      <c r="AK511" s="41">
        <v>0</v>
      </c>
      <c r="AL511" s="41">
        <v>0</v>
      </c>
      <c r="AM511" s="41">
        <f t="shared" si="98"/>
        <v>5005560</v>
      </c>
      <c r="AN511" s="41">
        <f t="shared" si="100"/>
        <v>6367</v>
      </c>
      <c r="AO511" s="41">
        <f t="shared" si="101"/>
        <v>6367</v>
      </c>
      <c r="AP511" s="40"/>
      <c r="AQ511" s="36">
        <v>45158</v>
      </c>
      <c r="AR511" s="36"/>
      <c r="AS511" s="36"/>
      <c r="AT511" s="36">
        <v>45174</v>
      </c>
      <c r="AU511" s="36"/>
      <c r="AV511" s="38"/>
      <c r="AW511" s="40" t="s">
        <v>49</v>
      </c>
    </row>
    <row r="512" spans="1:49" s="34" customFormat="1" ht="94.5" customHeight="1" x14ac:dyDescent="0.3">
      <c r="A512" s="35" t="s">
        <v>3076</v>
      </c>
      <c r="B512" s="36">
        <v>45044</v>
      </c>
      <c r="C512" s="37">
        <v>1416</v>
      </c>
      <c r="D512" s="39" t="s">
        <v>3077</v>
      </c>
      <c r="E512" s="1" t="s">
        <v>3078</v>
      </c>
      <c r="F512" s="36">
        <v>45072</v>
      </c>
      <c r="G512" s="37" t="s">
        <v>3079</v>
      </c>
      <c r="H512" s="40" t="s">
        <v>186</v>
      </c>
      <c r="I512" s="40" t="s">
        <v>3080</v>
      </c>
      <c r="J512" s="41">
        <v>18978960</v>
      </c>
      <c r="K512" s="41">
        <v>18978960</v>
      </c>
      <c r="L512" s="30">
        <f>K512</f>
        <v>18978960</v>
      </c>
      <c r="M512" s="30">
        <f t="shared" si="99"/>
        <v>18978960</v>
      </c>
      <c r="N512" s="40" t="s">
        <v>325</v>
      </c>
      <c r="O512" s="40" t="s">
        <v>3081</v>
      </c>
      <c r="P512" s="40" t="s">
        <v>47</v>
      </c>
      <c r="Q512" s="44">
        <v>100</v>
      </c>
      <c r="R512" s="37">
        <v>0</v>
      </c>
      <c r="S512" s="37" t="s">
        <v>229</v>
      </c>
      <c r="T512" s="48">
        <v>2000</v>
      </c>
      <c r="U512" s="30">
        <f>M512/W512</f>
        <v>11.06</v>
      </c>
      <c r="V512" s="41">
        <f t="shared" si="102"/>
        <v>22120</v>
      </c>
      <c r="W512" s="41">
        <f t="shared" si="90"/>
        <v>1716000</v>
      </c>
      <c r="X512" s="41">
        <f t="shared" si="91"/>
        <v>1716000</v>
      </c>
      <c r="Y512" s="41">
        <v>48000</v>
      </c>
      <c r="Z512" s="41">
        <f t="shared" si="92"/>
        <v>530880</v>
      </c>
      <c r="AA512" s="41">
        <v>1668000</v>
      </c>
      <c r="AB512" s="41">
        <f t="shared" si="93"/>
        <v>18448080</v>
      </c>
      <c r="AC512" s="41">
        <f t="shared" si="94"/>
        <v>0</v>
      </c>
      <c r="AD512" s="41">
        <v>0</v>
      </c>
      <c r="AE512" s="41">
        <f t="shared" si="95"/>
        <v>0</v>
      </c>
      <c r="AF512" s="41">
        <v>0</v>
      </c>
      <c r="AG512" s="41">
        <f t="shared" si="96"/>
        <v>0</v>
      </c>
      <c r="AH512" s="41">
        <f t="shared" si="97"/>
        <v>0</v>
      </c>
      <c r="AI512" s="41">
        <v>0</v>
      </c>
      <c r="AJ512" s="41">
        <v>0</v>
      </c>
      <c r="AK512" s="41">
        <v>0</v>
      </c>
      <c r="AL512" s="41">
        <v>0</v>
      </c>
      <c r="AM512" s="41">
        <f t="shared" si="98"/>
        <v>530880</v>
      </c>
      <c r="AN512" s="41">
        <f t="shared" si="100"/>
        <v>858</v>
      </c>
      <c r="AO512" s="41">
        <f t="shared" si="101"/>
        <v>858</v>
      </c>
      <c r="AP512" s="40"/>
      <c r="AQ512" s="36">
        <v>45158</v>
      </c>
      <c r="AR512" s="36"/>
      <c r="AS512" s="36"/>
      <c r="AT512" s="36">
        <v>45174</v>
      </c>
      <c r="AU512" s="36"/>
      <c r="AV512" s="38"/>
      <c r="AW512" s="40" t="s">
        <v>49</v>
      </c>
    </row>
    <row r="513" spans="1:49" s="34" customFormat="1" ht="49.5" customHeight="1" x14ac:dyDescent="0.3">
      <c r="A513" s="35" t="s">
        <v>3082</v>
      </c>
      <c r="B513" s="36">
        <v>45044</v>
      </c>
      <c r="C513" s="37">
        <v>1688</v>
      </c>
      <c r="D513" s="39" t="s">
        <v>3083</v>
      </c>
      <c r="E513" s="1" t="s">
        <v>3084</v>
      </c>
      <c r="F513" s="36">
        <v>45072</v>
      </c>
      <c r="G513" s="37" t="s">
        <v>3085</v>
      </c>
      <c r="H513" s="40" t="s">
        <v>344</v>
      </c>
      <c r="I513" s="40" t="s">
        <v>3086</v>
      </c>
      <c r="J513" s="41">
        <v>6205835185.9200001</v>
      </c>
      <c r="K513" s="41">
        <v>3102917592.96</v>
      </c>
      <c r="L513" s="30">
        <f>K513</f>
        <v>3102917592.96</v>
      </c>
      <c r="M513" s="30">
        <v>6205835185.9200001</v>
      </c>
      <c r="N513" s="40" t="s">
        <v>3087</v>
      </c>
      <c r="O513" s="40" t="s">
        <v>3088</v>
      </c>
      <c r="P513" s="40" t="s">
        <v>2478</v>
      </c>
      <c r="Q513" s="44">
        <v>0</v>
      </c>
      <c r="R513" s="37">
        <v>100</v>
      </c>
      <c r="S513" s="37" t="s">
        <v>48</v>
      </c>
      <c r="T513" s="48">
        <v>1</v>
      </c>
      <c r="U513" s="30">
        <f>M513/W513</f>
        <v>1137.6600000000001</v>
      </c>
      <c r="V513" s="41">
        <f t="shared" si="102"/>
        <v>1137.6600000000001</v>
      </c>
      <c r="W513" s="41">
        <f t="shared" si="90"/>
        <v>5454912</v>
      </c>
      <c r="X513" s="41">
        <v>2055847</v>
      </c>
      <c r="Y513" s="41">
        <v>0</v>
      </c>
      <c r="Z513" s="41">
        <f t="shared" si="92"/>
        <v>0</v>
      </c>
      <c r="AA513" s="41">
        <v>0</v>
      </c>
      <c r="AB513" s="41">
        <f t="shared" si="93"/>
        <v>0</v>
      </c>
      <c r="AC513" s="41">
        <v>671609</v>
      </c>
      <c r="AD513" s="41">
        <v>0</v>
      </c>
      <c r="AE513" s="41">
        <f t="shared" si="95"/>
        <v>0</v>
      </c>
      <c r="AF513" s="41">
        <v>0</v>
      </c>
      <c r="AG513" s="41">
        <f t="shared" si="96"/>
        <v>0</v>
      </c>
      <c r="AH513" s="41">
        <v>2727456</v>
      </c>
      <c r="AI513" s="41">
        <v>0</v>
      </c>
      <c r="AJ513" s="41">
        <v>0</v>
      </c>
      <c r="AK513" s="41">
        <v>0</v>
      </c>
      <c r="AL513" s="41">
        <v>0</v>
      </c>
      <c r="AM513" s="41">
        <f t="shared" si="98"/>
        <v>0</v>
      </c>
      <c r="AN513" s="41">
        <f t="shared" si="100"/>
        <v>5454912</v>
      </c>
      <c r="AO513" s="41">
        <f t="shared" si="101"/>
        <v>5454912</v>
      </c>
      <c r="AP513" s="40"/>
      <c r="AQ513" s="36">
        <v>45107</v>
      </c>
      <c r="AR513" s="36">
        <v>45214</v>
      </c>
      <c r="AS513" s="36">
        <v>45323</v>
      </c>
      <c r="AT513" s="36">
        <v>45122</v>
      </c>
      <c r="AU513" s="36">
        <v>45229</v>
      </c>
      <c r="AV513" s="38">
        <v>45337</v>
      </c>
      <c r="AW513" s="40" t="s">
        <v>49</v>
      </c>
    </row>
    <row r="514" spans="1:49" s="34" customFormat="1" ht="49.5" customHeight="1" x14ac:dyDescent="0.3">
      <c r="A514" s="35" t="s">
        <v>3089</v>
      </c>
      <c r="B514" s="38">
        <v>45048</v>
      </c>
      <c r="C514" s="40">
        <v>1416</v>
      </c>
      <c r="D514" s="39" t="s">
        <v>3090</v>
      </c>
      <c r="E514" s="1" t="s">
        <v>3091</v>
      </c>
      <c r="F514" s="36">
        <v>45069</v>
      </c>
      <c r="G514" s="37" t="s">
        <v>3092</v>
      </c>
      <c r="H514" s="40" t="s">
        <v>177</v>
      </c>
      <c r="I514" s="40" t="s">
        <v>298</v>
      </c>
      <c r="J514" s="57">
        <v>5021290</v>
      </c>
      <c r="K514" s="41">
        <v>5021290</v>
      </c>
      <c r="L514" s="30">
        <f>K514</f>
        <v>5021290</v>
      </c>
      <c r="M514" s="30">
        <f t="shared" si="99"/>
        <v>5021290</v>
      </c>
      <c r="N514" s="40" t="s">
        <v>299</v>
      </c>
      <c r="O514" s="40" t="s">
        <v>3093</v>
      </c>
      <c r="P514" s="40" t="s">
        <v>199</v>
      </c>
      <c r="Q514" s="44">
        <v>0</v>
      </c>
      <c r="R514" s="37">
        <v>100</v>
      </c>
      <c r="S514" s="37" t="s">
        <v>1964</v>
      </c>
      <c r="T514" s="48">
        <v>50</v>
      </c>
      <c r="U514" s="30">
        <f>M514/W514</f>
        <v>295.37</v>
      </c>
      <c r="V514" s="41">
        <f t="shared" si="102"/>
        <v>14768.5</v>
      </c>
      <c r="W514" s="41">
        <f t="shared" si="90"/>
        <v>17000</v>
      </c>
      <c r="X514" s="41">
        <f t="shared" si="91"/>
        <v>17000</v>
      </c>
      <c r="Y514" s="41">
        <v>0</v>
      </c>
      <c r="Z514" s="41">
        <f t="shared" si="92"/>
        <v>0</v>
      </c>
      <c r="AA514" s="41">
        <v>17000</v>
      </c>
      <c r="AB514" s="41">
        <f t="shared" si="93"/>
        <v>5021290</v>
      </c>
      <c r="AC514" s="41">
        <f t="shared" si="94"/>
        <v>0</v>
      </c>
      <c r="AD514" s="41">
        <v>0</v>
      </c>
      <c r="AE514" s="41">
        <f t="shared" si="95"/>
        <v>0</v>
      </c>
      <c r="AF514" s="41">
        <v>0</v>
      </c>
      <c r="AG514" s="41">
        <f t="shared" si="96"/>
        <v>0</v>
      </c>
      <c r="AH514" s="41">
        <f t="shared" si="97"/>
        <v>0</v>
      </c>
      <c r="AI514" s="41">
        <v>0</v>
      </c>
      <c r="AJ514" s="41">
        <v>0</v>
      </c>
      <c r="AK514" s="41">
        <v>0</v>
      </c>
      <c r="AL514" s="41">
        <v>0</v>
      </c>
      <c r="AM514" s="41">
        <f t="shared" si="98"/>
        <v>0</v>
      </c>
      <c r="AN514" s="41">
        <f t="shared" si="100"/>
        <v>340</v>
      </c>
      <c r="AO514" s="41">
        <f t="shared" si="101"/>
        <v>340</v>
      </c>
      <c r="AP514" s="40"/>
      <c r="AQ514" s="36">
        <v>45078</v>
      </c>
      <c r="AR514" s="36"/>
      <c r="AS514" s="36"/>
      <c r="AT514" s="36">
        <v>45092</v>
      </c>
      <c r="AU514" s="36"/>
      <c r="AV514" s="38"/>
      <c r="AW514" s="40" t="s">
        <v>87</v>
      </c>
    </row>
    <row r="515" spans="1:49" s="34" customFormat="1" ht="49.5" customHeight="1" x14ac:dyDescent="0.3">
      <c r="A515" s="35" t="s">
        <v>3094</v>
      </c>
      <c r="B515" s="38">
        <v>45048</v>
      </c>
      <c r="C515" s="40">
        <v>1416</v>
      </c>
      <c r="D515" s="39" t="s">
        <v>3095</v>
      </c>
      <c r="E515" s="1" t="s">
        <v>3096</v>
      </c>
      <c r="F515" s="36">
        <v>45069</v>
      </c>
      <c r="G515" s="37" t="s">
        <v>3097</v>
      </c>
      <c r="H515" s="40" t="s">
        <v>177</v>
      </c>
      <c r="I515" s="40" t="s">
        <v>2716</v>
      </c>
      <c r="J515" s="57">
        <v>10703947</v>
      </c>
      <c r="K515" s="41">
        <v>10703947</v>
      </c>
      <c r="L515" s="30">
        <v>11872515</v>
      </c>
      <c r="M515" s="30">
        <f t="shared" si="99"/>
        <v>11872515</v>
      </c>
      <c r="N515" s="40" t="s">
        <v>3098</v>
      </c>
      <c r="O515" s="40" t="s">
        <v>3099</v>
      </c>
      <c r="P515" s="40" t="s">
        <v>680</v>
      </c>
      <c r="Q515" s="44">
        <v>0</v>
      </c>
      <c r="R515" s="37">
        <v>100</v>
      </c>
      <c r="S515" s="37" t="s">
        <v>219</v>
      </c>
      <c r="T515" s="48">
        <v>50</v>
      </c>
      <c r="U515" s="30">
        <f>M515/W515</f>
        <v>67.94</v>
      </c>
      <c r="V515" s="41">
        <f t="shared" si="102"/>
        <v>3397</v>
      </c>
      <c r="W515" s="41">
        <f t="shared" si="90"/>
        <v>174750</v>
      </c>
      <c r="X515" s="41">
        <f t="shared" si="91"/>
        <v>36650</v>
      </c>
      <c r="Y515" s="41">
        <v>12100</v>
      </c>
      <c r="Z515" s="41">
        <f t="shared" si="92"/>
        <v>822074</v>
      </c>
      <c r="AA515" s="41">
        <v>24550</v>
      </c>
      <c r="AB515" s="41">
        <f t="shared" si="93"/>
        <v>1667927</v>
      </c>
      <c r="AC515" s="41">
        <f t="shared" si="94"/>
        <v>138100</v>
      </c>
      <c r="AD515" s="41">
        <f>40200+17200</f>
        <v>57400</v>
      </c>
      <c r="AE515" s="41">
        <f t="shared" si="95"/>
        <v>3899756</v>
      </c>
      <c r="AF515" s="41">
        <v>80700</v>
      </c>
      <c r="AG515" s="41">
        <f t="shared" si="96"/>
        <v>5482758</v>
      </c>
      <c r="AH515" s="41">
        <f t="shared" si="97"/>
        <v>0</v>
      </c>
      <c r="AI515" s="41">
        <v>0</v>
      </c>
      <c r="AJ515" s="41">
        <v>0</v>
      </c>
      <c r="AK515" s="41">
        <v>0</v>
      </c>
      <c r="AL515" s="41">
        <v>0</v>
      </c>
      <c r="AM515" s="41">
        <f t="shared" si="98"/>
        <v>4721830</v>
      </c>
      <c r="AN515" s="41">
        <f t="shared" si="100"/>
        <v>3495</v>
      </c>
      <c r="AO515" s="41">
        <f t="shared" si="101"/>
        <v>3495</v>
      </c>
      <c r="AP515" s="40"/>
      <c r="AQ515" s="36">
        <v>45092</v>
      </c>
      <c r="AR515" s="36">
        <v>45261</v>
      </c>
      <c r="AS515" s="36"/>
      <c r="AT515" s="36">
        <v>45107</v>
      </c>
      <c r="AU515" s="36">
        <v>45275</v>
      </c>
      <c r="AV515" s="38"/>
      <c r="AW515" s="40" t="s">
        <v>75</v>
      </c>
    </row>
    <row r="516" spans="1:49" s="34" customFormat="1" ht="49.5" customHeight="1" x14ac:dyDescent="0.3">
      <c r="A516" s="35" t="s">
        <v>3100</v>
      </c>
      <c r="B516" s="38">
        <v>45048</v>
      </c>
      <c r="C516" s="40">
        <v>1416</v>
      </c>
      <c r="D516" s="39" t="s">
        <v>3101</v>
      </c>
      <c r="E516" s="1" t="s">
        <v>3102</v>
      </c>
      <c r="F516" s="36">
        <v>45078</v>
      </c>
      <c r="G516" s="37" t="s">
        <v>3103</v>
      </c>
      <c r="H516" s="40" t="s">
        <v>353</v>
      </c>
      <c r="I516" s="40" t="s">
        <v>1004</v>
      </c>
      <c r="J516" s="57">
        <v>1007773576.92</v>
      </c>
      <c r="K516" s="41">
        <v>1007773576.92</v>
      </c>
      <c r="L516" s="30">
        <f t="shared" ref="L516:L521" si="103">K516</f>
        <v>1007773576.92</v>
      </c>
      <c r="M516" s="30">
        <f t="shared" si="99"/>
        <v>1007773576.92</v>
      </c>
      <c r="N516" s="40" t="s">
        <v>355</v>
      </c>
      <c r="O516" s="40" t="s">
        <v>1005</v>
      </c>
      <c r="P516" s="40" t="s">
        <v>357</v>
      </c>
      <c r="Q516" s="44">
        <v>0</v>
      </c>
      <c r="R516" s="37">
        <v>100</v>
      </c>
      <c r="S516" s="37" t="s">
        <v>219</v>
      </c>
      <c r="T516" s="67">
        <v>0.4</v>
      </c>
      <c r="U516" s="30">
        <f>M516/W516</f>
        <v>263842.7</v>
      </c>
      <c r="V516" s="41">
        <f t="shared" si="102"/>
        <v>105537.08000000002</v>
      </c>
      <c r="W516" s="41">
        <f t="shared" si="90"/>
        <v>3819.6</v>
      </c>
      <c r="X516" s="41">
        <f t="shared" si="91"/>
        <v>3140</v>
      </c>
      <c r="Y516" s="41">
        <v>2040.8</v>
      </c>
      <c r="Z516" s="41">
        <f t="shared" si="92"/>
        <v>538450182.15999997</v>
      </c>
      <c r="AA516" s="41">
        <v>1099.2</v>
      </c>
      <c r="AB516" s="41">
        <f t="shared" si="93"/>
        <v>290015895.84000003</v>
      </c>
      <c r="AC516" s="41">
        <f t="shared" si="94"/>
        <v>679.6</v>
      </c>
      <c r="AD516" s="41">
        <v>442</v>
      </c>
      <c r="AE516" s="41">
        <f t="shared" si="95"/>
        <v>116618473.40000001</v>
      </c>
      <c r="AF516" s="41">
        <v>237.6</v>
      </c>
      <c r="AG516" s="41">
        <f t="shared" si="96"/>
        <v>62689025.520000003</v>
      </c>
      <c r="AH516" s="41">
        <f t="shared" si="97"/>
        <v>0</v>
      </c>
      <c r="AI516" s="41">
        <v>0</v>
      </c>
      <c r="AJ516" s="41">
        <v>0</v>
      </c>
      <c r="AK516" s="41">
        <v>0</v>
      </c>
      <c r="AL516" s="41">
        <v>0</v>
      </c>
      <c r="AM516" s="41">
        <f t="shared" si="98"/>
        <v>655068655.55999994</v>
      </c>
      <c r="AN516" s="41">
        <f t="shared" si="100"/>
        <v>9549</v>
      </c>
      <c r="AO516" s="41">
        <f t="shared" si="101"/>
        <v>9549</v>
      </c>
      <c r="AP516" s="40"/>
      <c r="AQ516" s="36">
        <v>45092</v>
      </c>
      <c r="AR516" s="36">
        <v>45139</v>
      </c>
      <c r="AS516" s="36"/>
      <c r="AT516" s="36">
        <v>45107</v>
      </c>
      <c r="AU516" s="36">
        <v>45153</v>
      </c>
      <c r="AV516" s="38"/>
      <c r="AW516" s="40" t="s">
        <v>87</v>
      </c>
    </row>
    <row r="517" spans="1:49" s="34" customFormat="1" ht="42" customHeight="1" x14ac:dyDescent="0.3">
      <c r="A517" s="35" t="s">
        <v>3104</v>
      </c>
      <c r="B517" s="38">
        <v>45048</v>
      </c>
      <c r="C517" s="40">
        <v>545</v>
      </c>
      <c r="D517" s="39" t="s">
        <v>459</v>
      </c>
      <c r="E517" s="1" t="s">
        <v>3105</v>
      </c>
      <c r="F517" s="36" t="s">
        <v>459</v>
      </c>
      <c r="G517" s="37" t="s">
        <v>459</v>
      </c>
      <c r="H517" s="40" t="s">
        <v>459</v>
      </c>
      <c r="I517" s="40" t="s">
        <v>2554</v>
      </c>
      <c r="J517" s="57">
        <v>3882978</v>
      </c>
      <c r="K517" s="41">
        <v>0</v>
      </c>
      <c r="L517" s="30">
        <f t="shared" si="103"/>
        <v>0</v>
      </c>
      <c r="M517" s="30">
        <f t="shared" si="99"/>
        <v>0</v>
      </c>
      <c r="N517" s="40"/>
      <c r="O517" s="40"/>
      <c r="P517" s="40"/>
      <c r="Q517" s="44"/>
      <c r="R517" s="37"/>
      <c r="S517" s="37"/>
      <c r="T517" s="48"/>
      <c r="U517" s="30" t="e">
        <f>M517/W517</f>
        <v>#DIV/0!</v>
      </c>
      <c r="V517" s="41" t="e">
        <f t="shared" si="102"/>
        <v>#DIV/0!</v>
      </c>
      <c r="W517" s="41">
        <f t="shared" si="90"/>
        <v>0</v>
      </c>
      <c r="X517" s="41">
        <f t="shared" si="91"/>
        <v>0</v>
      </c>
      <c r="Y517" s="41">
        <v>0</v>
      </c>
      <c r="Z517" s="41" t="e">
        <f t="shared" si="92"/>
        <v>#DIV/0!</v>
      </c>
      <c r="AA517" s="41">
        <v>0</v>
      </c>
      <c r="AB517" s="41" t="e">
        <f t="shared" si="93"/>
        <v>#DIV/0!</v>
      </c>
      <c r="AC517" s="41">
        <f t="shared" si="94"/>
        <v>0</v>
      </c>
      <c r="AD517" s="41">
        <v>0</v>
      </c>
      <c r="AE517" s="41" t="e">
        <f t="shared" si="95"/>
        <v>#DIV/0!</v>
      </c>
      <c r="AF517" s="41">
        <v>0</v>
      </c>
      <c r="AG517" s="41" t="e">
        <f t="shared" si="96"/>
        <v>#DIV/0!</v>
      </c>
      <c r="AH517" s="41">
        <f t="shared" si="97"/>
        <v>0</v>
      </c>
      <c r="AI517" s="41">
        <v>0</v>
      </c>
      <c r="AJ517" s="41">
        <v>0</v>
      </c>
      <c r="AK517" s="41">
        <v>0</v>
      </c>
      <c r="AL517" s="41">
        <v>0</v>
      </c>
      <c r="AM517" s="41" t="e">
        <f t="shared" si="98"/>
        <v>#DIV/0!</v>
      </c>
      <c r="AN517" s="41" t="e">
        <f t="shared" si="100"/>
        <v>#DIV/0!</v>
      </c>
      <c r="AO517" s="41" t="e">
        <f t="shared" si="101"/>
        <v>#DIV/0!</v>
      </c>
      <c r="AP517" s="40"/>
      <c r="AQ517" s="36">
        <v>45078</v>
      </c>
      <c r="AR517" s="36"/>
      <c r="AS517" s="36"/>
      <c r="AT517" s="36"/>
      <c r="AU517" s="36"/>
      <c r="AV517" s="38"/>
      <c r="AW517" s="40"/>
    </row>
    <row r="518" spans="1:49" s="34" customFormat="1" ht="42" customHeight="1" x14ac:dyDescent="0.3">
      <c r="A518" s="35" t="s">
        <v>3106</v>
      </c>
      <c r="B518" s="38">
        <v>45048</v>
      </c>
      <c r="C518" s="40">
        <v>545</v>
      </c>
      <c r="D518" s="39" t="s">
        <v>459</v>
      </c>
      <c r="E518" s="1" t="s">
        <v>3107</v>
      </c>
      <c r="F518" s="36" t="s">
        <v>459</v>
      </c>
      <c r="G518" s="37" t="s">
        <v>459</v>
      </c>
      <c r="H518" s="40" t="s">
        <v>459</v>
      </c>
      <c r="I518" s="40" t="s">
        <v>1966</v>
      </c>
      <c r="J518" s="57">
        <v>3209904</v>
      </c>
      <c r="K518" s="41">
        <v>0</v>
      </c>
      <c r="L518" s="30">
        <f t="shared" si="103"/>
        <v>0</v>
      </c>
      <c r="M518" s="30">
        <f t="shared" si="99"/>
        <v>0</v>
      </c>
      <c r="N518" s="40"/>
      <c r="O518" s="40"/>
      <c r="P518" s="40"/>
      <c r="Q518" s="44"/>
      <c r="R518" s="37"/>
      <c r="S518" s="37"/>
      <c r="T518" s="48"/>
      <c r="U518" s="30" t="e">
        <f>M518/W518</f>
        <v>#DIV/0!</v>
      </c>
      <c r="V518" s="41" t="e">
        <f t="shared" si="102"/>
        <v>#DIV/0!</v>
      </c>
      <c r="W518" s="41">
        <f t="shared" si="90"/>
        <v>0</v>
      </c>
      <c r="X518" s="41">
        <f t="shared" si="91"/>
        <v>0</v>
      </c>
      <c r="Y518" s="41">
        <v>0</v>
      </c>
      <c r="Z518" s="41" t="e">
        <f t="shared" si="92"/>
        <v>#DIV/0!</v>
      </c>
      <c r="AA518" s="41">
        <v>0</v>
      </c>
      <c r="AB518" s="41" t="e">
        <f t="shared" si="93"/>
        <v>#DIV/0!</v>
      </c>
      <c r="AC518" s="41">
        <f t="shared" si="94"/>
        <v>0</v>
      </c>
      <c r="AD518" s="41">
        <v>0</v>
      </c>
      <c r="AE518" s="41" t="e">
        <f t="shared" si="95"/>
        <v>#DIV/0!</v>
      </c>
      <c r="AF518" s="41">
        <v>0</v>
      </c>
      <c r="AG518" s="41" t="e">
        <f t="shared" si="96"/>
        <v>#DIV/0!</v>
      </c>
      <c r="AH518" s="41">
        <f t="shared" si="97"/>
        <v>0</v>
      </c>
      <c r="AI518" s="41">
        <v>0</v>
      </c>
      <c r="AJ518" s="41">
        <v>0</v>
      </c>
      <c r="AK518" s="41">
        <v>0</v>
      </c>
      <c r="AL518" s="41">
        <v>0</v>
      </c>
      <c r="AM518" s="41" t="e">
        <f t="shared" si="98"/>
        <v>#DIV/0!</v>
      </c>
      <c r="AN518" s="41" t="e">
        <f t="shared" si="100"/>
        <v>#DIV/0!</v>
      </c>
      <c r="AO518" s="41" t="e">
        <f t="shared" si="101"/>
        <v>#DIV/0!</v>
      </c>
      <c r="AP518" s="40"/>
      <c r="AQ518" s="36">
        <v>45078</v>
      </c>
      <c r="AR518" s="36"/>
      <c r="AS518" s="36"/>
      <c r="AT518" s="36"/>
      <c r="AU518" s="36"/>
      <c r="AV518" s="38"/>
      <c r="AW518" s="40"/>
    </row>
    <row r="519" spans="1:49" s="34" customFormat="1" ht="49.5" customHeight="1" x14ac:dyDescent="0.3">
      <c r="A519" s="35" t="s">
        <v>3108</v>
      </c>
      <c r="B519" s="38">
        <v>45048</v>
      </c>
      <c r="C519" s="40">
        <v>545</v>
      </c>
      <c r="D519" s="39" t="s">
        <v>3109</v>
      </c>
      <c r="E519" s="1" t="s">
        <v>3110</v>
      </c>
      <c r="F519" s="36">
        <v>45072</v>
      </c>
      <c r="G519" s="37" t="s">
        <v>3111</v>
      </c>
      <c r="H519" s="40" t="s">
        <v>224</v>
      </c>
      <c r="I519" s="40" t="s">
        <v>3112</v>
      </c>
      <c r="J519" s="57">
        <v>41033925</v>
      </c>
      <c r="K519" s="41">
        <v>41033925</v>
      </c>
      <c r="L519" s="30">
        <f t="shared" si="103"/>
        <v>41033925</v>
      </c>
      <c r="M519" s="30">
        <f t="shared" si="99"/>
        <v>41033925</v>
      </c>
      <c r="N519" s="40" t="s">
        <v>936</v>
      </c>
      <c r="O519" s="40" t="s">
        <v>3113</v>
      </c>
      <c r="P519" s="40" t="s">
        <v>348</v>
      </c>
      <c r="Q519" s="44">
        <v>0</v>
      </c>
      <c r="R519" s="37">
        <v>100</v>
      </c>
      <c r="S519" s="37" t="s">
        <v>219</v>
      </c>
      <c r="T519" s="48">
        <v>1</v>
      </c>
      <c r="U519" s="30">
        <f>M519/W519</f>
        <v>554512.5</v>
      </c>
      <c r="V519" s="41">
        <f t="shared" si="102"/>
        <v>554512.5</v>
      </c>
      <c r="W519" s="41">
        <f t="shared" si="90"/>
        <v>74</v>
      </c>
      <c r="X519" s="41">
        <v>74</v>
      </c>
      <c r="Y519" s="41">
        <v>0</v>
      </c>
      <c r="Z519" s="41">
        <f t="shared" si="92"/>
        <v>0</v>
      </c>
      <c r="AA519" s="41">
        <v>0</v>
      </c>
      <c r="AB519" s="41">
        <f t="shared" si="93"/>
        <v>0</v>
      </c>
      <c r="AC519" s="41">
        <f t="shared" si="94"/>
        <v>0</v>
      </c>
      <c r="AD519" s="41">
        <v>0</v>
      </c>
      <c r="AE519" s="41">
        <f t="shared" si="95"/>
        <v>0</v>
      </c>
      <c r="AF519" s="41">
        <v>0</v>
      </c>
      <c r="AG519" s="41">
        <f t="shared" si="96"/>
        <v>0</v>
      </c>
      <c r="AH519" s="41">
        <f t="shared" si="97"/>
        <v>0</v>
      </c>
      <c r="AI519" s="41">
        <v>0</v>
      </c>
      <c r="AJ519" s="41">
        <v>0</v>
      </c>
      <c r="AK519" s="41">
        <v>0</v>
      </c>
      <c r="AL519" s="41">
        <v>0</v>
      </c>
      <c r="AM519" s="41">
        <f t="shared" si="98"/>
        <v>0</v>
      </c>
      <c r="AN519" s="41">
        <f t="shared" si="100"/>
        <v>74</v>
      </c>
      <c r="AO519" s="41">
        <f t="shared" si="101"/>
        <v>74</v>
      </c>
      <c r="AP519" s="40"/>
      <c r="AQ519" s="36">
        <v>45092</v>
      </c>
      <c r="AR519" s="36"/>
      <c r="AS519" s="36"/>
      <c r="AT519" s="36">
        <v>45107</v>
      </c>
      <c r="AU519" s="36"/>
      <c r="AV519" s="38"/>
      <c r="AW519" s="40" t="s">
        <v>87</v>
      </c>
    </row>
    <row r="520" spans="1:49" s="34" customFormat="1" ht="49.5" customHeight="1" x14ac:dyDescent="0.3">
      <c r="A520" s="35" t="s">
        <v>3114</v>
      </c>
      <c r="B520" s="38">
        <v>45050</v>
      </c>
      <c r="C520" s="40">
        <v>1416</v>
      </c>
      <c r="D520" s="39" t="s">
        <v>3115</v>
      </c>
      <c r="E520" s="1" t="s">
        <v>3116</v>
      </c>
      <c r="F520" s="36">
        <v>45072</v>
      </c>
      <c r="G520" s="37" t="s">
        <v>3117</v>
      </c>
      <c r="H520" s="40" t="s">
        <v>571</v>
      </c>
      <c r="I520" s="40" t="s">
        <v>755</v>
      </c>
      <c r="J520" s="57">
        <v>16489407.4</v>
      </c>
      <c r="K520" s="41">
        <v>16406476.6</v>
      </c>
      <c r="L520" s="30">
        <f t="shared" si="103"/>
        <v>16406476.6</v>
      </c>
      <c r="M520" s="30">
        <f t="shared" si="99"/>
        <v>16406476.6</v>
      </c>
      <c r="N520" s="40" t="s">
        <v>3118</v>
      </c>
      <c r="O520" s="40" t="s">
        <v>3119</v>
      </c>
      <c r="P520" s="40" t="s">
        <v>47</v>
      </c>
      <c r="Q520" s="44">
        <v>100</v>
      </c>
      <c r="R520" s="37">
        <v>0</v>
      </c>
      <c r="S520" s="37" t="s">
        <v>1964</v>
      </c>
      <c r="T520" s="48">
        <v>100</v>
      </c>
      <c r="U520" s="30">
        <f>M520/W520</f>
        <v>11.87</v>
      </c>
      <c r="V520" s="41">
        <f t="shared" si="102"/>
        <v>1187</v>
      </c>
      <c r="W520" s="41">
        <f t="shared" si="90"/>
        <v>1382180</v>
      </c>
      <c r="X520" s="41">
        <f t="shared" si="91"/>
        <v>1382180</v>
      </c>
      <c r="Y520" s="41">
        <v>80000</v>
      </c>
      <c r="Z520" s="41">
        <f t="shared" si="92"/>
        <v>949599.99999999988</v>
      </c>
      <c r="AA520" s="41">
        <v>1302180</v>
      </c>
      <c r="AB520" s="41">
        <f t="shared" si="93"/>
        <v>15456876.6</v>
      </c>
      <c r="AC520" s="41">
        <f t="shared" si="94"/>
        <v>0</v>
      </c>
      <c r="AD520" s="41">
        <v>0</v>
      </c>
      <c r="AE520" s="41">
        <f t="shared" si="95"/>
        <v>0</v>
      </c>
      <c r="AF520" s="41">
        <v>0</v>
      </c>
      <c r="AG520" s="41">
        <f t="shared" si="96"/>
        <v>0</v>
      </c>
      <c r="AH520" s="41">
        <f t="shared" si="97"/>
        <v>0</v>
      </c>
      <c r="AI520" s="41">
        <v>0</v>
      </c>
      <c r="AJ520" s="41">
        <v>0</v>
      </c>
      <c r="AK520" s="41">
        <v>0</v>
      </c>
      <c r="AL520" s="41">
        <v>0</v>
      </c>
      <c r="AM520" s="41">
        <f t="shared" si="98"/>
        <v>949599.99999999988</v>
      </c>
      <c r="AN520" s="41">
        <f t="shared" si="100"/>
        <v>13821.8</v>
      </c>
      <c r="AO520" s="41">
        <f t="shared" si="101"/>
        <v>13822</v>
      </c>
      <c r="AP520" s="40"/>
      <c r="AQ520" s="36">
        <v>45092</v>
      </c>
      <c r="AR520" s="36"/>
      <c r="AS520" s="36"/>
      <c r="AT520" s="36">
        <v>45107</v>
      </c>
      <c r="AU520" s="36"/>
      <c r="AV520" s="38"/>
      <c r="AW520" s="40" t="s">
        <v>49</v>
      </c>
    </row>
    <row r="521" spans="1:49" s="34" customFormat="1" ht="64.2" customHeight="1" x14ac:dyDescent="0.3">
      <c r="A521" s="35" t="s">
        <v>3120</v>
      </c>
      <c r="B521" s="38">
        <v>45050</v>
      </c>
      <c r="C521" s="40">
        <v>1416</v>
      </c>
      <c r="D521" s="39" t="s">
        <v>3121</v>
      </c>
      <c r="E521" s="1" t="s">
        <v>3122</v>
      </c>
      <c r="F521" s="36">
        <v>45079</v>
      </c>
      <c r="G521" s="37" t="s">
        <v>3123</v>
      </c>
      <c r="H521" s="40" t="s">
        <v>224</v>
      </c>
      <c r="I521" s="40" t="s">
        <v>3124</v>
      </c>
      <c r="J521" s="57">
        <v>1739796728.6700001</v>
      </c>
      <c r="K521" s="41">
        <v>1739796728.6700001</v>
      </c>
      <c r="L521" s="30">
        <f t="shared" si="103"/>
        <v>1739796728.6700001</v>
      </c>
      <c r="M521" s="30">
        <f t="shared" si="99"/>
        <v>1739796728.6700001</v>
      </c>
      <c r="N521" s="40" t="s">
        <v>3125</v>
      </c>
      <c r="O521" s="40" t="s">
        <v>3126</v>
      </c>
      <c r="P521" s="40" t="s">
        <v>733</v>
      </c>
      <c r="Q521" s="44">
        <v>0</v>
      </c>
      <c r="R521" s="37">
        <v>100</v>
      </c>
      <c r="S521" s="37" t="s">
        <v>219</v>
      </c>
      <c r="T521" s="48">
        <v>3</v>
      </c>
      <c r="U521" s="30">
        <f>M521/W521</f>
        <v>63582.090000000004</v>
      </c>
      <c r="V521" s="41">
        <f t="shared" si="102"/>
        <v>190746.27000000002</v>
      </c>
      <c r="W521" s="41">
        <f t="shared" si="90"/>
        <v>27363</v>
      </c>
      <c r="X521" s="41">
        <f t="shared" si="91"/>
        <v>27363</v>
      </c>
      <c r="Y521" s="41">
        <v>20673</v>
      </c>
      <c r="Z521" s="41">
        <f t="shared" si="92"/>
        <v>1314432546.5700002</v>
      </c>
      <c r="AA521" s="41">
        <v>6690</v>
      </c>
      <c r="AB521" s="41">
        <f t="shared" si="93"/>
        <v>425364182.10000002</v>
      </c>
      <c r="AC521" s="41">
        <f t="shared" si="94"/>
        <v>0</v>
      </c>
      <c r="AD521" s="41">
        <v>0</v>
      </c>
      <c r="AE521" s="41">
        <f t="shared" si="95"/>
        <v>0</v>
      </c>
      <c r="AF521" s="41">
        <v>0</v>
      </c>
      <c r="AG521" s="41">
        <f t="shared" si="96"/>
        <v>0</v>
      </c>
      <c r="AH521" s="41">
        <f t="shared" si="97"/>
        <v>0</v>
      </c>
      <c r="AI521" s="41">
        <v>0</v>
      </c>
      <c r="AJ521" s="41">
        <v>0</v>
      </c>
      <c r="AK521" s="41">
        <v>0</v>
      </c>
      <c r="AL521" s="41">
        <v>0</v>
      </c>
      <c r="AM521" s="41">
        <f t="shared" si="98"/>
        <v>1314432546.5700002</v>
      </c>
      <c r="AN521" s="41">
        <f t="shared" si="100"/>
        <v>9121</v>
      </c>
      <c r="AO521" s="41">
        <f t="shared" si="101"/>
        <v>9121</v>
      </c>
      <c r="AP521" s="40"/>
      <c r="AQ521" s="36">
        <v>45117</v>
      </c>
      <c r="AR521" s="36"/>
      <c r="AS521" s="36"/>
      <c r="AT521" s="36"/>
      <c r="AU521" s="36"/>
      <c r="AV521" s="38"/>
      <c r="AW521" s="40" t="s">
        <v>87</v>
      </c>
    </row>
    <row r="522" spans="1:49" s="34" customFormat="1" ht="49.5" customHeight="1" x14ac:dyDescent="0.3">
      <c r="A522" s="35" t="s">
        <v>3127</v>
      </c>
      <c r="B522" s="38">
        <v>45050</v>
      </c>
      <c r="C522" s="40">
        <v>1416</v>
      </c>
      <c r="D522" s="39" t="s">
        <v>3128</v>
      </c>
      <c r="E522" s="1" t="s">
        <v>3129</v>
      </c>
      <c r="F522" s="36">
        <v>45069</v>
      </c>
      <c r="G522" s="37" t="s">
        <v>3130</v>
      </c>
      <c r="H522" s="40" t="s">
        <v>571</v>
      </c>
      <c r="I522" s="40" t="s">
        <v>3131</v>
      </c>
      <c r="J522" s="57">
        <v>33002550</v>
      </c>
      <c r="K522" s="41">
        <v>32826536.399999999</v>
      </c>
      <c r="L522" s="30">
        <v>32871844.710000001</v>
      </c>
      <c r="M522" s="30">
        <f t="shared" si="99"/>
        <v>32871844.710000001</v>
      </c>
      <c r="N522" s="40" t="s">
        <v>2906</v>
      </c>
      <c r="O522" s="40" t="s">
        <v>2154</v>
      </c>
      <c r="P522" s="40" t="s">
        <v>47</v>
      </c>
      <c r="Q522" s="44">
        <v>100</v>
      </c>
      <c r="R522" s="37">
        <v>0</v>
      </c>
      <c r="S522" s="37" t="s">
        <v>1964</v>
      </c>
      <c r="T522" s="48">
        <v>30</v>
      </c>
      <c r="U522" s="30">
        <f>M522/W522</f>
        <v>11.19</v>
      </c>
      <c r="V522" s="41">
        <f t="shared" si="102"/>
        <v>335.7</v>
      </c>
      <c r="W522" s="41">
        <f t="shared" si="90"/>
        <v>2937609</v>
      </c>
      <c r="X522" s="41">
        <f t="shared" si="91"/>
        <v>2937609</v>
      </c>
      <c r="Y522" s="41">
        <v>24120</v>
      </c>
      <c r="Z522" s="41">
        <f t="shared" si="92"/>
        <v>269902.8</v>
      </c>
      <c r="AA522" s="41">
        <f>2909440+4049</f>
        <v>2913489</v>
      </c>
      <c r="AB522" s="41">
        <f t="shared" si="93"/>
        <v>32601941.91</v>
      </c>
      <c r="AC522" s="41">
        <f t="shared" si="94"/>
        <v>0</v>
      </c>
      <c r="AD522" s="41">
        <v>0</v>
      </c>
      <c r="AE522" s="41">
        <f t="shared" si="95"/>
        <v>0</v>
      </c>
      <c r="AF522" s="41">
        <v>0</v>
      </c>
      <c r="AG522" s="41">
        <f t="shared" si="96"/>
        <v>0</v>
      </c>
      <c r="AH522" s="41">
        <f t="shared" si="97"/>
        <v>0</v>
      </c>
      <c r="AI522" s="41">
        <v>0</v>
      </c>
      <c r="AJ522" s="41">
        <v>0</v>
      </c>
      <c r="AK522" s="41">
        <v>0</v>
      </c>
      <c r="AL522" s="41">
        <v>0</v>
      </c>
      <c r="AM522" s="41">
        <f t="shared" si="98"/>
        <v>269902.8</v>
      </c>
      <c r="AN522" s="41">
        <f t="shared" si="100"/>
        <v>97920.3</v>
      </c>
      <c r="AO522" s="41">
        <f t="shared" si="101"/>
        <v>97921</v>
      </c>
      <c r="AP522" s="40"/>
      <c r="AQ522" s="36">
        <v>45108</v>
      </c>
      <c r="AR522" s="36"/>
      <c r="AS522" s="36"/>
      <c r="AT522" s="36">
        <v>45122</v>
      </c>
      <c r="AU522" s="36"/>
      <c r="AV522" s="38"/>
      <c r="AW522" s="40" t="s">
        <v>49</v>
      </c>
    </row>
    <row r="523" spans="1:49" s="34" customFormat="1" ht="49.5" customHeight="1" x14ac:dyDescent="0.3">
      <c r="A523" s="35" t="s">
        <v>3132</v>
      </c>
      <c r="B523" s="38">
        <v>45050</v>
      </c>
      <c r="C523" s="40">
        <v>1416</v>
      </c>
      <c r="D523" s="39" t="s">
        <v>3133</v>
      </c>
      <c r="E523" s="1" t="s">
        <v>3134</v>
      </c>
      <c r="F523" s="36">
        <v>45075</v>
      </c>
      <c r="G523" s="37" t="s">
        <v>3135</v>
      </c>
      <c r="H523" s="40" t="s">
        <v>571</v>
      </c>
      <c r="I523" s="40" t="s">
        <v>3136</v>
      </c>
      <c r="J523" s="57">
        <v>6236176.3200000003</v>
      </c>
      <c r="K523" s="41">
        <v>6172716</v>
      </c>
      <c r="L523" s="30">
        <f>K523</f>
        <v>6172716</v>
      </c>
      <c r="M523" s="30">
        <f t="shared" si="99"/>
        <v>6172716</v>
      </c>
      <c r="N523" s="40" t="s">
        <v>3137</v>
      </c>
      <c r="O523" s="40" t="s">
        <v>3138</v>
      </c>
      <c r="P523" s="40" t="s">
        <v>47</v>
      </c>
      <c r="Q523" s="44">
        <v>100</v>
      </c>
      <c r="R523" s="37">
        <v>0</v>
      </c>
      <c r="S523" s="37" t="s">
        <v>219</v>
      </c>
      <c r="T523" s="48">
        <v>50</v>
      </c>
      <c r="U523" s="30">
        <f>M523/W523</f>
        <v>926</v>
      </c>
      <c r="V523" s="41">
        <f t="shared" si="102"/>
        <v>46300</v>
      </c>
      <c r="W523" s="41">
        <f t="shared" si="90"/>
        <v>6666</v>
      </c>
      <c r="X523" s="41">
        <f t="shared" si="91"/>
        <v>6666</v>
      </c>
      <c r="Y523" s="41">
        <v>0</v>
      </c>
      <c r="Z523" s="41">
        <f t="shared" si="92"/>
        <v>0</v>
      </c>
      <c r="AA523" s="41">
        <v>6666</v>
      </c>
      <c r="AB523" s="41">
        <f t="shared" si="93"/>
        <v>6172716</v>
      </c>
      <c r="AC523" s="41">
        <f t="shared" si="94"/>
        <v>0</v>
      </c>
      <c r="AD523" s="41">
        <v>0</v>
      </c>
      <c r="AE523" s="41">
        <f t="shared" si="95"/>
        <v>0</v>
      </c>
      <c r="AF523" s="41">
        <v>0</v>
      </c>
      <c r="AG523" s="41">
        <f t="shared" si="96"/>
        <v>0</v>
      </c>
      <c r="AH523" s="41">
        <f t="shared" si="97"/>
        <v>0</v>
      </c>
      <c r="AI523" s="41">
        <v>0</v>
      </c>
      <c r="AJ523" s="41">
        <v>0</v>
      </c>
      <c r="AK523" s="41">
        <v>0</v>
      </c>
      <c r="AL523" s="41">
        <v>0</v>
      </c>
      <c r="AM523" s="41">
        <f t="shared" si="98"/>
        <v>0</v>
      </c>
      <c r="AN523" s="41">
        <f t="shared" si="100"/>
        <v>133.32</v>
      </c>
      <c r="AO523" s="41">
        <f t="shared" si="101"/>
        <v>134</v>
      </c>
      <c r="AP523" s="40"/>
      <c r="AQ523" s="36">
        <v>45092</v>
      </c>
      <c r="AR523" s="36"/>
      <c r="AS523" s="36"/>
      <c r="AT523" s="36">
        <v>45107</v>
      </c>
      <c r="AU523" s="36"/>
      <c r="AV523" s="38"/>
      <c r="AW523" s="40" t="s">
        <v>87</v>
      </c>
    </row>
    <row r="524" spans="1:49" s="34" customFormat="1" ht="49.5" customHeight="1" x14ac:dyDescent="0.3">
      <c r="A524" s="35" t="s">
        <v>3139</v>
      </c>
      <c r="B524" s="38">
        <v>45050</v>
      </c>
      <c r="C524" s="40">
        <v>545</v>
      </c>
      <c r="D524" s="39" t="s">
        <v>3140</v>
      </c>
      <c r="E524" s="1" t="s">
        <v>3141</v>
      </c>
      <c r="F524" s="36">
        <v>45069</v>
      </c>
      <c r="G524" s="37" t="s">
        <v>3142</v>
      </c>
      <c r="H524" s="40" t="s">
        <v>802</v>
      </c>
      <c r="I524" s="40" t="s">
        <v>2786</v>
      </c>
      <c r="J524" s="57">
        <v>21234044.16</v>
      </c>
      <c r="K524" s="41">
        <v>21234044.16</v>
      </c>
      <c r="L524" s="30">
        <f>K524</f>
        <v>21234044.16</v>
      </c>
      <c r="M524" s="30">
        <f t="shared" si="99"/>
        <v>21234044.16</v>
      </c>
      <c r="N524" s="40" t="s">
        <v>2582</v>
      </c>
      <c r="O524" s="40" t="s">
        <v>3143</v>
      </c>
      <c r="P524" s="40" t="s">
        <v>1436</v>
      </c>
      <c r="Q524" s="44">
        <v>0</v>
      </c>
      <c r="R524" s="37">
        <v>100</v>
      </c>
      <c r="S524" s="37" t="s">
        <v>1964</v>
      </c>
      <c r="T524" s="48">
        <v>112</v>
      </c>
      <c r="U524" s="30">
        <f>M524/W524</f>
        <v>7899.57</v>
      </c>
      <c r="V524" s="41">
        <f t="shared" si="102"/>
        <v>884751.84</v>
      </c>
      <c r="W524" s="41">
        <f t="shared" si="90"/>
        <v>2688</v>
      </c>
      <c r="X524" s="41">
        <v>2688</v>
      </c>
      <c r="Y524" s="41">
        <v>0</v>
      </c>
      <c r="Z524" s="41">
        <f t="shared" si="92"/>
        <v>0</v>
      </c>
      <c r="AA524" s="41">
        <v>0</v>
      </c>
      <c r="AB524" s="41">
        <f t="shared" si="93"/>
        <v>0</v>
      </c>
      <c r="AC524" s="41">
        <f t="shared" si="94"/>
        <v>0</v>
      </c>
      <c r="AD524" s="41">
        <v>0</v>
      </c>
      <c r="AE524" s="41">
        <f t="shared" si="95"/>
        <v>0</v>
      </c>
      <c r="AF524" s="41">
        <v>0</v>
      </c>
      <c r="AG524" s="41">
        <f t="shared" si="96"/>
        <v>0</v>
      </c>
      <c r="AH524" s="41">
        <f t="shared" si="97"/>
        <v>0</v>
      </c>
      <c r="AI524" s="41">
        <v>0</v>
      </c>
      <c r="AJ524" s="41">
        <v>0</v>
      </c>
      <c r="AK524" s="41">
        <v>0</v>
      </c>
      <c r="AL524" s="41">
        <v>0</v>
      </c>
      <c r="AM524" s="41">
        <f t="shared" si="98"/>
        <v>0</v>
      </c>
      <c r="AN524" s="41">
        <f t="shared" si="100"/>
        <v>24</v>
      </c>
      <c r="AO524" s="41">
        <f t="shared" si="101"/>
        <v>24</v>
      </c>
      <c r="AP524" s="40" t="s">
        <v>3144</v>
      </c>
      <c r="AQ524" s="36">
        <v>45138</v>
      </c>
      <c r="AR524" s="36"/>
      <c r="AS524" s="36"/>
      <c r="AT524" s="36">
        <v>45153</v>
      </c>
      <c r="AU524" s="36"/>
      <c r="AV524" s="38"/>
      <c r="AW524" s="40" t="s">
        <v>87</v>
      </c>
    </row>
    <row r="525" spans="1:49" s="34" customFormat="1" ht="49.5" customHeight="1" x14ac:dyDescent="0.3">
      <c r="A525" s="35" t="s">
        <v>3145</v>
      </c>
      <c r="B525" s="38">
        <v>45050</v>
      </c>
      <c r="C525" s="40">
        <v>1416</v>
      </c>
      <c r="D525" s="39" t="s">
        <v>3146</v>
      </c>
      <c r="E525" s="1" t="s">
        <v>3147</v>
      </c>
      <c r="F525" s="36">
        <v>45072</v>
      </c>
      <c r="G525" s="37" t="s">
        <v>3148</v>
      </c>
      <c r="H525" s="40" t="s">
        <v>571</v>
      </c>
      <c r="I525" s="40" t="s">
        <v>3149</v>
      </c>
      <c r="J525" s="57">
        <v>39027180</v>
      </c>
      <c r="K525" s="41">
        <v>39027180</v>
      </c>
      <c r="L525" s="30">
        <v>40697689.200000003</v>
      </c>
      <c r="M525" s="30">
        <f t="shared" si="99"/>
        <v>40697689.200000003</v>
      </c>
      <c r="N525" s="40" t="s">
        <v>3150</v>
      </c>
      <c r="O525" s="40" t="s">
        <v>3151</v>
      </c>
      <c r="P525" s="40" t="s">
        <v>47</v>
      </c>
      <c r="Q525" s="44">
        <v>100</v>
      </c>
      <c r="R525" s="37">
        <v>0</v>
      </c>
      <c r="S525" s="37" t="s">
        <v>1964</v>
      </c>
      <c r="T525" s="48">
        <v>120</v>
      </c>
      <c r="U525" s="30">
        <f>M525/W525</f>
        <v>60.790000000000006</v>
      </c>
      <c r="V525" s="41">
        <f t="shared" si="102"/>
        <v>7294.8000000000011</v>
      </c>
      <c r="W525" s="41">
        <f t="shared" si="90"/>
        <v>669480</v>
      </c>
      <c r="X525" s="41">
        <f t="shared" si="91"/>
        <v>0</v>
      </c>
      <c r="Y525" s="41">
        <v>0</v>
      </c>
      <c r="Z525" s="41">
        <f t="shared" si="92"/>
        <v>0</v>
      </c>
      <c r="AA525" s="41">
        <v>0</v>
      </c>
      <c r="AB525" s="41">
        <f t="shared" si="93"/>
        <v>0</v>
      </c>
      <c r="AC525" s="41">
        <f t="shared" si="94"/>
        <v>669480</v>
      </c>
      <c r="AD525" s="41">
        <f>14880+27480</f>
        <v>42360</v>
      </c>
      <c r="AE525" s="41">
        <f t="shared" si="95"/>
        <v>2575064.4000000004</v>
      </c>
      <c r="AF525" s="41">
        <v>627120</v>
      </c>
      <c r="AG525" s="41">
        <f t="shared" si="96"/>
        <v>38122624.800000004</v>
      </c>
      <c r="AH525" s="41">
        <f t="shared" si="97"/>
        <v>0</v>
      </c>
      <c r="AI525" s="41">
        <v>0</v>
      </c>
      <c r="AJ525" s="41">
        <v>0</v>
      </c>
      <c r="AK525" s="41">
        <v>0</v>
      </c>
      <c r="AL525" s="41">
        <v>0</v>
      </c>
      <c r="AM525" s="41">
        <f t="shared" si="98"/>
        <v>2575064.4000000004</v>
      </c>
      <c r="AN525" s="41">
        <f t="shared" si="100"/>
        <v>5579</v>
      </c>
      <c r="AO525" s="41">
        <f t="shared" si="101"/>
        <v>5579</v>
      </c>
      <c r="AP525" s="40"/>
      <c r="AQ525" s="36">
        <v>45108</v>
      </c>
      <c r="AR525" s="36"/>
      <c r="AS525" s="36"/>
      <c r="AT525" s="36">
        <v>45122</v>
      </c>
      <c r="AU525" s="36"/>
      <c r="AV525" s="38"/>
      <c r="AW525" s="40" t="s">
        <v>49</v>
      </c>
    </row>
    <row r="526" spans="1:49" s="34" customFormat="1" ht="49.5" customHeight="1" x14ac:dyDescent="0.3">
      <c r="A526" s="35" t="s">
        <v>3152</v>
      </c>
      <c r="B526" s="38">
        <v>45051</v>
      </c>
      <c r="C526" s="40">
        <v>545</v>
      </c>
      <c r="D526" s="39" t="s">
        <v>3153</v>
      </c>
      <c r="E526" s="1" t="s">
        <v>3147</v>
      </c>
      <c r="F526" s="36">
        <v>45072</v>
      </c>
      <c r="G526" s="37" t="s">
        <v>3154</v>
      </c>
      <c r="H526" s="40" t="s">
        <v>224</v>
      </c>
      <c r="I526" s="40" t="s">
        <v>1660</v>
      </c>
      <c r="J526" s="57">
        <v>14326420.35</v>
      </c>
      <c r="K526" s="41">
        <v>14326420.35</v>
      </c>
      <c r="L526" s="30">
        <f>K526</f>
        <v>14326420.35</v>
      </c>
      <c r="M526" s="30">
        <f t="shared" si="99"/>
        <v>14326420.35</v>
      </c>
      <c r="N526" s="40" t="s">
        <v>2392</v>
      </c>
      <c r="O526" s="40" t="s">
        <v>2413</v>
      </c>
      <c r="P526" s="40" t="s">
        <v>2394</v>
      </c>
      <c r="Q526" s="44">
        <v>0</v>
      </c>
      <c r="R526" s="37">
        <v>100</v>
      </c>
      <c r="S526" s="37" t="s">
        <v>1489</v>
      </c>
      <c r="T526" s="48">
        <v>15</v>
      </c>
      <c r="U526" s="30">
        <f>M526/W526</f>
        <v>25813.37</v>
      </c>
      <c r="V526" s="41">
        <f t="shared" si="102"/>
        <v>387200.55</v>
      </c>
      <c r="W526" s="41">
        <f t="shared" si="90"/>
        <v>555</v>
      </c>
      <c r="X526" s="41">
        <v>555</v>
      </c>
      <c r="Y526" s="41">
        <v>0</v>
      </c>
      <c r="Z526" s="41">
        <f t="shared" si="92"/>
        <v>0</v>
      </c>
      <c r="AA526" s="41">
        <v>0</v>
      </c>
      <c r="AB526" s="41">
        <f t="shared" si="93"/>
        <v>0</v>
      </c>
      <c r="AC526" s="41">
        <f t="shared" si="94"/>
        <v>0</v>
      </c>
      <c r="AD526" s="41">
        <v>0</v>
      </c>
      <c r="AE526" s="41">
        <f t="shared" si="95"/>
        <v>0</v>
      </c>
      <c r="AF526" s="41">
        <v>0</v>
      </c>
      <c r="AG526" s="41">
        <f t="shared" si="96"/>
        <v>0</v>
      </c>
      <c r="AH526" s="41">
        <f t="shared" si="97"/>
        <v>0</v>
      </c>
      <c r="AI526" s="41">
        <v>0</v>
      </c>
      <c r="AJ526" s="41">
        <v>0</v>
      </c>
      <c r="AK526" s="41">
        <v>0</v>
      </c>
      <c r="AL526" s="41">
        <v>0</v>
      </c>
      <c r="AM526" s="41">
        <f t="shared" si="98"/>
        <v>0</v>
      </c>
      <c r="AN526" s="41">
        <f t="shared" si="100"/>
        <v>37</v>
      </c>
      <c r="AO526" s="41">
        <f t="shared" si="101"/>
        <v>37</v>
      </c>
      <c r="AP526" s="40"/>
      <c r="AQ526" s="36">
        <v>45108</v>
      </c>
      <c r="AR526" s="36"/>
      <c r="AS526" s="36"/>
      <c r="AT526" s="36">
        <v>45122</v>
      </c>
      <c r="AU526" s="36"/>
      <c r="AV526" s="38"/>
      <c r="AW526" s="40" t="s">
        <v>87</v>
      </c>
    </row>
    <row r="527" spans="1:49" s="34" customFormat="1" ht="49.5" customHeight="1" x14ac:dyDescent="0.3">
      <c r="A527" s="35" t="s">
        <v>3155</v>
      </c>
      <c r="B527" s="38">
        <v>45051</v>
      </c>
      <c r="C527" s="40">
        <v>545</v>
      </c>
      <c r="D527" s="39" t="s">
        <v>3156</v>
      </c>
      <c r="E527" s="1" t="s">
        <v>3157</v>
      </c>
      <c r="F527" s="36">
        <v>45072</v>
      </c>
      <c r="G527" s="37" t="s">
        <v>3158</v>
      </c>
      <c r="H527" s="40" t="s">
        <v>224</v>
      </c>
      <c r="I527" s="40" t="s">
        <v>1339</v>
      </c>
      <c r="J527" s="57">
        <v>44022000</v>
      </c>
      <c r="K527" s="41">
        <v>44022000</v>
      </c>
      <c r="L527" s="30">
        <f>K527</f>
        <v>44022000</v>
      </c>
      <c r="M527" s="30">
        <f t="shared" si="99"/>
        <v>44022000</v>
      </c>
      <c r="N527" s="40" t="s">
        <v>1300</v>
      </c>
      <c r="O527" s="40" t="s">
        <v>1301</v>
      </c>
      <c r="P527" s="40" t="s">
        <v>1032</v>
      </c>
      <c r="Q527" s="44">
        <v>0</v>
      </c>
      <c r="R527" s="37">
        <v>100</v>
      </c>
      <c r="S527" s="37" t="s">
        <v>1964</v>
      </c>
      <c r="T527" s="48">
        <v>2760</v>
      </c>
      <c r="U527" s="30">
        <f>M527/W527</f>
        <v>15950</v>
      </c>
      <c r="V527" s="41">
        <f t="shared" si="102"/>
        <v>44022000</v>
      </c>
      <c r="W527" s="41">
        <f t="shared" si="90"/>
        <v>2760</v>
      </c>
      <c r="X527" s="41">
        <v>2760</v>
      </c>
      <c r="Y527" s="41">
        <v>0</v>
      </c>
      <c r="Z527" s="41">
        <f t="shared" si="92"/>
        <v>0</v>
      </c>
      <c r="AA527" s="41">
        <v>0</v>
      </c>
      <c r="AB527" s="41">
        <f t="shared" si="93"/>
        <v>0</v>
      </c>
      <c r="AC527" s="41">
        <f t="shared" si="94"/>
        <v>0</v>
      </c>
      <c r="AD527" s="41">
        <v>0</v>
      </c>
      <c r="AE527" s="41">
        <f t="shared" si="95"/>
        <v>0</v>
      </c>
      <c r="AF527" s="41">
        <v>0</v>
      </c>
      <c r="AG527" s="41">
        <f t="shared" si="96"/>
        <v>0</v>
      </c>
      <c r="AH527" s="41">
        <f t="shared" si="97"/>
        <v>0</v>
      </c>
      <c r="AI527" s="41">
        <v>0</v>
      </c>
      <c r="AJ527" s="41">
        <v>0</v>
      </c>
      <c r="AK527" s="41">
        <v>0</v>
      </c>
      <c r="AL527" s="41">
        <v>0</v>
      </c>
      <c r="AM527" s="41">
        <f t="shared" si="98"/>
        <v>0</v>
      </c>
      <c r="AN527" s="41">
        <f t="shared" si="100"/>
        <v>1</v>
      </c>
      <c r="AO527" s="41">
        <f t="shared" si="101"/>
        <v>1</v>
      </c>
      <c r="AP527" s="40" t="s">
        <v>3159</v>
      </c>
      <c r="AQ527" s="36">
        <v>45108</v>
      </c>
      <c r="AR527" s="36"/>
      <c r="AS527" s="36"/>
      <c r="AT527" s="36">
        <v>45122</v>
      </c>
      <c r="AU527" s="36"/>
      <c r="AV527" s="38"/>
      <c r="AW527" s="40" t="s">
        <v>87</v>
      </c>
    </row>
    <row r="528" spans="1:49" s="34" customFormat="1" ht="49.5" customHeight="1" x14ac:dyDescent="0.3">
      <c r="A528" s="35" t="s">
        <v>3160</v>
      </c>
      <c r="B528" s="38">
        <v>45051</v>
      </c>
      <c r="C528" s="40">
        <v>545</v>
      </c>
      <c r="D528" s="39" t="s">
        <v>3161</v>
      </c>
      <c r="E528" s="1" t="s">
        <v>3162</v>
      </c>
      <c r="F528" s="36">
        <v>45072</v>
      </c>
      <c r="G528" s="37" t="s">
        <v>3163</v>
      </c>
      <c r="H528" s="40" t="s">
        <v>878</v>
      </c>
      <c r="I528" s="40" t="s">
        <v>1420</v>
      </c>
      <c r="J528" s="57">
        <v>24402464.399999999</v>
      </c>
      <c r="K528" s="41">
        <v>24402464.399999999</v>
      </c>
      <c r="L528" s="30">
        <f>K528</f>
        <v>24402464.399999999</v>
      </c>
      <c r="M528" s="30">
        <f t="shared" si="99"/>
        <v>24402464.399999999</v>
      </c>
      <c r="N528" s="40" t="s">
        <v>1421</v>
      </c>
      <c r="O528" s="40" t="s">
        <v>1422</v>
      </c>
      <c r="P528" s="40" t="s">
        <v>218</v>
      </c>
      <c r="Q528" s="44">
        <v>0</v>
      </c>
      <c r="R528" s="37">
        <v>100</v>
      </c>
      <c r="S528" s="37" t="s">
        <v>1964</v>
      </c>
      <c r="T528" s="48">
        <v>60</v>
      </c>
      <c r="U528" s="30">
        <f>M528/W528</f>
        <v>3333.6699999999996</v>
      </c>
      <c r="V528" s="41">
        <f t="shared" si="102"/>
        <v>200020.19999999998</v>
      </c>
      <c r="W528" s="41">
        <f t="shared" si="90"/>
        <v>7320</v>
      </c>
      <c r="X528" s="41">
        <v>7320</v>
      </c>
      <c r="Y528" s="41">
        <v>0</v>
      </c>
      <c r="Z528" s="41">
        <f t="shared" si="92"/>
        <v>0</v>
      </c>
      <c r="AA528" s="41">
        <v>0</v>
      </c>
      <c r="AB528" s="41">
        <f t="shared" si="93"/>
        <v>0</v>
      </c>
      <c r="AC528" s="41">
        <f t="shared" si="94"/>
        <v>0</v>
      </c>
      <c r="AD528" s="41">
        <v>0</v>
      </c>
      <c r="AE528" s="41">
        <f t="shared" si="95"/>
        <v>0</v>
      </c>
      <c r="AF528" s="41">
        <v>0</v>
      </c>
      <c r="AG528" s="41">
        <f t="shared" si="96"/>
        <v>0</v>
      </c>
      <c r="AH528" s="41">
        <f t="shared" si="97"/>
        <v>0</v>
      </c>
      <c r="AI528" s="41">
        <v>0</v>
      </c>
      <c r="AJ528" s="41">
        <v>0</v>
      </c>
      <c r="AK528" s="41">
        <v>0</v>
      </c>
      <c r="AL528" s="41">
        <v>0</v>
      </c>
      <c r="AM528" s="41">
        <f t="shared" si="98"/>
        <v>0</v>
      </c>
      <c r="AN528" s="41">
        <f t="shared" si="100"/>
        <v>122</v>
      </c>
      <c r="AO528" s="41">
        <f t="shared" si="101"/>
        <v>122</v>
      </c>
      <c r="AP528" s="40" t="s">
        <v>3164</v>
      </c>
      <c r="AQ528" s="36">
        <v>45092</v>
      </c>
      <c r="AR528" s="36"/>
      <c r="AS528" s="36"/>
      <c r="AT528" s="36">
        <v>45107</v>
      </c>
      <c r="AU528" s="36"/>
      <c r="AV528" s="38"/>
      <c r="AW528" s="40" t="s">
        <v>87</v>
      </c>
    </row>
    <row r="529" spans="1:49" s="34" customFormat="1" ht="49.5" customHeight="1" x14ac:dyDescent="0.3">
      <c r="A529" s="35" t="s">
        <v>3165</v>
      </c>
      <c r="B529" s="38">
        <v>45051</v>
      </c>
      <c r="C529" s="40">
        <v>545</v>
      </c>
      <c r="D529" s="39" t="s">
        <v>459</v>
      </c>
      <c r="E529" s="1" t="s">
        <v>3166</v>
      </c>
      <c r="F529" s="36" t="s">
        <v>459</v>
      </c>
      <c r="G529" s="37" t="s">
        <v>459</v>
      </c>
      <c r="H529" s="40" t="s">
        <v>459</v>
      </c>
      <c r="I529" s="40" t="s">
        <v>3167</v>
      </c>
      <c r="J529" s="57">
        <v>13819192.199999999</v>
      </c>
      <c r="K529" s="41">
        <v>0</v>
      </c>
      <c r="L529" s="30">
        <f>K529</f>
        <v>0</v>
      </c>
      <c r="M529" s="30">
        <f t="shared" si="99"/>
        <v>0</v>
      </c>
      <c r="N529" s="40"/>
      <c r="O529" s="40"/>
      <c r="P529" s="40"/>
      <c r="Q529" s="44"/>
      <c r="R529" s="37"/>
      <c r="S529" s="37"/>
      <c r="T529" s="48"/>
      <c r="U529" s="30" t="e">
        <f>M529/W529</f>
        <v>#DIV/0!</v>
      </c>
      <c r="V529" s="41" t="e">
        <f t="shared" si="102"/>
        <v>#DIV/0!</v>
      </c>
      <c r="W529" s="41">
        <f t="shared" si="90"/>
        <v>0</v>
      </c>
      <c r="X529" s="41">
        <f t="shared" si="91"/>
        <v>0</v>
      </c>
      <c r="Y529" s="41">
        <v>0</v>
      </c>
      <c r="Z529" s="41" t="e">
        <f t="shared" si="92"/>
        <v>#DIV/0!</v>
      </c>
      <c r="AA529" s="41">
        <v>0</v>
      </c>
      <c r="AB529" s="41" t="e">
        <f t="shared" si="93"/>
        <v>#DIV/0!</v>
      </c>
      <c r="AC529" s="41">
        <f t="shared" si="94"/>
        <v>0</v>
      </c>
      <c r="AD529" s="41">
        <v>0</v>
      </c>
      <c r="AE529" s="41" t="e">
        <f t="shared" si="95"/>
        <v>#DIV/0!</v>
      </c>
      <c r="AF529" s="41">
        <v>0</v>
      </c>
      <c r="AG529" s="41" t="e">
        <f t="shared" si="96"/>
        <v>#DIV/0!</v>
      </c>
      <c r="AH529" s="41">
        <f t="shared" si="97"/>
        <v>0</v>
      </c>
      <c r="AI529" s="41">
        <v>0</v>
      </c>
      <c r="AJ529" s="41">
        <v>0</v>
      </c>
      <c r="AK529" s="41">
        <v>0</v>
      </c>
      <c r="AL529" s="41">
        <v>0</v>
      </c>
      <c r="AM529" s="41" t="e">
        <f t="shared" si="98"/>
        <v>#DIV/0!</v>
      </c>
      <c r="AN529" s="41" t="e">
        <f t="shared" si="100"/>
        <v>#DIV/0!</v>
      </c>
      <c r="AO529" s="41" t="e">
        <f t="shared" si="101"/>
        <v>#DIV/0!</v>
      </c>
      <c r="AP529" s="40"/>
      <c r="AQ529" s="36">
        <v>45122</v>
      </c>
      <c r="AR529" s="36">
        <v>45170</v>
      </c>
      <c r="AS529" s="36"/>
      <c r="AT529" s="36"/>
      <c r="AU529" s="36"/>
      <c r="AV529" s="38"/>
      <c r="AW529" s="40"/>
    </row>
    <row r="530" spans="1:49" s="34" customFormat="1" ht="49.5" customHeight="1" x14ac:dyDescent="0.3">
      <c r="A530" s="35" t="s">
        <v>3168</v>
      </c>
      <c r="B530" s="38">
        <v>45057</v>
      </c>
      <c r="C530" s="40">
        <v>545</v>
      </c>
      <c r="D530" s="39" t="s">
        <v>3169</v>
      </c>
      <c r="E530" s="1" t="s">
        <v>3170</v>
      </c>
      <c r="F530" s="36">
        <v>45076</v>
      </c>
      <c r="G530" s="37" t="s">
        <v>3171</v>
      </c>
      <c r="H530" s="40" t="s">
        <v>878</v>
      </c>
      <c r="I530" s="40" t="s">
        <v>3172</v>
      </c>
      <c r="J530" s="57">
        <v>6352491.5999999996</v>
      </c>
      <c r="K530" s="41">
        <v>6352491.5999999996</v>
      </c>
      <c r="L530" s="30">
        <f>K530</f>
        <v>6352491.5999999996</v>
      </c>
      <c r="M530" s="30">
        <f t="shared" si="99"/>
        <v>6352491.5999999996</v>
      </c>
      <c r="N530" s="40" t="s">
        <v>3173</v>
      </c>
      <c r="O530" s="40" t="s">
        <v>3174</v>
      </c>
      <c r="P530" s="40" t="s">
        <v>1032</v>
      </c>
      <c r="Q530" s="44">
        <v>0</v>
      </c>
      <c r="R530" s="37">
        <v>100</v>
      </c>
      <c r="S530" s="37" t="s">
        <v>1964</v>
      </c>
      <c r="T530" s="48">
        <v>90</v>
      </c>
      <c r="U530" s="30">
        <f>M530/W530</f>
        <v>5041.66</v>
      </c>
      <c r="V530" s="41">
        <f t="shared" si="102"/>
        <v>453749.39999999997</v>
      </c>
      <c r="W530" s="41">
        <v>1260</v>
      </c>
      <c r="X530" s="41">
        <v>1260</v>
      </c>
      <c r="Y530" s="41">
        <v>0</v>
      </c>
      <c r="Z530" s="41">
        <f t="shared" si="92"/>
        <v>0</v>
      </c>
      <c r="AA530" s="41">
        <v>0</v>
      </c>
      <c r="AB530" s="41">
        <f t="shared" si="93"/>
        <v>0</v>
      </c>
      <c r="AC530" s="41">
        <f t="shared" si="94"/>
        <v>0</v>
      </c>
      <c r="AD530" s="41">
        <v>0</v>
      </c>
      <c r="AE530" s="41">
        <f t="shared" si="95"/>
        <v>0</v>
      </c>
      <c r="AF530" s="41">
        <v>0</v>
      </c>
      <c r="AG530" s="41">
        <f t="shared" si="96"/>
        <v>0</v>
      </c>
      <c r="AH530" s="41">
        <f t="shared" si="97"/>
        <v>0</v>
      </c>
      <c r="AI530" s="41">
        <v>0</v>
      </c>
      <c r="AJ530" s="41">
        <v>0</v>
      </c>
      <c r="AK530" s="41">
        <v>0</v>
      </c>
      <c r="AL530" s="41">
        <v>0</v>
      </c>
      <c r="AM530" s="41">
        <f t="shared" si="98"/>
        <v>0</v>
      </c>
      <c r="AN530" s="41">
        <f t="shared" si="100"/>
        <v>14</v>
      </c>
      <c r="AO530" s="41">
        <f t="shared" si="101"/>
        <v>14</v>
      </c>
      <c r="AP530" s="40" t="s">
        <v>3175</v>
      </c>
      <c r="AQ530" s="36">
        <v>45097</v>
      </c>
      <c r="AR530" s="36"/>
      <c r="AS530" s="36"/>
      <c r="AT530" s="36"/>
      <c r="AU530" s="36"/>
      <c r="AV530" s="38"/>
      <c r="AW530" s="40" t="s">
        <v>87</v>
      </c>
    </row>
    <row r="531" spans="1:49" s="34" customFormat="1" ht="49.5" customHeight="1" x14ac:dyDescent="0.3">
      <c r="A531" s="35" t="s">
        <v>3176</v>
      </c>
      <c r="B531" s="38">
        <v>45061</v>
      </c>
      <c r="C531" s="40">
        <v>545</v>
      </c>
      <c r="D531" s="39" t="s">
        <v>3177</v>
      </c>
      <c r="E531" s="1" t="s">
        <v>3178</v>
      </c>
      <c r="F531" s="36">
        <v>45082</v>
      </c>
      <c r="G531" s="37" t="s">
        <v>3179</v>
      </c>
      <c r="H531" s="40" t="s">
        <v>186</v>
      </c>
      <c r="I531" s="40" t="s">
        <v>1747</v>
      </c>
      <c r="J531" s="57">
        <v>169305446.69999999</v>
      </c>
      <c r="K531" s="41">
        <v>169305446.69999999</v>
      </c>
      <c r="L531" s="30">
        <v>217058265</v>
      </c>
      <c r="M531" s="30">
        <f t="shared" si="99"/>
        <v>217058265</v>
      </c>
      <c r="N531" s="40" t="s">
        <v>1748</v>
      </c>
      <c r="O531" s="40" t="s">
        <v>1749</v>
      </c>
      <c r="P531" s="40" t="s">
        <v>190</v>
      </c>
      <c r="Q531" s="44">
        <v>0</v>
      </c>
      <c r="R531" s="37">
        <v>100</v>
      </c>
      <c r="S531" s="37" t="s">
        <v>219</v>
      </c>
      <c r="T531" s="48">
        <v>5</v>
      </c>
      <c r="U531" s="30">
        <f>M531/W531</f>
        <v>868233.06</v>
      </c>
      <c r="V531" s="41">
        <f t="shared" si="102"/>
        <v>4341165.3000000007</v>
      </c>
      <c r="W531" s="41">
        <f t="shared" si="90"/>
        <v>250</v>
      </c>
      <c r="X531" s="41">
        <f>195+55</f>
        <v>250</v>
      </c>
      <c r="Y531" s="41">
        <v>0</v>
      </c>
      <c r="Z531" s="41">
        <f t="shared" si="92"/>
        <v>0</v>
      </c>
      <c r="AA531" s="41">
        <v>0</v>
      </c>
      <c r="AB531" s="41">
        <f t="shared" si="93"/>
        <v>0</v>
      </c>
      <c r="AC531" s="41">
        <f t="shared" si="94"/>
        <v>0</v>
      </c>
      <c r="AD531" s="41">
        <v>0</v>
      </c>
      <c r="AE531" s="41">
        <f t="shared" si="95"/>
        <v>0</v>
      </c>
      <c r="AF531" s="41">
        <v>0</v>
      </c>
      <c r="AG531" s="41">
        <f t="shared" si="96"/>
        <v>0</v>
      </c>
      <c r="AH531" s="41">
        <f t="shared" si="97"/>
        <v>0</v>
      </c>
      <c r="AI531" s="41">
        <v>0</v>
      </c>
      <c r="AJ531" s="41">
        <v>0</v>
      </c>
      <c r="AK531" s="41">
        <v>0</v>
      </c>
      <c r="AL531" s="41">
        <v>0</v>
      </c>
      <c r="AM531" s="41">
        <f t="shared" si="98"/>
        <v>0</v>
      </c>
      <c r="AN531" s="41">
        <f t="shared" si="100"/>
        <v>50</v>
      </c>
      <c r="AO531" s="41">
        <f t="shared" si="101"/>
        <v>50</v>
      </c>
      <c r="AP531" s="40" t="s">
        <v>1353</v>
      </c>
      <c r="AQ531" s="36">
        <v>45112</v>
      </c>
      <c r="AR531" s="36"/>
      <c r="AS531" s="36"/>
      <c r="AT531" s="36">
        <v>45127</v>
      </c>
      <c r="AU531" s="36"/>
      <c r="AV531" s="38"/>
      <c r="AW531" s="40" t="s">
        <v>49</v>
      </c>
    </row>
    <row r="532" spans="1:49" s="34" customFormat="1" ht="64.5" customHeight="1" x14ac:dyDescent="0.3">
      <c r="A532" s="35" t="s">
        <v>3180</v>
      </c>
      <c r="B532" s="38">
        <v>45061</v>
      </c>
      <c r="C532" s="40">
        <v>1416</v>
      </c>
      <c r="D532" s="39" t="s">
        <v>3181</v>
      </c>
      <c r="E532" s="1" t="s">
        <v>3182</v>
      </c>
      <c r="F532" s="36">
        <v>45082</v>
      </c>
      <c r="G532" s="37" t="s">
        <v>3183</v>
      </c>
      <c r="H532" s="40" t="s">
        <v>177</v>
      </c>
      <c r="I532" s="40" t="s">
        <v>307</v>
      </c>
      <c r="J532" s="57">
        <v>104690</v>
      </c>
      <c r="K532" s="41">
        <v>104690</v>
      </c>
      <c r="L532" s="30">
        <f t="shared" ref="L532:L542" si="104">K532</f>
        <v>104690</v>
      </c>
      <c r="M532" s="30">
        <f t="shared" si="99"/>
        <v>104690</v>
      </c>
      <c r="N532" s="40" t="s">
        <v>299</v>
      </c>
      <c r="O532" s="40" t="s">
        <v>3184</v>
      </c>
      <c r="P532" s="40" t="s">
        <v>199</v>
      </c>
      <c r="Q532" s="44">
        <v>0</v>
      </c>
      <c r="R532" s="37">
        <v>100</v>
      </c>
      <c r="S532" s="37" t="s">
        <v>1964</v>
      </c>
      <c r="T532" s="48">
        <v>50</v>
      </c>
      <c r="U532" s="30">
        <f>M532/W532</f>
        <v>27.55</v>
      </c>
      <c r="V532" s="41">
        <f t="shared" si="102"/>
        <v>1377.5</v>
      </c>
      <c r="W532" s="41">
        <f t="shared" ref="W532:W596" si="105">X532+AC532+AH532</f>
        <v>3800</v>
      </c>
      <c r="X532" s="41">
        <f t="shared" si="91"/>
        <v>3800</v>
      </c>
      <c r="Y532" s="41">
        <v>0</v>
      </c>
      <c r="Z532" s="41">
        <f t="shared" si="92"/>
        <v>0</v>
      </c>
      <c r="AA532" s="41">
        <v>3800</v>
      </c>
      <c r="AB532" s="41">
        <f t="shared" si="93"/>
        <v>104690</v>
      </c>
      <c r="AC532" s="41">
        <f t="shared" si="94"/>
        <v>0</v>
      </c>
      <c r="AD532" s="41">
        <v>0</v>
      </c>
      <c r="AE532" s="41">
        <f t="shared" si="95"/>
        <v>0</v>
      </c>
      <c r="AF532" s="41">
        <v>0</v>
      </c>
      <c r="AG532" s="41">
        <f t="shared" si="96"/>
        <v>0</v>
      </c>
      <c r="AH532" s="41">
        <f t="shared" si="97"/>
        <v>0</v>
      </c>
      <c r="AI532" s="41">
        <v>0</v>
      </c>
      <c r="AJ532" s="41">
        <v>0</v>
      </c>
      <c r="AK532" s="41">
        <v>0</v>
      </c>
      <c r="AL532" s="41">
        <v>0</v>
      </c>
      <c r="AM532" s="41">
        <f t="shared" si="98"/>
        <v>0</v>
      </c>
      <c r="AN532" s="41">
        <f t="shared" si="100"/>
        <v>76</v>
      </c>
      <c r="AO532" s="41">
        <f t="shared" si="101"/>
        <v>76</v>
      </c>
      <c r="AP532" s="40"/>
      <c r="AQ532" s="36">
        <v>45108</v>
      </c>
      <c r="AR532" s="36"/>
      <c r="AS532" s="36"/>
      <c r="AT532" s="36">
        <v>45122</v>
      </c>
      <c r="AU532" s="36"/>
      <c r="AV532" s="38"/>
      <c r="AW532" s="40" t="s">
        <v>87</v>
      </c>
    </row>
    <row r="533" spans="1:49" s="34" customFormat="1" ht="64.5" customHeight="1" x14ac:dyDescent="0.3">
      <c r="A533" s="35" t="s">
        <v>3185</v>
      </c>
      <c r="B533" s="38">
        <v>45061</v>
      </c>
      <c r="C533" s="40">
        <v>1416</v>
      </c>
      <c r="D533" s="39" t="s">
        <v>3187</v>
      </c>
      <c r="E533" s="1" t="s">
        <v>3188</v>
      </c>
      <c r="F533" s="36">
        <v>45082</v>
      </c>
      <c r="G533" s="40" t="s">
        <v>3189</v>
      </c>
      <c r="H533" s="40" t="s">
        <v>3190</v>
      </c>
      <c r="I533" s="40" t="s">
        <v>3191</v>
      </c>
      <c r="J533" s="57">
        <v>242549814.96000001</v>
      </c>
      <c r="K533" s="41">
        <v>242549814.96000001</v>
      </c>
      <c r="L533" s="30">
        <v>0</v>
      </c>
      <c r="M533" s="30">
        <f t="shared" si="99"/>
        <v>0</v>
      </c>
      <c r="N533" s="40" t="s">
        <v>3192</v>
      </c>
      <c r="O533" s="40" t="s">
        <v>3193</v>
      </c>
      <c r="P533" s="40" t="s">
        <v>583</v>
      </c>
      <c r="Q533" s="44">
        <v>0</v>
      </c>
      <c r="R533" s="37">
        <v>100</v>
      </c>
      <c r="S533" s="37" t="s">
        <v>584</v>
      </c>
      <c r="T533" s="67">
        <v>4.8</v>
      </c>
      <c r="U533" s="30">
        <f>M533/W533</f>
        <v>0</v>
      </c>
      <c r="V533" s="41">
        <f t="shared" si="102"/>
        <v>0</v>
      </c>
      <c r="W533" s="41">
        <f t="shared" si="105"/>
        <v>18100.800000000003</v>
      </c>
      <c r="X533" s="41">
        <f t="shared" si="91"/>
        <v>18100.800000000003</v>
      </c>
      <c r="Y533" s="41">
        <v>9667.2000000000007</v>
      </c>
      <c r="Z533" s="41">
        <f t="shared" si="92"/>
        <v>0</v>
      </c>
      <c r="AA533" s="41">
        <v>8433.6</v>
      </c>
      <c r="AB533" s="41">
        <f t="shared" si="93"/>
        <v>0</v>
      </c>
      <c r="AC533" s="41">
        <f t="shared" si="94"/>
        <v>0</v>
      </c>
      <c r="AD533" s="41">
        <v>0</v>
      </c>
      <c r="AE533" s="41">
        <f t="shared" si="95"/>
        <v>0</v>
      </c>
      <c r="AF533" s="41">
        <v>0</v>
      </c>
      <c r="AG533" s="41">
        <f t="shared" si="96"/>
        <v>0</v>
      </c>
      <c r="AH533" s="41">
        <f t="shared" si="97"/>
        <v>0</v>
      </c>
      <c r="AI533" s="41">
        <v>0</v>
      </c>
      <c r="AJ533" s="41">
        <v>0</v>
      </c>
      <c r="AK533" s="41">
        <v>0</v>
      </c>
      <c r="AL533" s="41">
        <v>0</v>
      </c>
      <c r="AM533" s="41">
        <f t="shared" si="98"/>
        <v>0</v>
      </c>
      <c r="AN533" s="41">
        <f t="shared" si="100"/>
        <v>3771.0000000000009</v>
      </c>
      <c r="AO533" s="41">
        <f t="shared" si="101"/>
        <v>3771</v>
      </c>
      <c r="AP533" s="40"/>
      <c r="AQ533" s="36">
        <v>45117</v>
      </c>
      <c r="AR533" s="36"/>
      <c r="AS533" s="36"/>
      <c r="AT533" s="36">
        <v>45132</v>
      </c>
      <c r="AU533" s="36"/>
      <c r="AV533" s="38"/>
      <c r="AW533" s="40" t="s">
        <v>3186</v>
      </c>
    </row>
    <row r="534" spans="1:49" s="34" customFormat="1" ht="64.5" customHeight="1" x14ac:dyDescent="0.3">
      <c r="A534" s="35" t="s">
        <v>3194</v>
      </c>
      <c r="B534" s="38">
        <v>45061</v>
      </c>
      <c r="C534" s="40">
        <v>1416</v>
      </c>
      <c r="D534" s="39" t="s">
        <v>3195</v>
      </c>
      <c r="E534" s="1" t="s">
        <v>3196</v>
      </c>
      <c r="F534" s="36">
        <v>45082</v>
      </c>
      <c r="G534" s="37" t="s">
        <v>3197</v>
      </c>
      <c r="H534" s="40" t="s">
        <v>186</v>
      </c>
      <c r="I534" s="40" t="s">
        <v>3198</v>
      </c>
      <c r="J534" s="57">
        <v>79767859.5</v>
      </c>
      <c r="K534" s="41">
        <v>79767859.5</v>
      </c>
      <c r="L534" s="30">
        <f t="shared" si="104"/>
        <v>79767859.5</v>
      </c>
      <c r="M534" s="30">
        <f t="shared" si="99"/>
        <v>79767859.5</v>
      </c>
      <c r="N534" s="40" t="s">
        <v>216</v>
      </c>
      <c r="O534" s="40" t="s">
        <v>3199</v>
      </c>
      <c r="P534" s="40" t="s">
        <v>218</v>
      </c>
      <c r="Q534" s="44">
        <v>0</v>
      </c>
      <c r="R534" s="37">
        <v>100</v>
      </c>
      <c r="S534" s="37" t="s">
        <v>219</v>
      </c>
      <c r="T534" s="48">
        <v>15</v>
      </c>
      <c r="U534" s="30">
        <f>M534/W534</f>
        <v>5889.1</v>
      </c>
      <c r="V534" s="41">
        <f t="shared" si="102"/>
        <v>88336.5</v>
      </c>
      <c r="W534" s="41">
        <f t="shared" si="105"/>
        <v>13545</v>
      </c>
      <c r="X534" s="41">
        <f t="shared" si="91"/>
        <v>13545</v>
      </c>
      <c r="Y534" s="41">
        <v>0</v>
      </c>
      <c r="Z534" s="41">
        <f t="shared" si="92"/>
        <v>0</v>
      </c>
      <c r="AA534" s="41">
        <v>13545</v>
      </c>
      <c r="AB534" s="41">
        <f t="shared" si="93"/>
        <v>79767859.5</v>
      </c>
      <c r="AC534" s="41">
        <f t="shared" si="94"/>
        <v>0</v>
      </c>
      <c r="AD534" s="41">
        <v>0</v>
      </c>
      <c r="AE534" s="41">
        <f t="shared" si="95"/>
        <v>0</v>
      </c>
      <c r="AF534" s="41">
        <v>0</v>
      </c>
      <c r="AG534" s="41">
        <f t="shared" si="96"/>
        <v>0</v>
      </c>
      <c r="AH534" s="41">
        <f t="shared" si="97"/>
        <v>0</v>
      </c>
      <c r="AI534" s="41">
        <v>0</v>
      </c>
      <c r="AJ534" s="41">
        <v>0</v>
      </c>
      <c r="AK534" s="41">
        <v>0</v>
      </c>
      <c r="AL534" s="41">
        <v>0</v>
      </c>
      <c r="AM534" s="41">
        <f t="shared" si="98"/>
        <v>0</v>
      </c>
      <c r="AN534" s="41">
        <f t="shared" si="100"/>
        <v>903</v>
      </c>
      <c r="AO534" s="41">
        <f t="shared" si="101"/>
        <v>903</v>
      </c>
      <c r="AP534" s="40"/>
      <c r="AQ534" s="36">
        <v>45139</v>
      </c>
      <c r="AR534" s="36"/>
      <c r="AS534" s="36"/>
      <c r="AT534" s="36">
        <v>45153</v>
      </c>
      <c r="AU534" s="36"/>
      <c r="AV534" s="38"/>
      <c r="AW534" s="40" t="s">
        <v>87</v>
      </c>
    </row>
    <row r="535" spans="1:49" s="34" customFormat="1" ht="64.5" customHeight="1" x14ac:dyDescent="0.3">
      <c r="A535" s="35" t="s">
        <v>3200</v>
      </c>
      <c r="B535" s="38">
        <v>45061</v>
      </c>
      <c r="C535" s="40">
        <v>1416</v>
      </c>
      <c r="D535" s="39" t="s">
        <v>3201</v>
      </c>
      <c r="E535" s="1" t="s">
        <v>3202</v>
      </c>
      <c r="F535" s="36">
        <v>45082</v>
      </c>
      <c r="G535" s="40" t="s">
        <v>3203</v>
      </c>
      <c r="H535" s="40" t="s">
        <v>3204</v>
      </c>
      <c r="I535" s="40" t="s">
        <v>3205</v>
      </c>
      <c r="J535" s="57">
        <v>37394480.590000004</v>
      </c>
      <c r="K535" s="41">
        <v>37394451.359999999</v>
      </c>
      <c r="L535" s="30">
        <v>0</v>
      </c>
      <c r="M535" s="30">
        <f t="shared" si="99"/>
        <v>0</v>
      </c>
      <c r="N535" s="40" t="s">
        <v>3192</v>
      </c>
      <c r="O535" s="40" t="s">
        <v>3206</v>
      </c>
      <c r="P535" s="40" t="s">
        <v>583</v>
      </c>
      <c r="Q535" s="44">
        <v>0</v>
      </c>
      <c r="R535" s="37">
        <v>100</v>
      </c>
      <c r="S535" s="37" t="s">
        <v>584</v>
      </c>
      <c r="T535" s="67">
        <v>1.2</v>
      </c>
      <c r="U535" s="30">
        <f>M535/W535</f>
        <v>0</v>
      </c>
      <c r="V535" s="41">
        <f t="shared" si="102"/>
        <v>0</v>
      </c>
      <c r="W535" s="41">
        <f t="shared" si="105"/>
        <v>2923.2</v>
      </c>
      <c r="X535" s="41">
        <f t="shared" si="91"/>
        <v>2923.2</v>
      </c>
      <c r="Y535" s="41">
        <v>1497.6</v>
      </c>
      <c r="Z535" s="41">
        <f t="shared" si="92"/>
        <v>0</v>
      </c>
      <c r="AA535" s="41">
        <v>1425.6</v>
      </c>
      <c r="AB535" s="41">
        <f t="shared" si="93"/>
        <v>0</v>
      </c>
      <c r="AC535" s="41">
        <f t="shared" si="94"/>
        <v>0</v>
      </c>
      <c r="AD535" s="41">
        <v>0</v>
      </c>
      <c r="AE535" s="41">
        <f t="shared" si="95"/>
        <v>0</v>
      </c>
      <c r="AF535" s="41">
        <v>0</v>
      </c>
      <c r="AG535" s="41">
        <f t="shared" si="96"/>
        <v>0</v>
      </c>
      <c r="AH535" s="41">
        <f t="shared" si="97"/>
        <v>0</v>
      </c>
      <c r="AI535" s="41">
        <v>0</v>
      </c>
      <c r="AJ535" s="41">
        <v>0</v>
      </c>
      <c r="AK535" s="41">
        <v>0</v>
      </c>
      <c r="AL535" s="41">
        <v>0</v>
      </c>
      <c r="AM535" s="41">
        <f t="shared" si="98"/>
        <v>0</v>
      </c>
      <c r="AN535" s="41">
        <f t="shared" si="100"/>
        <v>2436</v>
      </c>
      <c r="AO535" s="41">
        <f t="shared" si="101"/>
        <v>2436</v>
      </c>
      <c r="AP535" s="40"/>
      <c r="AQ535" s="36">
        <v>45122</v>
      </c>
      <c r="AR535" s="36"/>
      <c r="AS535" s="36"/>
      <c r="AT535" s="36">
        <v>45137</v>
      </c>
      <c r="AU535" s="36"/>
      <c r="AV535" s="38"/>
      <c r="AW535" s="40" t="s">
        <v>3186</v>
      </c>
    </row>
    <row r="536" spans="1:49" s="34" customFormat="1" ht="64.5" customHeight="1" x14ac:dyDescent="0.3">
      <c r="A536" s="35" t="s">
        <v>3207</v>
      </c>
      <c r="B536" s="38">
        <v>45061</v>
      </c>
      <c r="C536" s="40">
        <v>1416</v>
      </c>
      <c r="D536" s="39" t="s">
        <v>3208</v>
      </c>
      <c r="E536" s="1" t="s">
        <v>3209</v>
      </c>
      <c r="F536" s="36">
        <v>45086</v>
      </c>
      <c r="G536" s="37" t="s">
        <v>3210</v>
      </c>
      <c r="H536" s="40" t="s">
        <v>353</v>
      </c>
      <c r="I536" s="40" t="s">
        <v>3211</v>
      </c>
      <c r="J536" s="57">
        <v>112713601.44</v>
      </c>
      <c r="K536" s="41">
        <v>112713601.44</v>
      </c>
      <c r="L536" s="30">
        <f t="shared" si="104"/>
        <v>112713601.44</v>
      </c>
      <c r="M536" s="30">
        <f t="shared" si="99"/>
        <v>112713601.44</v>
      </c>
      <c r="N536" s="40" t="s">
        <v>355</v>
      </c>
      <c r="O536" s="40" t="s">
        <v>952</v>
      </c>
      <c r="P536" s="40" t="s">
        <v>357</v>
      </c>
      <c r="Q536" s="44">
        <v>0</v>
      </c>
      <c r="R536" s="37">
        <v>100</v>
      </c>
      <c r="S536" s="37" t="s">
        <v>219</v>
      </c>
      <c r="T536" s="48">
        <v>1</v>
      </c>
      <c r="U536" s="30">
        <f>M536/W536</f>
        <v>52768.54</v>
      </c>
      <c r="V536" s="41">
        <f t="shared" si="102"/>
        <v>52768.54</v>
      </c>
      <c r="W536" s="41">
        <f t="shared" si="105"/>
        <v>2136</v>
      </c>
      <c r="X536" s="41">
        <f t="shared" si="91"/>
        <v>2099</v>
      </c>
      <c r="Y536" s="41">
        <v>1947</v>
      </c>
      <c r="Z536" s="41">
        <f t="shared" si="92"/>
        <v>102740347.38</v>
      </c>
      <c r="AA536" s="41">
        <v>152</v>
      </c>
      <c r="AB536" s="41">
        <f t="shared" si="93"/>
        <v>8020818.0800000001</v>
      </c>
      <c r="AC536" s="41">
        <f t="shared" si="94"/>
        <v>37</v>
      </c>
      <c r="AD536" s="41">
        <v>37</v>
      </c>
      <c r="AE536" s="41">
        <f t="shared" si="95"/>
        <v>1952435.98</v>
      </c>
      <c r="AF536" s="41">
        <v>0</v>
      </c>
      <c r="AG536" s="41">
        <f t="shared" si="96"/>
        <v>0</v>
      </c>
      <c r="AH536" s="41">
        <f t="shared" si="97"/>
        <v>0</v>
      </c>
      <c r="AI536" s="41">
        <v>0</v>
      </c>
      <c r="AJ536" s="41">
        <v>0</v>
      </c>
      <c r="AK536" s="41">
        <v>0</v>
      </c>
      <c r="AL536" s="41">
        <v>0</v>
      </c>
      <c r="AM536" s="41">
        <f t="shared" si="98"/>
        <v>104692783.36</v>
      </c>
      <c r="AN536" s="41">
        <f t="shared" si="100"/>
        <v>2136</v>
      </c>
      <c r="AO536" s="41">
        <f t="shared" si="101"/>
        <v>2136</v>
      </c>
      <c r="AP536" s="40"/>
      <c r="AQ536" s="36">
        <v>45107</v>
      </c>
      <c r="AR536" s="36">
        <v>45275</v>
      </c>
      <c r="AS536" s="36"/>
      <c r="AT536" s="36">
        <v>45122</v>
      </c>
      <c r="AU536" s="36">
        <v>45285</v>
      </c>
      <c r="AV536" s="38"/>
      <c r="AW536" s="40" t="s">
        <v>75</v>
      </c>
    </row>
    <row r="537" spans="1:49" s="34" customFormat="1" ht="64.5" customHeight="1" x14ac:dyDescent="0.3">
      <c r="A537" s="35" t="s">
        <v>3212</v>
      </c>
      <c r="B537" s="38">
        <v>45063</v>
      </c>
      <c r="C537" s="40">
        <v>1416</v>
      </c>
      <c r="D537" s="39" t="s">
        <v>3213</v>
      </c>
      <c r="E537" s="1" t="s">
        <v>3214</v>
      </c>
      <c r="F537" s="36">
        <v>45083</v>
      </c>
      <c r="G537" s="37" t="s">
        <v>3215</v>
      </c>
      <c r="H537" s="40" t="s">
        <v>177</v>
      </c>
      <c r="I537" s="40" t="s">
        <v>624</v>
      </c>
      <c r="J537" s="57">
        <v>16928979.48</v>
      </c>
      <c r="K537" s="41">
        <v>16928979.48</v>
      </c>
      <c r="L537" s="30">
        <f t="shared" si="104"/>
        <v>16928979.48</v>
      </c>
      <c r="M537" s="30">
        <f t="shared" si="99"/>
        <v>16928979.48</v>
      </c>
      <c r="N537" s="40" t="s">
        <v>535</v>
      </c>
      <c r="O537" s="40" t="s">
        <v>3216</v>
      </c>
      <c r="P537" s="40" t="s">
        <v>47</v>
      </c>
      <c r="Q537" s="44">
        <v>100</v>
      </c>
      <c r="R537" s="37">
        <v>0</v>
      </c>
      <c r="S537" s="37" t="s">
        <v>1964</v>
      </c>
      <c r="T537" s="48">
        <v>21</v>
      </c>
      <c r="U537" s="30">
        <f>M537/W537</f>
        <v>10607.130000000001</v>
      </c>
      <c r="V537" s="41">
        <f t="shared" si="102"/>
        <v>222749.73</v>
      </c>
      <c r="W537" s="41">
        <f t="shared" si="105"/>
        <v>1596</v>
      </c>
      <c r="X537" s="41">
        <f t="shared" si="91"/>
        <v>1596</v>
      </c>
      <c r="Y537" s="41">
        <v>0</v>
      </c>
      <c r="Z537" s="41">
        <f t="shared" si="92"/>
        <v>0</v>
      </c>
      <c r="AA537" s="41">
        <v>1596</v>
      </c>
      <c r="AB537" s="41">
        <f t="shared" si="93"/>
        <v>16928979.48</v>
      </c>
      <c r="AC537" s="41">
        <f t="shared" si="94"/>
        <v>0</v>
      </c>
      <c r="AD537" s="41">
        <v>0</v>
      </c>
      <c r="AE537" s="41">
        <f t="shared" si="95"/>
        <v>0</v>
      </c>
      <c r="AF537" s="41">
        <v>0</v>
      </c>
      <c r="AG537" s="41">
        <f t="shared" si="96"/>
        <v>0</v>
      </c>
      <c r="AH537" s="41">
        <f t="shared" si="97"/>
        <v>0</v>
      </c>
      <c r="AI537" s="41">
        <v>0</v>
      </c>
      <c r="AJ537" s="41">
        <v>0</v>
      </c>
      <c r="AK537" s="41">
        <v>0</v>
      </c>
      <c r="AL537" s="41">
        <v>0</v>
      </c>
      <c r="AM537" s="41">
        <f t="shared" si="98"/>
        <v>0</v>
      </c>
      <c r="AN537" s="41">
        <f t="shared" si="100"/>
        <v>76</v>
      </c>
      <c r="AO537" s="41">
        <f t="shared" si="101"/>
        <v>76</v>
      </c>
      <c r="AP537" s="40"/>
      <c r="AQ537" s="36">
        <v>45122</v>
      </c>
      <c r="AR537" s="36"/>
      <c r="AS537" s="36"/>
      <c r="AT537" s="36">
        <v>45137</v>
      </c>
      <c r="AU537" s="36"/>
      <c r="AV537" s="38"/>
      <c r="AW537" s="40" t="s">
        <v>87</v>
      </c>
    </row>
    <row r="538" spans="1:49" s="34" customFormat="1" ht="64.5" customHeight="1" x14ac:dyDescent="0.3">
      <c r="A538" s="35" t="s">
        <v>3217</v>
      </c>
      <c r="B538" s="38">
        <v>45063</v>
      </c>
      <c r="C538" s="40" t="s">
        <v>162</v>
      </c>
      <c r="D538" s="39" t="s">
        <v>3218</v>
      </c>
      <c r="E538" s="1" t="s">
        <v>3219</v>
      </c>
      <c r="F538" s="36">
        <v>45083</v>
      </c>
      <c r="G538" s="37" t="s">
        <v>3220</v>
      </c>
      <c r="H538" s="40" t="s">
        <v>571</v>
      </c>
      <c r="I538" s="40" t="s">
        <v>3221</v>
      </c>
      <c r="J538" s="57">
        <v>3885</v>
      </c>
      <c r="K538" s="41">
        <v>3885</v>
      </c>
      <c r="L538" s="30">
        <f t="shared" si="104"/>
        <v>3885</v>
      </c>
      <c r="M538" s="30">
        <f t="shared" si="99"/>
        <v>3885</v>
      </c>
      <c r="N538" s="40" t="s">
        <v>2029</v>
      </c>
      <c r="O538" s="40" t="s">
        <v>3222</v>
      </c>
      <c r="P538" s="40" t="s">
        <v>47</v>
      </c>
      <c r="Q538" s="44">
        <v>100</v>
      </c>
      <c r="R538" s="37">
        <v>0</v>
      </c>
      <c r="S538" s="37" t="s">
        <v>1964</v>
      </c>
      <c r="T538" s="48">
        <v>60</v>
      </c>
      <c r="U538" s="30">
        <f>M538/W538</f>
        <v>2.59</v>
      </c>
      <c r="V538" s="41">
        <f t="shared" si="102"/>
        <v>155.39999999999998</v>
      </c>
      <c r="W538" s="41">
        <f t="shared" si="105"/>
        <v>1500</v>
      </c>
      <c r="X538" s="41">
        <f t="shared" si="91"/>
        <v>1500</v>
      </c>
      <c r="Y538" s="41">
        <v>0</v>
      </c>
      <c r="Z538" s="41">
        <f t="shared" si="92"/>
        <v>0</v>
      </c>
      <c r="AA538" s="41">
        <v>1500</v>
      </c>
      <c r="AB538" s="41">
        <f t="shared" si="93"/>
        <v>3885</v>
      </c>
      <c r="AC538" s="41">
        <f t="shared" si="94"/>
        <v>0</v>
      </c>
      <c r="AD538" s="41">
        <v>0</v>
      </c>
      <c r="AE538" s="41">
        <f t="shared" si="95"/>
        <v>0</v>
      </c>
      <c r="AF538" s="41">
        <v>0</v>
      </c>
      <c r="AG538" s="41">
        <f t="shared" si="96"/>
        <v>0</v>
      </c>
      <c r="AH538" s="41">
        <f t="shared" si="97"/>
        <v>0</v>
      </c>
      <c r="AI538" s="41">
        <v>0</v>
      </c>
      <c r="AJ538" s="41">
        <v>0</v>
      </c>
      <c r="AK538" s="41">
        <v>0</v>
      </c>
      <c r="AL538" s="41">
        <v>0</v>
      </c>
      <c r="AM538" s="41">
        <f t="shared" si="98"/>
        <v>0</v>
      </c>
      <c r="AN538" s="41">
        <f t="shared" si="100"/>
        <v>25</v>
      </c>
      <c r="AO538" s="41">
        <f t="shared" si="101"/>
        <v>25</v>
      </c>
      <c r="AP538" s="40"/>
      <c r="AQ538" s="36">
        <v>45108</v>
      </c>
      <c r="AR538" s="36"/>
      <c r="AS538" s="36"/>
      <c r="AT538" s="36"/>
      <c r="AU538" s="36"/>
      <c r="AV538" s="38"/>
      <c r="AW538" s="40" t="s">
        <v>87</v>
      </c>
    </row>
    <row r="539" spans="1:49" s="34" customFormat="1" ht="64.5" customHeight="1" x14ac:dyDescent="0.3">
      <c r="A539" s="35" t="s">
        <v>3223</v>
      </c>
      <c r="B539" s="38">
        <v>45063</v>
      </c>
      <c r="C539" s="40">
        <v>1416</v>
      </c>
      <c r="D539" s="39" t="s">
        <v>3224</v>
      </c>
      <c r="E539" s="1" t="s">
        <v>3225</v>
      </c>
      <c r="F539" s="36">
        <v>45083</v>
      </c>
      <c r="G539" s="37" t="s">
        <v>3226</v>
      </c>
      <c r="H539" s="40" t="s">
        <v>186</v>
      </c>
      <c r="I539" s="40" t="s">
        <v>3227</v>
      </c>
      <c r="J539" s="57">
        <v>285513285.12</v>
      </c>
      <c r="K539" s="41">
        <v>284085215.04000002</v>
      </c>
      <c r="L539" s="30">
        <f t="shared" si="104"/>
        <v>284085215.04000002</v>
      </c>
      <c r="M539" s="30">
        <f t="shared" si="99"/>
        <v>284085215.04000002</v>
      </c>
      <c r="N539" s="40" t="s">
        <v>590</v>
      </c>
      <c r="O539" s="40" t="s">
        <v>3228</v>
      </c>
      <c r="P539" s="40" t="s">
        <v>47</v>
      </c>
      <c r="Q539" s="44">
        <v>100</v>
      </c>
      <c r="R539" s="37">
        <v>0</v>
      </c>
      <c r="S539" s="37" t="s">
        <v>584</v>
      </c>
      <c r="T539" s="67">
        <v>2.4</v>
      </c>
      <c r="U539" s="30">
        <f>M539/W539</f>
        <v>13537.150000000001</v>
      </c>
      <c r="V539" s="41">
        <f t="shared" si="102"/>
        <v>32489.160000000003</v>
      </c>
      <c r="W539" s="41">
        <f t="shared" si="105"/>
        <v>20985.599999999999</v>
      </c>
      <c r="X539" s="41">
        <f t="shared" si="91"/>
        <v>20985.599999999999</v>
      </c>
      <c r="Y539" s="41">
        <v>10092</v>
      </c>
      <c r="Z539" s="41">
        <f t="shared" si="92"/>
        <v>136616917.80000001</v>
      </c>
      <c r="AA539" s="41">
        <v>10893.6</v>
      </c>
      <c r="AB539" s="41">
        <f t="shared" si="93"/>
        <v>147468297.24000001</v>
      </c>
      <c r="AC539" s="41">
        <f t="shared" si="94"/>
        <v>0</v>
      </c>
      <c r="AD539" s="41">
        <v>0</v>
      </c>
      <c r="AE539" s="41">
        <f t="shared" si="95"/>
        <v>0</v>
      </c>
      <c r="AF539" s="41">
        <v>0</v>
      </c>
      <c r="AG539" s="41">
        <f t="shared" si="96"/>
        <v>0</v>
      </c>
      <c r="AH539" s="41">
        <f t="shared" si="97"/>
        <v>0</v>
      </c>
      <c r="AI539" s="41">
        <v>0</v>
      </c>
      <c r="AJ539" s="41">
        <v>0</v>
      </c>
      <c r="AK539" s="41">
        <v>0</v>
      </c>
      <c r="AL539" s="41">
        <v>0</v>
      </c>
      <c r="AM539" s="41">
        <f t="shared" si="98"/>
        <v>136616917.80000001</v>
      </c>
      <c r="AN539" s="41">
        <f t="shared" si="100"/>
        <v>8744</v>
      </c>
      <c r="AO539" s="41">
        <f t="shared" si="101"/>
        <v>8744</v>
      </c>
      <c r="AP539" s="40"/>
      <c r="AQ539" s="36">
        <v>45122</v>
      </c>
      <c r="AR539" s="36"/>
      <c r="AS539" s="36"/>
      <c r="AT539" s="36">
        <v>45137</v>
      </c>
      <c r="AU539" s="36"/>
      <c r="AV539" s="38"/>
      <c r="AW539" s="40" t="s">
        <v>49</v>
      </c>
    </row>
    <row r="540" spans="1:49" s="34" customFormat="1" ht="64.5" customHeight="1" x14ac:dyDescent="0.3">
      <c r="A540" s="35" t="s">
        <v>3229</v>
      </c>
      <c r="B540" s="38">
        <v>45063</v>
      </c>
      <c r="C540" s="40">
        <v>1416</v>
      </c>
      <c r="D540" s="39" t="s">
        <v>3230</v>
      </c>
      <c r="E540" s="1" t="s">
        <v>3231</v>
      </c>
      <c r="F540" s="36">
        <v>45096</v>
      </c>
      <c r="G540" s="37" t="s">
        <v>3232</v>
      </c>
      <c r="H540" s="40" t="s">
        <v>344</v>
      </c>
      <c r="I540" s="40" t="s">
        <v>3233</v>
      </c>
      <c r="J540" s="57">
        <v>1269093655</v>
      </c>
      <c r="K540" s="41">
        <v>1269093655</v>
      </c>
      <c r="L540" s="30">
        <f t="shared" si="104"/>
        <v>1269093655</v>
      </c>
      <c r="M540" s="30">
        <f t="shared" si="99"/>
        <v>1269093655</v>
      </c>
      <c r="N540" s="40" t="s">
        <v>3234</v>
      </c>
      <c r="O540" s="40" t="s">
        <v>3235</v>
      </c>
      <c r="P540" s="40" t="s">
        <v>348</v>
      </c>
      <c r="Q540" s="44">
        <v>0</v>
      </c>
      <c r="R540" s="37">
        <v>100</v>
      </c>
      <c r="S540" s="37" t="s">
        <v>219</v>
      </c>
      <c r="T540" s="48">
        <v>20</v>
      </c>
      <c r="U540" s="30">
        <f>M540/W540</f>
        <v>3559.87</v>
      </c>
      <c r="V540" s="41">
        <f t="shared" si="102"/>
        <v>71197.399999999994</v>
      </c>
      <c r="W540" s="41">
        <v>356500</v>
      </c>
      <c r="X540" s="41">
        <f t="shared" si="91"/>
        <v>356500</v>
      </c>
      <c r="Y540" s="41">
        <v>0</v>
      </c>
      <c r="Z540" s="41">
        <f t="shared" si="92"/>
        <v>0</v>
      </c>
      <c r="AA540" s="41">
        <v>356500</v>
      </c>
      <c r="AB540" s="41">
        <f t="shared" si="93"/>
        <v>1269093655</v>
      </c>
      <c r="AC540" s="41">
        <f t="shared" si="94"/>
        <v>0</v>
      </c>
      <c r="AD540" s="41">
        <v>0</v>
      </c>
      <c r="AE540" s="41">
        <f t="shared" si="95"/>
        <v>0</v>
      </c>
      <c r="AF540" s="41">
        <v>0</v>
      </c>
      <c r="AG540" s="41">
        <f t="shared" si="96"/>
        <v>0</v>
      </c>
      <c r="AH540" s="41">
        <f t="shared" si="97"/>
        <v>0</v>
      </c>
      <c r="AI540" s="41">
        <v>0</v>
      </c>
      <c r="AJ540" s="41">
        <v>0</v>
      </c>
      <c r="AK540" s="41">
        <v>0</v>
      </c>
      <c r="AL540" s="41">
        <v>0</v>
      </c>
      <c r="AM540" s="41">
        <f t="shared" si="98"/>
        <v>0</v>
      </c>
      <c r="AN540" s="41">
        <f t="shared" si="100"/>
        <v>17825</v>
      </c>
      <c r="AO540" s="41">
        <f t="shared" si="101"/>
        <v>17825</v>
      </c>
      <c r="AP540" s="40"/>
      <c r="AQ540" s="36">
        <v>45117</v>
      </c>
      <c r="AR540" s="36"/>
      <c r="AS540" s="36"/>
      <c r="AT540" s="36">
        <v>45132</v>
      </c>
      <c r="AU540" s="36"/>
      <c r="AV540" s="38"/>
      <c r="AW540" s="40" t="s">
        <v>49</v>
      </c>
    </row>
    <row r="541" spans="1:49" s="34" customFormat="1" ht="64.5" customHeight="1" x14ac:dyDescent="0.3">
      <c r="A541" s="35" t="s">
        <v>3236</v>
      </c>
      <c r="B541" s="38">
        <v>45063</v>
      </c>
      <c r="C541" s="40">
        <v>545</v>
      </c>
      <c r="D541" s="39" t="s">
        <v>3237</v>
      </c>
      <c r="E541" s="1" t="s">
        <v>3238</v>
      </c>
      <c r="F541" s="36">
        <v>45083</v>
      </c>
      <c r="G541" s="37" t="s">
        <v>3239</v>
      </c>
      <c r="H541" s="40" t="s">
        <v>878</v>
      </c>
      <c r="I541" s="40" t="s">
        <v>1427</v>
      </c>
      <c r="J541" s="57">
        <v>2600262.6</v>
      </c>
      <c r="K541" s="57">
        <v>2600262.6</v>
      </c>
      <c r="L541" s="30">
        <f t="shared" si="104"/>
        <v>2600262.6</v>
      </c>
      <c r="M541" s="30">
        <f t="shared" si="99"/>
        <v>2600262.6</v>
      </c>
      <c r="N541" s="40" t="s">
        <v>1421</v>
      </c>
      <c r="O541" s="40" t="s">
        <v>1428</v>
      </c>
      <c r="P541" s="40" t="s">
        <v>218</v>
      </c>
      <c r="Q541" s="44">
        <v>0</v>
      </c>
      <c r="R541" s="37">
        <v>100</v>
      </c>
      <c r="S541" s="37" t="s">
        <v>1964</v>
      </c>
      <c r="T541" s="48">
        <v>60</v>
      </c>
      <c r="U541" s="30">
        <f>M541/W541</f>
        <v>3333.67</v>
      </c>
      <c r="V541" s="41">
        <f t="shared" si="102"/>
        <v>200020.2</v>
      </c>
      <c r="W541" s="41">
        <f t="shared" si="105"/>
        <v>780</v>
      </c>
      <c r="X541" s="41">
        <v>780</v>
      </c>
      <c r="Y541" s="41">
        <v>0</v>
      </c>
      <c r="Z541" s="41">
        <f t="shared" si="92"/>
        <v>0</v>
      </c>
      <c r="AA541" s="41">
        <v>0</v>
      </c>
      <c r="AB541" s="41">
        <f t="shared" si="93"/>
        <v>0</v>
      </c>
      <c r="AC541" s="41">
        <f t="shared" si="94"/>
        <v>0</v>
      </c>
      <c r="AD541" s="41">
        <v>0</v>
      </c>
      <c r="AE541" s="41">
        <f t="shared" si="95"/>
        <v>0</v>
      </c>
      <c r="AF541" s="41">
        <v>0</v>
      </c>
      <c r="AG541" s="41">
        <f t="shared" si="96"/>
        <v>0</v>
      </c>
      <c r="AH541" s="41">
        <f t="shared" si="97"/>
        <v>0</v>
      </c>
      <c r="AI541" s="41">
        <v>0</v>
      </c>
      <c r="AJ541" s="41">
        <v>0</v>
      </c>
      <c r="AK541" s="41">
        <v>0</v>
      </c>
      <c r="AL541" s="41">
        <v>0</v>
      </c>
      <c r="AM541" s="41">
        <f t="shared" si="98"/>
        <v>0</v>
      </c>
      <c r="AN541" s="41">
        <f t="shared" si="100"/>
        <v>13</v>
      </c>
      <c r="AO541" s="41">
        <f t="shared" si="101"/>
        <v>13</v>
      </c>
      <c r="AP541" s="40"/>
      <c r="AQ541" s="36">
        <v>45107</v>
      </c>
      <c r="AR541" s="36"/>
      <c r="AS541" s="36"/>
      <c r="AT541" s="36">
        <v>45122</v>
      </c>
      <c r="AU541" s="36"/>
      <c r="AV541" s="38"/>
      <c r="AW541" s="40" t="s">
        <v>87</v>
      </c>
    </row>
    <row r="542" spans="1:49" s="34" customFormat="1" ht="64.5" customHeight="1" x14ac:dyDescent="0.3">
      <c r="A542" s="35" t="s">
        <v>3240</v>
      </c>
      <c r="B542" s="38">
        <v>45063</v>
      </c>
      <c r="C542" s="40">
        <v>545</v>
      </c>
      <c r="D542" s="39" t="s">
        <v>3241</v>
      </c>
      <c r="E542" s="1" t="s">
        <v>3242</v>
      </c>
      <c r="F542" s="36">
        <v>45083</v>
      </c>
      <c r="G542" s="37" t="s">
        <v>3243</v>
      </c>
      <c r="H542" s="40" t="s">
        <v>224</v>
      </c>
      <c r="I542" s="40" t="s">
        <v>1906</v>
      </c>
      <c r="J542" s="57">
        <v>55756879.200000003</v>
      </c>
      <c r="K542" s="41">
        <v>55756879.200000003</v>
      </c>
      <c r="L542" s="30">
        <f t="shared" si="104"/>
        <v>55756879.200000003</v>
      </c>
      <c r="M542" s="30">
        <f t="shared" si="99"/>
        <v>55756879.200000003</v>
      </c>
      <c r="N542" s="40" t="s">
        <v>2392</v>
      </c>
      <c r="O542" s="40" t="s">
        <v>2440</v>
      </c>
      <c r="P542" s="40" t="s">
        <v>2394</v>
      </c>
      <c r="Q542" s="44">
        <v>0</v>
      </c>
      <c r="R542" s="37">
        <v>100</v>
      </c>
      <c r="S542" s="37" t="s">
        <v>1489</v>
      </c>
      <c r="T542" s="48">
        <v>120</v>
      </c>
      <c r="U542" s="30">
        <f>M542/W542</f>
        <v>25813.370000000003</v>
      </c>
      <c r="V542" s="41">
        <f t="shared" si="102"/>
        <v>3097604.4000000004</v>
      </c>
      <c r="W542" s="41">
        <f t="shared" si="105"/>
        <v>2160</v>
      </c>
      <c r="X542" s="41">
        <v>2160</v>
      </c>
      <c r="Y542" s="41">
        <v>0</v>
      </c>
      <c r="Z542" s="41">
        <f t="shared" si="92"/>
        <v>0</v>
      </c>
      <c r="AA542" s="41">
        <v>0</v>
      </c>
      <c r="AB542" s="41">
        <f t="shared" si="93"/>
        <v>0</v>
      </c>
      <c r="AC542" s="41">
        <f t="shared" si="94"/>
        <v>0</v>
      </c>
      <c r="AD542" s="41">
        <v>0</v>
      </c>
      <c r="AE542" s="41">
        <f t="shared" si="95"/>
        <v>0</v>
      </c>
      <c r="AF542" s="41">
        <v>0</v>
      </c>
      <c r="AG542" s="41">
        <f t="shared" si="96"/>
        <v>0</v>
      </c>
      <c r="AH542" s="41">
        <f t="shared" si="97"/>
        <v>0</v>
      </c>
      <c r="AI542" s="41">
        <v>0</v>
      </c>
      <c r="AJ542" s="41">
        <v>0</v>
      </c>
      <c r="AK542" s="41">
        <v>0</v>
      </c>
      <c r="AL542" s="41">
        <v>0</v>
      </c>
      <c r="AM542" s="41">
        <f t="shared" si="98"/>
        <v>0</v>
      </c>
      <c r="AN542" s="41">
        <f t="shared" si="100"/>
        <v>18</v>
      </c>
      <c r="AO542" s="41">
        <f t="shared" si="101"/>
        <v>18</v>
      </c>
      <c r="AP542" s="40"/>
      <c r="AQ542" s="36">
        <v>45108</v>
      </c>
      <c r="AR542" s="36"/>
      <c r="AS542" s="36"/>
      <c r="AT542" s="36">
        <v>45122</v>
      </c>
      <c r="AU542" s="36"/>
      <c r="AV542" s="38"/>
      <c r="AW542" s="40" t="s">
        <v>87</v>
      </c>
    </row>
    <row r="543" spans="1:49" s="34" customFormat="1" ht="64.5" customHeight="1" x14ac:dyDescent="0.3">
      <c r="A543" s="35" t="s">
        <v>3244</v>
      </c>
      <c r="B543" s="38">
        <v>45064</v>
      </c>
      <c r="C543" s="40">
        <v>1416</v>
      </c>
      <c r="D543" s="39" t="s">
        <v>3245</v>
      </c>
      <c r="E543" s="1" t="s">
        <v>3246</v>
      </c>
      <c r="F543" s="36">
        <v>45117</v>
      </c>
      <c r="G543" s="37" t="s">
        <v>3247</v>
      </c>
      <c r="H543" s="40" t="s">
        <v>858</v>
      </c>
      <c r="I543" s="40" t="s">
        <v>3248</v>
      </c>
      <c r="J543" s="57">
        <v>1007497398.6</v>
      </c>
      <c r="K543" s="41">
        <v>5035686.3899999997</v>
      </c>
      <c r="L543" s="30">
        <v>5080614.84</v>
      </c>
      <c r="M543" s="30">
        <f t="shared" si="99"/>
        <v>5080614.84</v>
      </c>
      <c r="N543" s="40" t="s">
        <v>3249</v>
      </c>
      <c r="O543" s="40" t="s">
        <v>3250</v>
      </c>
      <c r="P543" s="40" t="s">
        <v>47</v>
      </c>
      <c r="Q543" s="44">
        <v>100</v>
      </c>
      <c r="R543" s="37">
        <v>0</v>
      </c>
      <c r="S543" s="37" t="s">
        <v>1964</v>
      </c>
      <c r="T543" s="48">
        <v>21</v>
      </c>
      <c r="U543" s="30">
        <f>M543/W543</f>
        <v>25.169999999999998</v>
      </c>
      <c r="V543" s="41">
        <f t="shared" si="102"/>
        <v>528.56999999999994</v>
      </c>
      <c r="W543" s="41">
        <f t="shared" si="105"/>
        <v>201852</v>
      </c>
      <c r="X543" s="41">
        <f t="shared" ref="X543:X555" si="106">Y543+AA543</f>
        <v>201852</v>
      </c>
      <c r="Y543" s="41">
        <v>105</v>
      </c>
      <c r="Z543" s="41">
        <f t="shared" ref="Z543:Z556" si="107">Y543*U543</f>
        <v>2642.85</v>
      </c>
      <c r="AA543" s="41">
        <f>199962+1785</f>
        <v>201747</v>
      </c>
      <c r="AB543" s="41">
        <f t="shared" ref="AB543:AB556" si="108">AA543*U543</f>
        <v>5077971.9899999993</v>
      </c>
      <c r="AC543" s="41">
        <f t="shared" ref="AC543:AC610" si="109">AD543+AF543</f>
        <v>0</v>
      </c>
      <c r="AD543" s="41">
        <v>0</v>
      </c>
      <c r="AE543" s="41">
        <f t="shared" ref="AE543:AE556" si="110">AD543*U543</f>
        <v>0</v>
      </c>
      <c r="AF543" s="41">
        <v>0</v>
      </c>
      <c r="AG543" s="41">
        <f t="shared" ref="AG543:AG556" si="111">AF543*U543</f>
        <v>0</v>
      </c>
      <c r="AH543" s="41">
        <f t="shared" ref="AH543:AH555" si="112">AI543+AK543</f>
        <v>0</v>
      </c>
      <c r="AI543" s="41">
        <v>0</v>
      </c>
      <c r="AJ543" s="41">
        <v>0</v>
      </c>
      <c r="AK543" s="41">
        <v>0</v>
      </c>
      <c r="AL543" s="41">
        <v>0</v>
      </c>
      <c r="AM543" s="41">
        <f t="shared" ref="AM543:AM556" si="113">Z543+AE543+AJ543</f>
        <v>2642.85</v>
      </c>
      <c r="AN543" s="41">
        <f t="shared" si="100"/>
        <v>9612</v>
      </c>
      <c r="AO543" s="41">
        <f t="shared" si="101"/>
        <v>9612</v>
      </c>
      <c r="AP543" s="40"/>
      <c r="AQ543" s="36">
        <v>45170</v>
      </c>
      <c r="AR543" s="36"/>
      <c r="AS543" s="36"/>
      <c r="AT543" s="36">
        <v>45184</v>
      </c>
      <c r="AU543" s="36"/>
      <c r="AV543" s="38"/>
      <c r="AW543" s="40" t="s">
        <v>49</v>
      </c>
    </row>
    <row r="544" spans="1:49" s="34" customFormat="1" ht="64.5" customHeight="1" x14ac:dyDescent="0.3">
      <c r="A544" s="35" t="s">
        <v>3251</v>
      </c>
      <c r="B544" s="38">
        <v>45064</v>
      </c>
      <c r="C544" s="40">
        <v>1416</v>
      </c>
      <c r="D544" s="39" t="s">
        <v>3252</v>
      </c>
      <c r="E544" s="1" t="s">
        <v>3253</v>
      </c>
      <c r="F544" s="36">
        <v>45083</v>
      </c>
      <c r="G544" s="37" t="s">
        <v>3254</v>
      </c>
      <c r="H544" s="40" t="s">
        <v>177</v>
      </c>
      <c r="I544" s="40" t="s">
        <v>3255</v>
      </c>
      <c r="J544" s="57">
        <v>62221424.579999998</v>
      </c>
      <c r="K544" s="41">
        <v>62221424.579999998</v>
      </c>
      <c r="L544" s="30">
        <f t="shared" ref="L544:L555" si="114">K544</f>
        <v>62221424.579999998</v>
      </c>
      <c r="M544" s="30">
        <f t="shared" si="99"/>
        <v>62221424.579999998</v>
      </c>
      <c r="N544" s="40" t="s">
        <v>535</v>
      </c>
      <c r="O544" s="40" t="s">
        <v>536</v>
      </c>
      <c r="P544" s="40" t="s">
        <v>47</v>
      </c>
      <c r="Q544" s="44">
        <v>100</v>
      </c>
      <c r="R544" s="37">
        <v>0</v>
      </c>
      <c r="S544" s="37" t="s">
        <v>1964</v>
      </c>
      <c r="T544" s="48">
        <v>21</v>
      </c>
      <c r="U544" s="30">
        <f>M544/W544</f>
        <v>7071.42</v>
      </c>
      <c r="V544" s="41">
        <f t="shared" si="102"/>
        <v>148499.82</v>
      </c>
      <c r="W544" s="41">
        <f t="shared" si="105"/>
        <v>8799</v>
      </c>
      <c r="X544" s="41">
        <f t="shared" si="106"/>
        <v>8799</v>
      </c>
      <c r="Y544" s="41">
        <v>0</v>
      </c>
      <c r="Z544" s="41">
        <f t="shared" si="107"/>
        <v>0</v>
      </c>
      <c r="AA544" s="41">
        <v>8799</v>
      </c>
      <c r="AB544" s="41">
        <f t="shared" si="108"/>
        <v>62221424.579999998</v>
      </c>
      <c r="AC544" s="41">
        <f t="shared" si="109"/>
        <v>0</v>
      </c>
      <c r="AD544" s="41">
        <v>0</v>
      </c>
      <c r="AE544" s="41">
        <f t="shared" si="110"/>
        <v>0</v>
      </c>
      <c r="AF544" s="41">
        <v>0</v>
      </c>
      <c r="AG544" s="41">
        <f t="shared" si="111"/>
        <v>0</v>
      </c>
      <c r="AH544" s="41">
        <f t="shared" si="112"/>
        <v>0</v>
      </c>
      <c r="AI544" s="41">
        <v>0</v>
      </c>
      <c r="AJ544" s="41">
        <v>0</v>
      </c>
      <c r="AK544" s="41">
        <v>0</v>
      </c>
      <c r="AL544" s="41">
        <v>0</v>
      </c>
      <c r="AM544" s="41">
        <f t="shared" si="113"/>
        <v>0</v>
      </c>
      <c r="AN544" s="41">
        <f t="shared" si="100"/>
        <v>419</v>
      </c>
      <c r="AO544" s="41">
        <f t="shared" si="101"/>
        <v>419</v>
      </c>
      <c r="AP544" s="40"/>
      <c r="AQ544" s="36">
        <v>45117</v>
      </c>
      <c r="AR544" s="36"/>
      <c r="AS544" s="36"/>
      <c r="AT544" s="36">
        <v>45132</v>
      </c>
      <c r="AU544" s="36"/>
      <c r="AV544" s="38"/>
      <c r="AW544" s="40" t="s">
        <v>87</v>
      </c>
    </row>
    <row r="545" spans="1:49" ht="62.25" customHeight="1" x14ac:dyDescent="0.3">
      <c r="A545" s="35" t="s">
        <v>3256</v>
      </c>
      <c r="B545" s="38">
        <v>45065</v>
      </c>
      <c r="C545" s="40" t="s">
        <v>162</v>
      </c>
      <c r="D545" s="39" t="s">
        <v>3257</v>
      </c>
      <c r="E545" s="1" t="s">
        <v>3258</v>
      </c>
      <c r="F545" s="36">
        <v>45086</v>
      </c>
      <c r="G545" s="37" t="s">
        <v>3259</v>
      </c>
      <c r="H545" s="40" t="s">
        <v>571</v>
      </c>
      <c r="I545" s="87" t="s">
        <v>3260</v>
      </c>
      <c r="J545" s="57">
        <v>1151883.7</v>
      </c>
      <c r="K545" s="41">
        <v>127067.3</v>
      </c>
      <c r="L545" s="30">
        <f t="shared" si="114"/>
        <v>127067.3</v>
      </c>
      <c r="M545" s="30">
        <f t="shared" si="99"/>
        <v>127067.3</v>
      </c>
      <c r="N545" s="40" t="s">
        <v>3261</v>
      </c>
      <c r="O545" s="40" t="s">
        <v>3262</v>
      </c>
      <c r="P545" s="40" t="s">
        <v>47</v>
      </c>
      <c r="Q545" s="44">
        <v>100</v>
      </c>
      <c r="R545" s="37">
        <v>0</v>
      </c>
      <c r="S545" s="37" t="s">
        <v>1964</v>
      </c>
      <c r="T545" s="48">
        <v>30</v>
      </c>
      <c r="U545" s="30">
        <f>M545/W545</f>
        <v>3.0700000000000003</v>
      </c>
      <c r="V545" s="41">
        <f t="shared" si="102"/>
        <v>92.100000000000009</v>
      </c>
      <c r="W545" s="41">
        <f t="shared" si="105"/>
        <v>41390</v>
      </c>
      <c r="X545" s="41">
        <v>41390</v>
      </c>
      <c r="Y545" s="41">
        <v>0</v>
      </c>
      <c r="Z545" s="41">
        <f t="shared" si="107"/>
        <v>0</v>
      </c>
      <c r="AA545" s="41">
        <v>0</v>
      </c>
      <c r="AB545" s="41">
        <f t="shared" si="108"/>
        <v>0</v>
      </c>
      <c r="AC545" s="41">
        <f t="shared" si="109"/>
        <v>0</v>
      </c>
      <c r="AD545" s="41">
        <v>0</v>
      </c>
      <c r="AE545" s="41">
        <f t="shared" si="110"/>
        <v>0</v>
      </c>
      <c r="AF545" s="41">
        <v>0</v>
      </c>
      <c r="AG545" s="41">
        <f t="shared" si="111"/>
        <v>0</v>
      </c>
      <c r="AH545" s="41">
        <f t="shared" si="112"/>
        <v>0</v>
      </c>
      <c r="AI545" s="41">
        <v>0</v>
      </c>
      <c r="AJ545" s="41">
        <v>0</v>
      </c>
      <c r="AK545" s="41">
        <v>0</v>
      </c>
      <c r="AL545" s="41">
        <v>0</v>
      </c>
      <c r="AM545" s="41">
        <f t="shared" si="113"/>
        <v>0</v>
      </c>
      <c r="AN545" s="41">
        <f t="shared" si="100"/>
        <v>1379.6666666666667</v>
      </c>
      <c r="AO545" s="41">
        <f t="shared" si="101"/>
        <v>1380</v>
      </c>
      <c r="AP545" s="40"/>
      <c r="AQ545" s="36">
        <v>45122</v>
      </c>
      <c r="AR545" s="36"/>
      <c r="AS545" s="36"/>
      <c r="AT545" s="36">
        <v>45137</v>
      </c>
      <c r="AU545" s="36"/>
      <c r="AV545" s="38"/>
      <c r="AW545" s="40" t="s">
        <v>87</v>
      </c>
    </row>
    <row r="546" spans="1:49" ht="62.25" customHeight="1" x14ac:dyDescent="0.3">
      <c r="A546" s="35" t="s">
        <v>3263</v>
      </c>
      <c r="B546" s="38">
        <v>45068</v>
      </c>
      <c r="C546" s="40">
        <v>1416</v>
      </c>
      <c r="D546" s="39" t="s">
        <v>3264</v>
      </c>
      <c r="E546" s="1" t="s">
        <v>3265</v>
      </c>
      <c r="F546" s="36">
        <v>45093</v>
      </c>
      <c r="G546" s="37" t="s">
        <v>3266</v>
      </c>
      <c r="H546" s="40" t="s">
        <v>186</v>
      </c>
      <c r="I546" s="40" t="s">
        <v>3267</v>
      </c>
      <c r="J546" s="57">
        <v>43206818.850000001</v>
      </c>
      <c r="K546" s="41">
        <v>43206818.850000001</v>
      </c>
      <c r="L546" s="30">
        <f t="shared" si="114"/>
        <v>43206818.850000001</v>
      </c>
      <c r="M546" s="30">
        <f t="shared" si="99"/>
        <v>43206818.850000001</v>
      </c>
      <c r="N546" s="40" t="s">
        <v>3268</v>
      </c>
      <c r="O546" s="40" t="s">
        <v>3269</v>
      </c>
      <c r="P546" s="40" t="s">
        <v>3270</v>
      </c>
      <c r="Q546" s="44">
        <v>0</v>
      </c>
      <c r="R546" s="37">
        <v>100</v>
      </c>
      <c r="S546" s="37" t="s">
        <v>219</v>
      </c>
      <c r="T546" s="67">
        <v>11.7</v>
      </c>
      <c r="U546" s="30">
        <f>M546/W546</f>
        <v>7941.7000000000007</v>
      </c>
      <c r="V546" s="41">
        <f t="shared" si="102"/>
        <v>92917.89</v>
      </c>
      <c r="W546" s="41">
        <f t="shared" si="105"/>
        <v>5440.5</v>
      </c>
      <c r="X546" s="41">
        <f t="shared" si="106"/>
        <v>2691</v>
      </c>
      <c r="Y546" s="41">
        <v>0</v>
      </c>
      <c r="Z546" s="41">
        <f t="shared" si="107"/>
        <v>0</v>
      </c>
      <c r="AA546" s="41">
        <v>2691</v>
      </c>
      <c r="AB546" s="41">
        <f t="shared" si="108"/>
        <v>21371114.700000003</v>
      </c>
      <c r="AC546" s="41">
        <f t="shared" si="109"/>
        <v>2749.5</v>
      </c>
      <c r="AD546" s="41">
        <v>0</v>
      </c>
      <c r="AE546" s="41">
        <f t="shared" si="110"/>
        <v>0</v>
      </c>
      <c r="AF546" s="41">
        <v>2749.5</v>
      </c>
      <c r="AG546" s="41">
        <f t="shared" si="111"/>
        <v>21835704.150000002</v>
      </c>
      <c r="AH546" s="41">
        <f t="shared" si="112"/>
        <v>0</v>
      </c>
      <c r="AI546" s="41">
        <v>0</v>
      </c>
      <c r="AJ546" s="41">
        <v>0</v>
      </c>
      <c r="AK546" s="41">
        <v>0</v>
      </c>
      <c r="AL546" s="41">
        <v>0</v>
      </c>
      <c r="AM546" s="41">
        <f t="shared" si="113"/>
        <v>0</v>
      </c>
      <c r="AN546" s="41">
        <f t="shared" si="100"/>
        <v>465</v>
      </c>
      <c r="AO546" s="41">
        <f t="shared" si="101"/>
        <v>465</v>
      </c>
      <c r="AP546" s="40"/>
      <c r="AQ546" s="36">
        <v>45117</v>
      </c>
      <c r="AR546" s="36">
        <v>45200</v>
      </c>
      <c r="AS546" s="36"/>
      <c r="AT546" s="36">
        <v>45132</v>
      </c>
      <c r="AU546" s="36">
        <v>45214</v>
      </c>
      <c r="AV546" s="38"/>
      <c r="AW546" s="40" t="s">
        <v>75</v>
      </c>
    </row>
    <row r="547" spans="1:49" ht="62.25" customHeight="1" x14ac:dyDescent="0.3">
      <c r="A547" s="35" t="s">
        <v>3271</v>
      </c>
      <c r="B547" s="38">
        <v>45068</v>
      </c>
      <c r="C547" s="40">
        <v>1416</v>
      </c>
      <c r="D547" s="39" t="s">
        <v>3272</v>
      </c>
      <c r="E547" s="1" t="s">
        <v>3273</v>
      </c>
      <c r="F547" s="36">
        <v>45090</v>
      </c>
      <c r="G547" s="37" t="s">
        <v>3274</v>
      </c>
      <c r="H547" s="40" t="s">
        <v>571</v>
      </c>
      <c r="I547" s="40" t="s">
        <v>738</v>
      </c>
      <c r="J547" s="57">
        <v>19427704</v>
      </c>
      <c r="K547" s="41">
        <v>19325632</v>
      </c>
      <c r="L547" s="30">
        <f t="shared" si="114"/>
        <v>19325632</v>
      </c>
      <c r="M547" s="30">
        <f t="shared" si="99"/>
        <v>19325632</v>
      </c>
      <c r="N547" s="40" t="s">
        <v>739</v>
      </c>
      <c r="O547" s="40" t="s">
        <v>3275</v>
      </c>
      <c r="P547" s="40" t="s">
        <v>47</v>
      </c>
      <c r="Q547" s="44">
        <v>100</v>
      </c>
      <c r="R547" s="37">
        <v>0</v>
      </c>
      <c r="S547" s="37" t="s">
        <v>1964</v>
      </c>
      <c r="T547" s="48">
        <v>50</v>
      </c>
      <c r="U547" s="30">
        <f>M547/W547</f>
        <v>22.72</v>
      </c>
      <c r="V547" s="41">
        <f t="shared" si="102"/>
        <v>1136</v>
      </c>
      <c r="W547" s="41">
        <f t="shared" si="105"/>
        <v>850600</v>
      </c>
      <c r="X547" s="41">
        <f t="shared" si="106"/>
        <v>850600</v>
      </c>
      <c r="Y547" s="41">
        <v>15500</v>
      </c>
      <c r="Z547" s="41">
        <f t="shared" si="107"/>
        <v>352160</v>
      </c>
      <c r="AA547" s="41">
        <v>835100</v>
      </c>
      <c r="AB547" s="41">
        <f t="shared" si="108"/>
        <v>18973472</v>
      </c>
      <c r="AC547" s="41">
        <f t="shared" si="109"/>
        <v>0</v>
      </c>
      <c r="AD547" s="41">
        <v>0</v>
      </c>
      <c r="AE547" s="41">
        <f t="shared" si="110"/>
        <v>0</v>
      </c>
      <c r="AF547" s="41">
        <v>0</v>
      </c>
      <c r="AG547" s="41">
        <f t="shared" si="111"/>
        <v>0</v>
      </c>
      <c r="AH547" s="41">
        <f t="shared" si="112"/>
        <v>0</v>
      </c>
      <c r="AI547" s="41">
        <v>0</v>
      </c>
      <c r="AJ547" s="41">
        <v>0</v>
      </c>
      <c r="AK547" s="41">
        <v>0</v>
      </c>
      <c r="AL547" s="41">
        <v>0</v>
      </c>
      <c r="AM547" s="41">
        <f t="shared" si="113"/>
        <v>352160</v>
      </c>
      <c r="AN547" s="41">
        <f t="shared" si="100"/>
        <v>17012</v>
      </c>
      <c r="AO547" s="41">
        <f t="shared" si="101"/>
        <v>17012</v>
      </c>
      <c r="AP547" s="40"/>
      <c r="AQ547" s="36">
        <v>45117</v>
      </c>
      <c r="AR547" s="36"/>
      <c r="AS547" s="36"/>
      <c r="AT547" s="36">
        <v>45132</v>
      </c>
      <c r="AU547" s="36"/>
      <c r="AV547" s="38"/>
      <c r="AW547" s="40" t="s">
        <v>49</v>
      </c>
    </row>
    <row r="548" spans="1:49" ht="62.25" customHeight="1" x14ac:dyDescent="0.3">
      <c r="A548" s="35" t="s">
        <v>3276</v>
      </c>
      <c r="B548" s="38">
        <v>45068</v>
      </c>
      <c r="C548" s="40" t="s">
        <v>162</v>
      </c>
      <c r="D548" s="39" t="s">
        <v>3277</v>
      </c>
      <c r="E548" s="1" t="s">
        <v>3278</v>
      </c>
      <c r="F548" s="36">
        <v>45090</v>
      </c>
      <c r="G548" s="37" t="s">
        <v>3279</v>
      </c>
      <c r="H548" s="40" t="s">
        <v>571</v>
      </c>
      <c r="I548" s="40" t="s">
        <v>3280</v>
      </c>
      <c r="J548" s="57">
        <v>240026.4</v>
      </c>
      <c r="K548" s="41">
        <v>239644.79999999999</v>
      </c>
      <c r="L548" s="30">
        <f t="shared" si="114"/>
        <v>239644.79999999999</v>
      </c>
      <c r="M548" s="30">
        <f t="shared" si="99"/>
        <v>239644.79999999999</v>
      </c>
      <c r="N548" s="40" t="s">
        <v>1128</v>
      </c>
      <c r="O548" s="40" t="s">
        <v>2154</v>
      </c>
      <c r="P548" s="40" t="s">
        <v>47</v>
      </c>
      <c r="Q548" s="44">
        <v>100</v>
      </c>
      <c r="R548" s="37">
        <v>0</v>
      </c>
      <c r="S548" s="37" t="s">
        <v>1964</v>
      </c>
      <c r="T548" s="48">
        <v>30</v>
      </c>
      <c r="U548" s="30">
        <f>M548/W548</f>
        <v>6.2799999999999994</v>
      </c>
      <c r="V548" s="41">
        <f t="shared" si="102"/>
        <v>188.39999999999998</v>
      </c>
      <c r="W548" s="41">
        <f t="shared" si="105"/>
        <v>38160</v>
      </c>
      <c r="X548" s="41">
        <v>38160</v>
      </c>
      <c r="Y548" s="41">
        <v>0</v>
      </c>
      <c r="Z548" s="41">
        <f t="shared" si="107"/>
        <v>0</v>
      </c>
      <c r="AA548" s="41">
        <v>0</v>
      </c>
      <c r="AB548" s="41">
        <f t="shared" si="108"/>
        <v>0</v>
      </c>
      <c r="AC548" s="41">
        <f t="shared" si="109"/>
        <v>0</v>
      </c>
      <c r="AD548" s="41">
        <v>0</v>
      </c>
      <c r="AE548" s="41">
        <f t="shared" si="110"/>
        <v>0</v>
      </c>
      <c r="AF548" s="41">
        <v>0</v>
      </c>
      <c r="AG548" s="41">
        <f t="shared" si="111"/>
        <v>0</v>
      </c>
      <c r="AH548" s="41">
        <f t="shared" si="112"/>
        <v>0</v>
      </c>
      <c r="AI548" s="41">
        <v>0</v>
      </c>
      <c r="AJ548" s="41">
        <v>0</v>
      </c>
      <c r="AK548" s="41">
        <v>0</v>
      </c>
      <c r="AL548" s="41">
        <v>0</v>
      </c>
      <c r="AM548" s="41">
        <f t="shared" si="113"/>
        <v>0</v>
      </c>
      <c r="AN548" s="41">
        <f t="shared" si="100"/>
        <v>1272</v>
      </c>
      <c r="AO548" s="41">
        <f t="shared" si="101"/>
        <v>1272</v>
      </c>
      <c r="AP548" s="40"/>
      <c r="AQ548" s="36">
        <v>45122</v>
      </c>
      <c r="AR548" s="36"/>
      <c r="AS548" s="36"/>
      <c r="AT548" s="36">
        <v>45137</v>
      </c>
      <c r="AU548" s="36"/>
      <c r="AV548" s="38"/>
      <c r="AW548" s="40" t="s">
        <v>87</v>
      </c>
    </row>
    <row r="549" spans="1:49" ht="62.25" customHeight="1" x14ac:dyDescent="0.3">
      <c r="A549" s="35" t="s">
        <v>3281</v>
      </c>
      <c r="B549" s="38">
        <v>45068</v>
      </c>
      <c r="C549" s="40">
        <v>545</v>
      </c>
      <c r="D549" s="39" t="s">
        <v>3282</v>
      </c>
      <c r="E549" s="1" t="s">
        <v>3283</v>
      </c>
      <c r="F549" s="36">
        <v>45090</v>
      </c>
      <c r="G549" s="37" t="s">
        <v>3284</v>
      </c>
      <c r="H549" s="40" t="s">
        <v>878</v>
      </c>
      <c r="I549" s="40" t="s">
        <v>2554</v>
      </c>
      <c r="J549" s="57">
        <v>3691987.2</v>
      </c>
      <c r="K549" s="41">
        <v>3691987.2</v>
      </c>
      <c r="L549" s="30">
        <f t="shared" si="114"/>
        <v>3691987.2</v>
      </c>
      <c r="M549" s="30">
        <f t="shared" si="99"/>
        <v>3691987.2</v>
      </c>
      <c r="N549" s="40" t="s">
        <v>3285</v>
      </c>
      <c r="O549" s="40" t="s">
        <v>3286</v>
      </c>
      <c r="P549" s="40" t="s">
        <v>218</v>
      </c>
      <c r="Q549" s="44">
        <v>0</v>
      </c>
      <c r="R549" s="37">
        <v>100</v>
      </c>
      <c r="S549" s="37" t="s">
        <v>1964</v>
      </c>
      <c r="T549" s="48">
        <v>60</v>
      </c>
      <c r="U549" s="30">
        <f>M549/W549</f>
        <v>3845.82</v>
      </c>
      <c r="V549" s="41">
        <f t="shared" si="102"/>
        <v>230749.2</v>
      </c>
      <c r="W549" s="41">
        <f t="shared" si="105"/>
        <v>960</v>
      </c>
      <c r="X549" s="41">
        <v>960</v>
      </c>
      <c r="Y549" s="41">
        <v>0</v>
      </c>
      <c r="Z549" s="41">
        <f t="shared" si="107"/>
        <v>0</v>
      </c>
      <c r="AA549" s="41">
        <v>0</v>
      </c>
      <c r="AB549" s="41">
        <f t="shared" si="108"/>
        <v>0</v>
      </c>
      <c r="AC549" s="41">
        <f t="shared" si="109"/>
        <v>0</v>
      </c>
      <c r="AD549" s="41">
        <v>0</v>
      </c>
      <c r="AE549" s="41">
        <f t="shared" si="110"/>
        <v>0</v>
      </c>
      <c r="AF549" s="41">
        <v>0</v>
      </c>
      <c r="AG549" s="41">
        <f t="shared" si="111"/>
        <v>0</v>
      </c>
      <c r="AH549" s="41">
        <f t="shared" si="112"/>
        <v>0</v>
      </c>
      <c r="AI549" s="41">
        <v>0</v>
      </c>
      <c r="AJ549" s="41">
        <v>0</v>
      </c>
      <c r="AK549" s="41">
        <v>0</v>
      </c>
      <c r="AL549" s="41">
        <v>0</v>
      </c>
      <c r="AM549" s="41">
        <f t="shared" si="113"/>
        <v>0</v>
      </c>
      <c r="AN549" s="41">
        <f t="shared" si="100"/>
        <v>16</v>
      </c>
      <c r="AO549" s="41">
        <f t="shared" si="101"/>
        <v>16</v>
      </c>
      <c r="AP549" s="40"/>
      <c r="AQ549" s="36">
        <v>45108</v>
      </c>
      <c r="AR549" s="36"/>
      <c r="AS549" s="36"/>
      <c r="AT549" s="36">
        <v>45122</v>
      </c>
      <c r="AU549" s="36"/>
      <c r="AV549" s="38"/>
      <c r="AW549" s="40" t="s">
        <v>87</v>
      </c>
    </row>
    <row r="550" spans="1:49" ht="62.25" customHeight="1" x14ac:dyDescent="0.3">
      <c r="A550" s="35" t="s">
        <v>3287</v>
      </c>
      <c r="B550" s="38">
        <v>45068</v>
      </c>
      <c r="C550" s="40">
        <v>1416</v>
      </c>
      <c r="D550" s="39" t="s">
        <v>459</v>
      </c>
      <c r="E550" s="1" t="s">
        <v>3288</v>
      </c>
      <c r="F550" s="36" t="s">
        <v>459</v>
      </c>
      <c r="G550" s="37" t="s">
        <v>459</v>
      </c>
      <c r="H550" s="40" t="s">
        <v>459</v>
      </c>
      <c r="I550" s="40" t="s">
        <v>3289</v>
      </c>
      <c r="J550" s="57" t="s">
        <v>3290</v>
      </c>
      <c r="K550" s="41">
        <v>0</v>
      </c>
      <c r="L550" s="30">
        <f t="shared" si="114"/>
        <v>0</v>
      </c>
      <c r="M550" s="30">
        <f>L550</f>
        <v>0</v>
      </c>
      <c r="N550" s="40"/>
      <c r="O550" s="40"/>
      <c r="P550" s="40"/>
      <c r="Q550" s="44"/>
      <c r="R550" s="37"/>
      <c r="S550" s="37"/>
      <c r="T550" s="48"/>
      <c r="U550" s="30" t="e">
        <f>M550/W550</f>
        <v>#DIV/0!</v>
      </c>
      <c r="V550" s="41" t="e">
        <f t="shared" si="102"/>
        <v>#DIV/0!</v>
      </c>
      <c r="W550" s="41">
        <f t="shared" si="105"/>
        <v>0</v>
      </c>
      <c r="X550" s="41">
        <f t="shared" si="106"/>
        <v>0</v>
      </c>
      <c r="Y550" s="41">
        <v>0</v>
      </c>
      <c r="Z550" s="41" t="e">
        <f t="shared" si="107"/>
        <v>#DIV/0!</v>
      </c>
      <c r="AA550" s="41">
        <v>0</v>
      </c>
      <c r="AB550" s="41" t="e">
        <f t="shared" si="108"/>
        <v>#DIV/0!</v>
      </c>
      <c r="AC550" s="41">
        <f t="shared" si="109"/>
        <v>0</v>
      </c>
      <c r="AD550" s="41">
        <v>0</v>
      </c>
      <c r="AE550" s="41" t="e">
        <f t="shared" si="110"/>
        <v>#DIV/0!</v>
      </c>
      <c r="AF550" s="41">
        <v>0</v>
      </c>
      <c r="AG550" s="41" t="e">
        <f t="shared" si="111"/>
        <v>#DIV/0!</v>
      </c>
      <c r="AH550" s="41">
        <f t="shared" si="112"/>
        <v>0</v>
      </c>
      <c r="AI550" s="41">
        <v>0</v>
      </c>
      <c r="AJ550" s="41">
        <v>0</v>
      </c>
      <c r="AK550" s="41">
        <v>0</v>
      </c>
      <c r="AL550" s="41">
        <v>0</v>
      </c>
      <c r="AM550" s="41" t="e">
        <f t="shared" si="113"/>
        <v>#DIV/0!</v>
      </c>
      <c r="AN550" s="41" t="e">
        <f t="shared" si="100"/>
        <v>#DIV/0!</v>
      </c>
      <c r="AO550" s="41" t="e">
        <f t="shared" si="101"/>
        <v>#DIV/0!</v>
      </c>
      <c r="AP550" s="40"/>
      <c r="AQ550" s="36">
        <v>45122</v>
      </c>
      <c r="AR550" s="36"/>
      <c r="AS550" s="36"/>
      <c r="AT550" s="36"/>
      <c r="AU550" s="36"/>
      <c r="AV550" s="38"/>
      <c r="AW550" s="40"/>
    </row>
    <row r="551" spans="1:49" ht="62.25" customHeight="1" x14ac:dyDescent="0.3">
      <c r="A551" s="35" t="s">
        <v>3291</v>
      </c>
      <c r="B551" s="38">
        <v>45069</v>
      </c>
      <c r="C551" s="40" t="s">
        <v>1245</v>
      </c>
      <c r="D551" s="39" t="s">
        <v>3292</v>
      </c>
      <c r="E551" s="1" t="s">
        <v>3293</v>
      </c>
      <c r="F551" s="36">
        <v>45090</v>
      </c>
      <c r="G551" s="37" t="s">
        <v>3294</v>
      </c>
      <c r="H551" s="40" t="s">
        <v>186</v>
      </c>
      <c r="I551" s="40" t="s">
        <v>3295</v>
      </c>
      <c r="J551" s="57">
        <v>6032947.25</v>
      </c>
      <c r="K551" s="41">
        <v>6032947.25</v>
      </c>
      <c r="L551" s="30">
        <f t="shared" si="114"/>
        <v>6032947.25</v>
      </c>
      <c r="M551" s="30">
        <f t="shared" si="99"/>
        <v>6032947.25</v>
      </c>
      <c r="N551" s="40" t="s">
        <v>1235</v>
      </c>
      <c r="O551" s="40" t="s">
        <v>3296</v>
      </c>
      <c r="P551" s="40" t="s">
        <v>1237</v>
      </c>
      <c r="Q551" s="44">
        <v>0</v>
      </c>
      <c r="R551" s="37">
        <v>100</v>
      </c>
      <c r="S551" s="37" t="s">
        <v>1964</v>
      </c>
      <c r="T551" s="48">
        <v>30</v>
      </c>
      <c r="U551" s="30">
        <f>M551/W551</f>
        <v>835.01</v>
      </c>
      <c r="V551" s="41">
        <f t="shared" si="102"/>
        <v>25050.3</v>
      </c>
      <c r="W551" s="41">
        <f t="shared" si="105"/>
        <v>7225</v>
      </c>
      <c r="X551" s="41">
        <v>7225</v>
      </c>
      <c r="Y551" s="41">
        <v>0</v>
      </c>
      <c r="Z551" s="41">
        <f t="shared" si="107"/>
        <v>0</v>
      </c>
      <c r="AA551" s="41">
        <v>0</v>
      </c>
      <c r="AB551" s="41">
        <f t="shared" si="108"/>
        <v>0</v>
      </c>
      <c r="AC551" s="41">
        <f t="shared" si="109"/>
        <v>0</v>
      </c>
      <c r="AD551" s="41">
        <v>0</v>
      </c>
      <c r="AE551" s="41">
        <f t="shared" si="110"/>
        <v>0</v>
      </c>
      <c r="AF551" s="41">
        <v>0</v>
      </c>
      <c r="AG551" s="41">
        <f t="shared" si="111"/>
        <v>0</v>
      </c>
      <c r="AH551" s="41">
        <f t="shared" si="112"/>
        <v>0</v>
      </c>
      <c r="AI551" s="41">
        <v>0</v>
      </c>
      <c r="AJ551" s="41">
        <v>0</v>
      </c>
      <c r="AK551" s="41">
        <v>0</v>
      </c>
      <c r="AL551" s="41">
        <v>0</v>
      </c>
      <c r="AM551" s="41">
        <f t="shared" si="113"/>
        <v>0</v>
      </c>
      <c r="AN551" s="41">
        <f t="shared" si="100"/>
        <v>240.83333333333334</v>
      </c>
      <c r="AO551" s="41">
        <f t="shared" si="101"/>
        <v>241</v>
      </c>
      <c r="AP551" s="40"/>
      <c r="AQ551" s="36">
        <v>45122</v>
      </c>
      <c r="AR551" s="36"/>
      <c r="AS551" s="36"/>
      <c r="AT551" s="36">
        <v>45137</v>
      </c>
      <c r="AU551" s="36"/>
      <c r="AV551" s="38"/>
      <c r="AW551" s="40" t="s">
        <v>87</v>
      </c>
    </row>
    <row r="552" spans="1:49" ht="62.25" customHeight="1" x14ac:dyDescent="0.3">
      <c r="A552" s="35" t="s">
        <v>3297</v>
      </c>
      <c r="B552" s="38">
        <v>45069</v>
      </c>
      <c r="C552" s="40" t="s">
        <v>162</v>
      </c>
      <c r="D552" s="39" t="s">
        <v>3298</v>
      </c>
      <c r="E552" s="1" t="s">
        <v>3299</v>
      </c>
      <c r="F552" s="36">
        <v>45090</v>
      </c>
      <c r="G552" s="37" t="s">
        <v>3300</v>
      </c>
      <c r="H552" s="40" t="s">
        <v>571</v>
      </c>
      <c r="I552" s="40" t="s">
        <v>1053</v>
      </c>
      <c r="J552" s="57">
        <v>12318352.199999999</v>
      </c>
      <c r="K552" s="41">
        <v>10100428.800000001</v>
      </c>
      <c r="L552" s="30">
        <f t="shared" si="114"/>
        <v>10100428.800000001</v>
      </c>
      <c r="M552" s="30">
        <f t="shared" si="99"/>
        <v>10100428.800000001</v>
      </c>
      <c r="N552" s="40" t="s">
        <v>1054</v>
      </c>
      <c r="O552" s="40" t="s">
        <v>3301</v>
      </c>
      <c r="P552" s="40" t="s">
        <v>47</v>
      </c>
      <c r="Q552" s="44">
        <v>100</v>
      </c>
      <c r="R552" s="37">
        <v>0</v>
      </c>
      <c r="S552" s="37" t="s">
        <v>1964</v>
      </c>
      <c r="T552" s="48">
        <v>30</v>
      </c>
      <c r="U552" s="30">
        <f>M552/W552</f>
        <v>35.840000000000003</v>
      </c>
      <c r="V552" s="41">
        <f t="shared" si="102"/>
        <v>1075.2</v>
      </c>
      <c r="W552" s="41">
        <f t="shared" si="105"/>
        <v>281820</v>
      </c>
      <c r="X552" s="41">
        <v>281820</v>
      </c>
      <c r="Y552" s="41">
        <v>0</v>
      </c>
      <c r="Z552" s="41">
        <f t="shared" si="107"/>
        <v>0</v>
      </c>
      <c r="AA552" s="41">
        <v>0</v>
      </c>
      <c r="AB552" s="41">
        <f t="shared" si="108"/>
        <v>0</v>
      </c>
      <c r="AC552" s="41">
        <f t="shared" si="109"/>
        <v>0</v>
      </c>
      <c r="AD552" s="41">
        <v>0</v>
      </c>
      <c r="AE552" s="41">
        <f t="shared" si="110"/>
        <v>0</v>
      </c>
      <c r="AF552" s="41">
        <v>0</v>
      </c>
      <c r="AG552" s="41">
        <f t="shared" si="111"/>
        <v>0</v>
      </c>
      <c r="AH552" s="41">
        <f t="shared" si="112"/>
        <v>0</v>
      </c>
      <c r="AI552" s="41">
        <v>0</v>
      </c>
      <c r="AJ552" s="41">
        <v>0</v>
      </c>
      <c r="AK552" s="41">
        <v>0</v>
      </c>
      <c r="AL552" s="41">
        <v>0</v>
      </c>
      <c r="AM552" s="41">
        <f t="shared" si="113"/>
        <v>0</v>
      </c>
      <c r="AN552" s="41">
        <f t="shared" si="100"/>
        <v>9394</v>
      </c>
      <c r="AO552" s="41">
        <f t="shared" si="101"/>
        <v>9394</v>
      </c>
      <c r="AP552" s="40"/>
      <c r="AQ552" s="36">
        <v>45122</v>
      </c>
      <c r="AR552" s="36"/>
      <c r="AS552" s="36"/>
      <c r="AT552" s="36">
        <v>45137</v>
      </c>
      <c r="AU552" s="36"/>
      <c r="AV552" s="38"/>
      <c r="AW552" s="40" t="s">
        <v>87</v>
      </c>
    </row>
    <row r="553" spans="1:49" ht="62.25" customHeight="1" x14ac:dyDescent="0.3">
      <c r="A553" s="35" t="s">
        <v>3302</v>
      </c>
      <c r="B553" s="38">
        <v>45071</v>
      </c>
      <c r="C553" s="40" t="s">
        <v>1245</v>
      </c>
      <c r="D553" s="39" t="s">
        <v>3303</v>
      </c>
      <c r="E553" s="1" t="s">
        <v>3304</v>
      </c>
      <c r="F553" s="36">
        <v>45091</v>
      </c>
      <c r="G553" s="37" t="s">
        <v>3305</v>
      </c>
      <c r="H553" s="40" t="s">
        <v>186</v>
      </c>
      <c r="I553" s="40" t="s">
        <v>3306</v>
      </c>
      <c r="J553" s="57">
        <v>231163988.75</v>
      </c>
      <c r="K553" s="57">
        <v>231163988.75</v>
      </c>
      <c r="L553" s="30">
        <f t="shared" si="114"/>
        <v>231163988.75</v>
      </c>
      <c r="M553" s="30">
        <f t="shared" si="99"/>
        <v>231163988.75</v>
      </c>
      <c r="N553" s="40" t="s">
        <v>2614</v>
      </c>
      <c r="O553" s="40" t="s">
        <v>3307</v>
      </c>
      <c r="P553" s="40" t="s">
        <v>199</v>
      </c>
      <c r="Q553" s="44">
        <v>0</v>
      </c>
      <c r="R553" s="37">
        <v>100</v>
      </c>
      <c r="S553" s="37" t="s">
        <v>1964</v>
      </c>
      <c r="T553" s="48">
        <v>30</v>
      </c>
      <c r="U553" s="30">
        <f>M553/W553</f>
        <v>524.33000000000004</v>
      </c>
      <c r="V553" s="41">
        <f t="shared" si="102"/>
        <v>15729.900000000001</v>
      </c>
      <c r="W553" s="41">
        <f t="shared" si="105"/>
        <v>440875</v>
      </c>
      <c r="X553" s="41">
        <v>440875</v>
      </c>
      <c r="Y553" s="41">
        <v>0</v>
      </c>
      <c r="Z553" s="41">
        <f t="shared" si="107"/>
        <v>0</v>
      </c>
      <c r="AA553" s="41">
        <v>0</v>
      </c>
      <c r="AB553" s="41">
        <f t="shared" si="108"/>
        <v>0</v>
      </c>
      <c r="AC553" s="41">
        <f t="shared" si="109"/>
        <v>0</v>
      </c>
      <c r="AD553" s="41">
        <v>0</v>
      </c>
      <c r="AE553" s="41">
        <f t="shared" si="110"/>
        <v>0</v>
      </c>
      <c r="AF553" s="41">
        <v>0</v>
      </c>
      <c r="AG553" s="41">
        <f t="shared" si="111"/>
        <v>0</v>
      </c>
      <c r="AH553" s="41">
        <f t="shared" si="112"/>
        <v>0</v>
      </c>
      <c r="AI553" s="41">
        <v>0</v>
      </c>
      <c r="AJ553" s="41">
        <v>0</v>
      </c>
      <c r="AK553" s="41">
        <v>0</v>
      </c>
      <c r="AL553" s="41">
        <v>0</v>
      </c>
      <c r="AM553" s="41">
        <f t="shared" si="113"/>
        <v>0</v>
      </c>
      <c r="AN553" s="41">
        <f t="shared" si="100"/>
        <v>14695.833333333334</v>
      </c>
      <c r="AO553" s="41">
        <f t="shared" si="101"/>
        <v>14696</v>
      </c>
      <c r="AP553" s="40"/>
      <c r="AQ553" s="36">
        <v>45138</v>
      </c>
      <c r="AR553" s="36"/>
      <c r="AS553" s="36"/>
      <c r="AT553" s="36">
        <v>45153</v>
      </c>
      <c r="AU553" s="36"/>
      <c r="AV553" s="38"/>
      <c r="AW553" s="40" t="s">
        <v>49</v>
      </c>
    </row>
    <row r="554" spans="1:49" ht="62.25" customHeight="1" x14ac:dyDescent="0.3">
      <c r="A554" s="35" t="s">
        <v>3308</v>
      </c>
      <c r="B554" s="38">
        <v>45075</v>
      </c>
      <c r="C554" s="40">
        <v>1416</v>
      </c>
      <c r="D554" s="39" t="s">
        <v>3309</v>
      </c>
      <c r="E554" s="1" t="s">
        <v>3310</v>
      </c>
      <c r="F554" s="36">
        <v>45103</v>
      </c>
      <c r="G554" s="37" t="s">
        <v>3311</v>
      </c>
      <c r="H554" s="40" t="s">
        <v>224</v>
      </c>
      <c r="I554" s="40" t="s">
        <v>3312</v>
      </c>
      <c r="J554" s="57">
        <v>362893631.94</v>
      </c>
      <c r="K554" s="41">
        <v>362893631.94</v>
      </c>
      <c r="L554" s="30">
        <f t="shared" si="114"/>
        <v>362893631.94</v>
      </c>
      <c r="M554" s="30">
        <f t="shared" si="99"/>
        <v>362893631.94</v>
      </c>
      <c r="N554" s="40" t="s">
        <v>549</v>
      </c>
      <c r="O554" s="40" t="s">
        <v>3313</v>
      </c>
      <c r="P554" s="40" t="s">
        <v>47</v>
      </c>
      <c r="Q554" s="44">
        <v>100</v>
      </c>
      <c r="R554" s="37">
        <v>0</v>
      </c>
      <c r="S554" s="37" t="s">
        <v>1964</v>
      </c>
      <c r="T554" s="48">
        <v>3</v>
      </c>
      <c r="U554" s="30">
        <f>M554/W554</f>
        <v>69666.66</v>
      </c>
      <c r="V554" s="41">
        <f t="shared" si="102"/>
        <v>208999.98</v>
      </c>
      <c r="W554" s="41">
        <f t="shared" si="105"/>
        <v>5209</v>
      </c>
      <c r="X554" s="41">
        <f t="shared" si="106"/>
        <v>5209</v>
      </c>
      <c r="Y554" s="41">
        <v>0</v>
      </c>
      <c r="Z554" s="41">
        <f t="shared" si="107"/>
        <v>0</v>
      </c>
      <c r="AA554" s="41">
        <v>5209</v>
      </c>
      <c r="AB554" s="41">
        <f t="shared" si="108"/>
        <v>362893631.94</v>
      </c>
      <c r="AC554" s="41">
        <f t="shared" si="109"/>
        <v>0</v>
      </c>
      <c r="AD554" s="41">
        <v>0</v>
      </c>
      <c r="AE554" s="41">
        <f t="shared" si="110"/>
        <v>0</v>
      </c>
      <c r="AF554" s="41">
        <v>0</v>
      </c>
      <c r="AG554" s="41">
        <f t="shared" si="111"/>
        <v>0</v>
      </c>
      <c r="AH554" s="41">
        <f t="shared" si="112"/>
        <v>0</v>
      </c>
      <c r="AI554" s="41">
        <v>0</v>
      </c>
      <c r="AJ554" s="41">
        <v>0</v>
      </c>
      <c r="AK554" s="41">
        <v>0</v>
      </c>
      <c r="AL554" s="41">
        <v>0</v>
      </c>
      <c r="AM554" s="41">
        <f t="shared" si="113"/>
        <v>0</v>
      </c>
      <c r="AN554" s="41">
        <f t="shared" si="100"/>
        <v>1736.3333333333333</v>
      </c>
      <c r="AO554" s="41">
        <f t="shared" si="101"/>
        <v>1737</v>
      </c>
      <c r="AP554" s="40"/>
      <c r="AQ554" s="36">
        <v>45122</v>
      </c>
      <c r="AR554" s="36"/>
      <c r="AS554" s="36"/>
      <c r="AT554" s="36">
        <v>45137</v>
      </c>
      <c r="AU554" s="36"/>
      <c r="AV554" s="38"/>
      <c r="AW554" s="40" t="s">
        <v>87</v>
      </c>
    </row>
    <row r="555" spans="1:49" ht="62.25" customHeight="1" x14ac:dyDescent="0.3">
      <c r="A555" s="35" t="s">
        <v>3314</v>
      </c>
      <c r="B555" s="38">
        <v>45075</v>
      </c>
      <c r="C555" s="40">
        <v>1416</v>
      </c>
      <c r="D555" s="39" t="s">
        <v>3315</v>
      </c>
      <c r="E555" s="1" t="s">
        <v>3316</v>
      </c>
      <c r="F555" s="36">
        <v>45097</v>
      </c>
      <c r="G555" s="37" t="s">
        <v>3317</v>
      </c>
      <c r="H555" s="40" t="s">
        <v>224</v>
      </c>
      <c r="I555" s="40" t="s">
        <v>3318</v>
      </c>
      <c r="J555" s="57">
        <v>30304997.100000001</v>
      </c>
      <c r="K555" s="41">
        <v>30304997.100000001</v>
      </c>
      <c r="L555" s="30">
        <f t="shared" si="114"/>
        <v>30304997.100000001</v>
      </c>
      <c r="M555" s="30">
        <f>L555</f>
        <v>30304997.100000001</v>
      </c>
      <c r="N555" s="40" t="s">
        <v>549</v>
      </c>
      <c r="O555" s="40" t="s">
        <v>3319</v>
      </c>
      <c r="P555" s="40" t="s">
        <v>218</v>
      </c>
      <c r="Q555" s="44">
        <v>0</v>
      </c>
      <c r="R555" s="37">
        <v>100</v>
      </c>
      <c r="S555" s="37" t="s">
        <v>1964</v>
      </c>
      <c r="T555" s="48">
        <v>3</v>
      </c>
      <c r="U555" s="30">
        <f>M555/W555</f>
        <v>69666.66</v>
      </c>
      <c r="V555" s="41">
        <f t="shared" si="102"/>
        <v>208999.98</v>
      </c>
      <c r="W555" s="41">
        <f t="shared" si="105"/>
        <v>435</v>
      </c>
      <c r="X555" s="41">
        <f t="shared" si="106"/>
        <v>435</v>
      </c>
      <c r="Y555" s="41">
        <v>0</v>
      </c>
      <c r="Z555" s="41">
        <f t="shared" si="107"/>
        <v>0</v>
      </c>
      <c r="AA555" s="41">
        <v>435</v>
      </c>
      <c r="AB555" s="41">
        <f t="shared" si="108"/>
        <v>30304997.100000001</v>
      </c>
      <c r="AC555" s="41">
        <f t="shared" si="109"/>
        <v>0</v>
      </c>
      <c r="AD555" s="41">
        <v>0</v>
      </c>
      <c r="AE555" s="41">
        <f t="shared" si="110"/>
        <v>0</v>
      </c>
      <c r="AF555" s="41">
        <v>0</v>
      </c>
      <c r="AG555" s="41">
        <f t="shared" si="111"/>
        <v>0</v>
      </c>
      <c r="AH555" s="41">
        <f t="shared" si="112"/>
        <v>0</v>
      </c>
      <c r="AI555" s="41">
        <v>0</v>
      </c>
      <c r="AJ555" s="41">
        <v>0</v>
      </c>
      <c r="AK555" s="41">
        <v>0</v>
      </c>
      <c r="AL555" s="41">
        <v>0</v>
      </c>
      <c r="AM555" s="41">
        <f t="shared" si="113"/>
        <v>0</v>
      </c>
      <c r="AN555" s="41">
        <f t="shared" si="100"/>
        <v>145</v>
      </c>
      <c r="AO555" s="41">
        <f t="shared" si="101"/>
        <v>145</v>
      </c>
      <c r="AP555" s="40"/>
      <c r="AQ555" s="36">
        <v>45122</v>
      </c>
      <c r="AR555" s="36"/>
      <c r="AS555" s="36"/>
      <c r="AT555" s="36">
        <v>45137</v>
      </c>
      <c r="AU555" s="36"/>
      <c r="AV555" s="38"/>
      <c r="AW555" s="40" t="s">
        <v>87</v>
      </c>
    </row>
    <row r="556" spans="1:49" ht="62.25" customHeight="1" x14ac:dyDescent="0.3">
      <c r="A556" s="35" t="s">
        <v>3320</v>
      </c>
      <c r="B556" s="38">
        <v>45075</v>
      </c>
      <c r="C556" s="40">
        <v>1688</v>
      </c>
      <c r="D556" s="39" t="s">
        <v>3321</v>
      </c>
      <c r="E556" s="1" t="s">
        <v>3322</v>
      </c>
      <c r="F556" s="36">
        <v>45103</v>
      </c>
      <c r="G556" s="35" t="s">
        <v>3323</v>
      </c>
      <c r="H556" s="40" t="s">
        <v>344</v>
      </c>
      <c r="I556" s="40" t="s">
        <v>3324</v>
      </c>
      <c r="J556" s="57">
        <v>1775690692.3199999</v>
      </c>
      <c r="K556" s="41">
        <v>1669137854.76</v>
      </c>
      <c r="L556" s="30">
        <v>1775690694.1800001</v>
      </c>
      <c r="M556" s="30">
        <f t="shared" si="99"/>
        <v>1775690694.1800001</v>
      </c>
      <c r="N556" s="40" t="s">
        <v>1957</v>
      </c>
      <c r="O556" s="40" t="s">
        <v>3325</v>
      </c>
      <c r="P556" s="40" t="s">
        <v>47</v>
      </c>
      <c r="Q556" s="44">
        <v>100</v>
      </c>
      <c r="R556" s="37">
        <v>0</v>
      </c>
      <c r="S556" s="37" t="s">
        <v>48</v>
      </c>
      <c r="T556" s="48">
        <v>1</v>
      </c>
      <c r="U556" s="30">
        <f>M556/W556</f>
        <v>1406.080000001647</v>
      </c>
      <c r="V556" s="41">
        <f t="shared" si="102"/>
        <v>1406.080000001647</v>
      </c>
      <c r="W556" s="41">
        <f t="shared" si="105"/>
        <v>1262866.0490000001</v>
      </c>
      <c r="X556" s="41">
        <v>270000</v>
      </c>
      <c r="Y556" s="41">
        <v>0</v>
      </c>
      <c r="Z556" s="41">
        <f t="shared" si="107"/>
        <v>0</v>
      </c>
      <c r="AA556" s="41">
        <v>0</v>
      </c>
      <c r="AB556" s="41">
        <f t="shared" si="108"/>
        <v>0</v>
      </c>
      <c r="AC556" s="41">
        <v>404932</v>
      </c>
      <c r="AD556" s="41">
        <v>0</v>
      </c>
      <c r="AE556" s="41">
        <f t="shared" si="110"/>
        <v>0</v>
      </c>
      <c r="AF556" s="41">
        <v>0</v>
      </c>
      <c r="AG556" s="41">
        <f t="shared" si="111"/>
        <v>0</v>
      </c>
      <c r="AH556" s="41">
        <f>512153.98+75780.069</f>
        <v>587934.049</v>
      </c>
      <c r="AI556" s="41">
        <v>0</v>
      </c>
      <c r="AJ556" s="41">
        <v>0</v>
      </c>
      <c r="AK556" s="41">
        <v>0</v>
      </c>
      <c r="AL556" s="41">
        <v>0</v>
      </c>
      <c r="AM556" s="41">
        <f t="shared" si="113"/>
        <v>0</v>
      </c>
      <c r="AN556" s="41">
        <f t="shared" si="100"/>
        <v>1262866.0490000001</v>
      </c>
      <c r="AO556" s="41">
        <f t="shared" si="101"/>
        <v>1262867</v>
      </c>
      <c r="AP556" s="40"/>
      <c r="AQ556" s="36">
        <v>45127</v>
      </c>
      <c r="AR556" s="36">
        <v>45158</v>
      </c>
      <c r="AS556" s="36">
        <v>45260</v>
      </c>
      <c r="AT556" s="36">
        <v>45143</v>
      </c>
      <c r="AU556" s="36">
        <v>45174</v>
      </c>
      <c r="AV556" s="38">
        <v>45275</v>
      </c>
      <c r="AW556" s="40" t="s">
        <v>49</v>
      </c>
    </row>
    <row r="557" spans="1:49" ht="62.25" customHeight="1" x14ac:dyDescent="0.3">
      <c r="A557" s="35" t="s">
        <v>3326</v>
      </c>
      <c r="B557" s="38">
        <v>45075</v>
      </c>
      <c r="C557" s="40">
        <v>1416</v>
      </c>
      <c r="D557" s="39" t="s">
        <v>459</v>
      </c>
      <c r="E557" s="1" t="s">
        <v>3327</v>
      </c>
      <c r="F557" s="36" t="s">
        <v>459</v>
      </c>
      <c r="G557" s="35" t="s">
        <v>459</v>
      </c>
      <c r="H557" s="40" t="s">
        <v>459</v>
      </c>
      <c r="I557" s="40" t="s">
        <v>2861</v>
      </c>
      <c r="J557" s="57">
        <v>162636344.09999999</v>
      </c>
      <c r="K557" s="41">
        <v>0</v>
      </c>
      <c r="L557" s="30">
        <f>K557</f>
        <v>0</v>
      </c>
      <c r="M557" s="30">
        <f>L557</f>
        <v>0</v>
      </c>
      <c r="N557" s="40"/>
      <c r="O557" s="40"/>
      <c r="P557" s="40"/>
      <c r="Q557" s="44"/>
      <c r="R557" s="37"/>
      <c r="S557" s="37"/>
      <c r="T557" s="48"/>
      <c r="U557" s="30" t="e">
        <f>M557/W557</f>
        <v>#DIV/0!</v>
      </c>
      <c r="V557" s="41" t="e">
        <f t="shared" si="102"/>
        <v>#DIV/0!</v>
      </c>
      <c r="W557" s="41">
        <f t="shared" si="105"/>
        <v>0</v>
      </c>
      <c r="X557" s="41">
        <v>0</v>
      </c>
      <c r="Y557" s="41">
        <v>0</v>
      </c>
      <c r="Z557" s="41" t="e">
        <v>#DIV/0!</v>
      </c>
      <c r="AA557" s="41">
        <v>0</v>
      </c>
      <c r="AB557" s="41" t="e">
        <v>#DIV/0!</v>
      </c>
      <c r="AC557" s="41">
        <f t="shared" si="109"/>
        <v>0</v>
      </c>
      <c r="AD557" s="41">
        <v>0</v>
      </c>
      <c r="AE557" s="41" t="e">
        <v>#DIV/0!</v>
      </c>
      <c r="AF557" s="41">
        <v>0</v>
      </c>
      <c r="AG557" s="41" t="e">
        <v>#DIV/0!</v>
      </c>
      <c r="AH557" s="41">
        <v>0</v>
      </c>
      <c r="AI557" s="41">
        <v>0</v>
      </c>
      <c r="AJ557" s="41">
        <v>0</v>
      </c>
      <c r="AK557" s="41">
        <v>0</v>
      </c>
      <c r="AL557" s="41">
        <v>0</v>
      </c>
      <c r="AM557" s="41" t="e">
        <v>#DIV/0!</v>
      </c>
      <c r="AN557" s="41" t="e">
        <f>W557/T557</f>
        <v>#DIV/0!</v>
      </c>
      <c r="AO557" s="41" t="e">
        <f>_xlfn.CEILING.MATH(AN557)</f>
        <v>#DIV/0!</v>
      </c>
      <c r="AP557" s="40"/>
      <c r="AQ557" s="36">
        <v>45260</v>
      </c>
      <c r="AR557" s="36"/>
      <c r="AS557" s="36"/>
      <c r="AT557" s="36"/>
      <c r="AU557" s="36"/>
      <c r="AV557" s="38"/>
      <c r="AW557" s="40"/>
    </row>
    <row r="558" spans="1:49" ht="62.25" customHeight="1" x14ac:dyDescent="0.3">
      <c r="A558" s="35" t="s">
        <v>3328</v>
      </c>
      <c r="B558" s="38">
        <v>45077</v>
      </c>
      <c r="C558" s="40">
        <v>545</v>
      </c>
      <c r="D558" s="39" t="s">
        <v>459</v>
      </c>
      <c r="E558" s="1" t="s">
        <v>3329</v>
      </c>
      <c r="F558" s="36" t="s">
        <v>459</v>
      </c>
      <c r="G558" s="37" t="s">
        <v>459</v>
      </c>
      <c r="H558" s="40" t="s">
        <v>459</v>
      </c>
      <c r="I558" s="40" t="s">
        <v>3167</v>
      </c>
      <c r="J558" s="57">
        <v>47352263.399999999</v>
      </c>
      <c r="K558" s="41">
        <v>0</v>
      </c>
      <c r="L558" s="30">
        <f t="shared" ref="L558:M560" si="115">K558</f>
        <v>0</v>
      </c>
      <c r="M558" s="30">
        <f t="shared" si="115"/>
        <v>0</v>
      </c>
      <c r="N558" s="40"/>
      <c r="O558" s="40"/>
      <c r="P558" s="40"/>
      <c r="Q558" s="44"/>
      <c r="R558" s="37"/>
      <c r="S558" s="37"/>
      <c r="T558" s="48"/>
      <c r="U558" s="30" t="e">
        <f>M558/W558</f>
        <v>#DIV/0!</v>
      </c>
      <c r="V558" s="41" t="e">
        <f t="shared" si="102"/>
        <v>#DIV/0!</v>
      </c>
      <c r="W558" s="41">
        <f t="shared" si="105"/>
        <v>0</v>
      </c>
      <c r="X558" s="41">
        <v>0</v>
      </c>
      <c r="Y558" s="41">
        <v>0</v>
      </c>
      <c r="Z558" s="41" t="e">
        <v>#DIV/0!</v>
      </c>
      <c r="AA558" s="41">
        <v>0</v>
      </c>
      <c r="AB558" s="41" t="e">
        <v>#DIV/0!</v>
      </c>
      <c r="AC558" s="41">
        <f t="shared" si="109"/>
        <v>0</v>
      </c>
      <c r="AD558" s="41">
        <v>0</v>
      </c>
      <c r="AE558" s="41" t="e">
        <v>#DIV/0!</v>
      </c>
      <c r="AF558" s="41">
        <v>0</v>
      </c>
      <c r="AG558" s="41" t="e">
        <v>#DIV/0!</v>
      </c>
      <c r="AH558" s="41">
        <v>0</v>
      </c>
      <c r="AI558" s="41">
        <v>0</v>
      </c>
      <c r="AJ558" s="41">
        <v>0</v>
      </c>
      <c r="AK558" s="41">
        <v>0</v>
      </c>
      <c r="AL558" s="41">
        <v>0</v>
      </c>
      <c r="AM558" s="41" t="e">
        <v>#DIV/0!</v>
      </c>
      <c r="AN558" s="41" t="e">
        <f>W558/T558</f>
        <v>#DIV/0!</v>
      </c>
      <c r="AO558" s="41" t="e">
        <f>_xlfn.CEILING.MATH(AN558)</f>
        <v>#DIV/0!</v>
      </c>
      <c r="AP558" s="40"/>
      <c r="AQ558" s="36">
        <v>44958</v>
      </c>
      <c r="AR558" s="36">
        <v>45017</v>
      </c>
      <c r="AS558" s="36"/>
      <c r="AT558" s="36"/>
      <c r="AU558" s="36"/>
      <c r="AV558" s="38"/>
      <c r="AW558" s="40"/>
    </row>
    <row r="559" spans="1:49" ht="37.200000000000003" customHeight="1" x14ac:dyDescent="0.3">
      <c r="A559" s="35" t="s">
        <v>3330</v>
      </c>
      <c r="B559" s="38">
        <v>45078</v>
      </c>
      <c r="C559" s="40" t="s">
        <v>162</v>
      </c>
      <c r="D559" s="39" t="s">
        <v>459</v>
      </c>
      <c r="E559" s="1" t="s">
        <v>3331</v>
      </c>
      <c r="F559" s="36" t="s">
        <v>459</v>
      </c>
      <c r="G559" s="37" t="s">
        <v>459</v>
      </c>
      <c r="H559" s="40" t="s">
        <v>459</v>
      </c>
      <c r="I559" s="40" t="s">
        <v>922</v>
      </c>
      <c r="J559" s="57">
        <v>374253.3</v>
      </c>
      <c r="K559" s="41">
        <v>0</v>
      </c>
      <c r="L559" s="30">
        <f t="shared" si="115"/>
        <v>0</v>
      </c>
      <c r="M559" s="30">
        <f t="shared" si="115"/>
        <v>0</v>
      </c>
      <c r="N559" s="40"/>
      <c r="O559" s="40"/>
      <c r="P559" s="40"/>
      <c r="Q559" s="44"/>
      <c r="R559" s="37"/>
      <c r="S559" s="37"/>
      <c r="T559" s="48"/>
      <c r="U559" s="30" t="e">
        <f>M559/W559</f>
        <v>#DIV/0!</v>
      </c>
      <c r="V559" s="41" t="e">
        <f t="shared" si="102"/>
        <v>#DIV/0!</v>
      </c>
      <c r="W559" s="41">
        <f t="shared" si="105"/>
        <v>0</v>
      </c>
      <c r="X559" s="41">
        <v>0</v>
      </c>
      <c r="Y559" s="41">
        <v>0</v>
      </c>
      <c r="Z559" s="41" t="e">
        <v>#DIV/0!</v>
      </c>
      <c r="AA559" s="41">
        <v>0</v>
      </c>
      <c r="AB559" s="41" t="e">
        <v>#DIV/0!</v>
      </c>
      <c r="AC559" s="41">
        <f t="shared" si="109"/>
        <v>0</v>
      </c>
      <c r="AD559" s="41">
        <v>0</v>
      </c>
      <c r="AE559" s="41" t="e">
        <v>#DIV/0!</v>
      </c>
      <c r="AF559" s="41">
        <v>0</v>
      </c>
      <c r="AG559" s="41" t="e">
        <v>#DIV/0!</v>
      </c>
      <c r="AH559" s="41">
        <v>0</v>
      </c>
      <c r="AI559" s="41">
        <v>0</v>
      </c>
      <c r="AJ559" s="41">
        <v>0</v>
      </c>
      <c r="AK559" s="41">
        <v>0</v>
      </c>
      <c r="AL559" s="41">
        <v>0</v>
      </c>
      <c r="AM559" s="41" t="e">
        <v>#DIV/0!</v>
      </c>
      <c r="AN559" s="41" t="e">
        <f>W559/T559</f>
        <v>#DIV/0!</v>
      </c>
      <c r="AO559" s="41" t="e">
        <f>_xlfn.CEILING.MATH(AN559)</f>
        <v>#DIV/0!</v>
      </c>
      <c r="AP559" s="40"/>
      <c r="AQ559" s="36">
        <v>45122</v>
      </c>
      <c r="AR559" s="36">
        <v>45170</v>
      </c>
      <c r="AS559" s="36"/>
      <c r="AT559" s="36"/>
      <c r="AU559" s="36"/>
      <c r="AV559" s="38"/>
      <c r="AW559" s="40"/>
    </row>
    <row r="560" spans="1:49" ht="37.200000000000003" customHeight="1" x14ac:dyDescent="0.3">
      <c r="A560" s="35" t="s">
        <v>3332</v>
      </c>
      <c r="B560" s="38">
        <v>45078</v>
      </c>
      <c r="C560" s="40" t="s">
        <v>162</v>
      </c>
      <c r="D560" s="39" t="s">
        <v>3333</v>
      </c>
      <c r="E560" s="1" t="s">
        <v>3334</v>
      </c>
      <c r="F560" s="36">
        <v>45104</v>
      </c>
      <c r="G560" s="37" t="s">
        <v>3335</v>
      </c>
      <c r="H560" s="40" t="s">
        <v>571</v>
      </c>
      <c r="I560" s="40" t="s">
        <v>2146</v>
      </c>
      <c r="J560" s="57">
        <v>874184.7</v>
      </c>
      <c r="K560" s="41">
        <v>441326.1</v>
      </c>
      <c r="L560" s="30">
        <f t="shared" si="115"/>
        <v>441326.1</v>
      </c>
      <c r="M560" s="30">
        <f t="shared" si="115"/>
        <v>441326.1</v>
      </c>
      <c r="N560" s="40" t="s">
        <v>1093</v>
      </c>
      <c r="O560" s="40" t="s">
        <v>3336</v>
      </c>
      <c r="P560" s="40" t="s">
        <v>47</v>
      </c>
      <c r="Q560" s="44">
        <v>100</v>
      </c>
      <c r="R560" s="37">
        <v>0</v>
      </c>
      <c r="S560" s="37" t="s">
        <v>1964</v>
      </c>
      <c r="T560" s="48">
        <v>30</v>
      </c>
      <c r="U560" s="30">
        <f>M560/W560</f>
        <v>13.03</v>
      </c>
      <c r="V560" s="41">
        <f t="shared" si="102"/>
        <v>390.9</v>
      </c>
      <c r="W560" s="41">
        <f t="shared" si="105"/>
        <v>33870</v>
      </c>
      <c r="X560" s="41">
        <v>33870</v>
      </c>
      <c r="Y560" s="41">
        <v>0</v>
      </c>
      <c r="Z560" s="41">
        <v>0</v>
      </c>
      <c r="AA560" s="41">
        <v>0</v>
      </c>
      <c r="AB560" s="41">
        <v>0</v>
      </c>
      <c r="AC560" s="41">
        <f t="shared" si="109"/>
        <v>0</v>
      </c>
      <c r="AD560" s="41">
        <v>0</v>
      </c>
      <c r="AE560" s="41">
        <v>0</v>
      </c>
      <c r="AF560" s="41">
        <v>0</v>
      </c>
      <c r="AG560" s="41">
        <v>0</v>
      </c>
      <c r="AH560" s="41">
        <v>0</v>
      </c>
      <c r="AI560" s="41">
        <v>0</v>
      </c>
      <c r="AJ560" s="41">
        <v>0</v>
      </c>
      <c r="AK560" s="41">
        <v>0</v>
      </c>
      <c r="AL560" s="41">
        <v>0</v>
      </c>
      <c r="AM560" s="41">
        <v>0</v>
      </c>
      <c r="AN560" s="41">
        <f>W560/T560</f>
        <v>1129</v>
      </c>
      <c r="AO560" s="41">
        <f>_xlfn.CEILING.MATH(AN560)</f>
        <v>1129</v>
      </c>
      <c r="AP560" s="40"/>
      <c r="AQ560" s="36">
        <v>45122</v>
      </c>
      <c r="AR560" s="36"/>
      <c r="AS560" s="36"/>
      <c r="AT560" s="36">
        <v>45137</v>
      </c>
      <c r="AU560" s="36"/>
      <c r="AV560" s="38"/>
      <c r="AW560" s="40" t="s">
        <v>87</v>
      </c>
    </row>
    <row r="561" spans="1:49" ht="45.6" customHeight="1" x14ac:dyDescent="0.3">
      <c r="A561" s="35" t="s">
        <v>3337</v>
      </c>
      <c r="B561" s="38">
        <v>45079</v>
      </c>
      <c r="C561" s="40">
        <v>1688</v>
      </c>
      <c r="D561" s="39" t="s">
        <v>3338</v>
      </c>
      <c r="E561" s="1" t="s">
        <v>3339</v>
      </c>
      <c r="F561" s="36">
        <v>45110</v>
      </c>
      <c r="G561" s="35" t="s">
        <v>3340</v>
      </c>
      <c r="H561" s="40" t="s">
        <v>344</v>
      </c>
      <c r="I561" s="40" t="s">
        <v>3341</v>
      </c>
      <c r="J561" s="57">
        <v>824953105.5</v>
      </c>
      <c r="K561" s="41">
        <v>824953105.5</v>
      </c>
      <c r="L561" s="30">
        <f>K561</f>
        <v>824953105.5</v>
      </c>
      <c r="M561" s="30">
        <f>L561</f>
        <v>824953105.5</v>
      </c>
      <c r="N561" s="40" t="s">
        <v>3342</v>
      </c>
      <c r="O561" s="40" t="s">
        <v>3343</v>
      </c>
      <c r="P561" s="40" t="s">
        <v>47</v>
      </c>
      <c r="Q561" s="44">
        <v>100</v>
      </c>
      <c r="R561" s="37">
        <v>0</v>
      </c>
      <c r="S561" s="37" t="s">
        <v>48</v>
      </c>
      <c r="T561" s="48">
        <v>10</v>
      </c>
      <c r="U561" s="30">
        <f>M561/W561</f>
        <v>429.5</v>
      </c>
      <c r="V561" s="41">
        <f t="shared" si="102"/>
        <v>4295</v>
      </c>
      <c r="W561" s="41">
        <f t="shared" si="105"/>
        <v>1920729</v>
      </c>
      <c r="X561" s="41">
        <v>850000</v>
      </c>
      <c r="Y561" s="41">
        <v>0</v>
      </c>
      <c r="Z561" s="41" t="e">
        <v>#DIV/0!</v>
      </c>
      <c r="AA561" s="41">
        <v>0</v>
      </c>
      <c r="AB561" s="41" t="e">
        <v>#DIV/0!</v>
      </c>
      <c r="AC561" s="41">
        <v>1070729</v>
      </c>
      <c r="AD561" s="41">
        <v>0</v>
      </c>
      <c r="AE561" s="41" t="e">
        <v>#DIV/0!</v>
      </c>
      <c r="AF561" s="41">
        <v>0</v>
      </c>
      <c r="AG561" s="41" t="e">
        <v>#DIV/0!</v>
      </c>
      <c r="AH561" s="41">
        <v>0</v>
      </c>
      <c r="AI561" s="41">
        <v>0</v>
      </c>
      <c r="AJ561" s="41">
        <v>0</v>
      </c>
      <c r="AK561" s="41">
        <v>0</v>
      </c>
      <c r="AL561" s="41">
        <v>0</v>
      </c>
      <c r="AM561" s="41" t="e">
        <v>#DIV/0!</v>
      </c>
      <c r="AN561" s="41">
        <f>W561/T561</f>
        <v>192072.9</v>
      </c>
      <c r="AO561" s="41">
        <f>_xlfn.CEILING.MATH(AN561)</f>
        <v>192073</v>
      </c>
      <c r="AP561" s="40"/>
      <c r="AQ561" s="36">
        <v>45184</v>
      </c>
      <c r="AR561" s="36">
        <v>45275</v>
      </c>
      <c r="AS561" s="36"/>
      <c r="AT561" s="36">
        <v>45199</v>
      </c>
      <c r="AU561" s="36">
        <v>45285</v>
      </c>
      <c r="AV561" s="38"/>
      <c r="AW561" s="40" t="s">
        <v>49</v>
      </c>
    </row>
    <row r="562" spans="1:49" ht="37.200000000000003" customHeight="1" x14ac:dyDescent="0.3">
      <c r="A562" s="35" t="s">
        <v>3344</v>
      </c>
      <c r="B562" s="38">
        <v>45079</v>
      </c>
      <c r="C562" s="40">
        <v>545</v>
      </c>
      <c r="D562" s="39" t="s">
        <v>3345</v>
      </c>
      <c r="E562" s="1" t="s">
        <v>3346</v>
      </c>
      <c r="F562" s="36">
        <v>45103</v>
      </c>
      <c r="G562" s="37" t="s">
        <v>3347</v>
      </c>
      <c r="H562" s="40" t="s">
        <v>224</v>
      </c>
      <c r="I562" s="40" t="s">
        <v>1339</v>
      </c>
      <c r="J562" s="57">
        <v>21054000</v>
      </c>
      <c r="K562" s="41">
        <v>21054000</v>
      </c>
      <c r="L562" s="30">
        <v>26796000</v>
      </c>
      <c r="M562" s="30">
        <v>26796000</v>
      </c>
      <c r="N562" s="40" t="s">
        <v>1300</v>
      </c>
      <c r="O562" s="40" t="s">
        <v>3348</v>
      </c>
      <c r="P562" s="40" t="s">
        <v>1032</v>
      </c>
      <c r="Q562" s="44">
        <v>0</v>
      </c>
      <c r="R562" s="37">
        <v>100</v>
      </c>
      <c r="S562" s="37" t="s">
        <v>1964</v>
      </c>
      <c r="T562" s="48">
        <v>60</v>
      </c>
      <c r="U562" s="30">
        <v>15950</v>
      </c>
      <c r="V562" s="41">
        <v>957000</v>
      </c>
      <c r="W562" s="41">
        <f t="shared" si="105"/>
        <v>1680</v>
      </c>
      <c r="X562" s="41">
        <v>1680</v>
      </c>
      <c r="Y562" s="41">
        <v>0</v>
      </c>
      <c r="Z562" s="41">
        <v>0</v>
      </c>
      <c r="AA562" s="41">
        <v>0</v>
      </c>
      <c r="AB562" s="41">
        <v>0</v>
      </c>
      <c r="AC562" s="41">
        <f t="shared" si="109"/>
        <v>0</v>
      </c>
      <c r="AD562" s="41">
        <v>0</v>
      </c>
      <c r="AE562" s="41">
        <v>0</v>
      </c>
      <c r="AF562" s="41">
        <v>0</v>
      </c>
      <c r="AG562" s="41">
        <v>0</v>
      </c>
      <c r="AH562" s="41">
        <v>0</v>
      </c>
      <c r="AI562" s="41">
        <v>0</v>
      </c>
      <c r="AJ562" s="41">
        <v>0</v>
      </c>
      <c r="AK562" s="41">
        <v>0</v>
      </c>
      <c r="AL562" s="41">
        <v>0</v>
      </c>
      <c r="AM562" s="41">
        <v>0</v>
      </c>
      <c r="AN562" s="41">
        <v>28</v>
      </c>
      <c r="AO562" s="41">
        <v>28</v>
      </c>
      <c r="AP562" s="40"/>
      <c r="AQ562" s="36">
        <v>45122</v>
      </c>
      <c r="AR562" s="36"/>
      <c r="AS562" s="36"/>
      <c r="AT562" s="36">
        <v>45137</v>
      </c>
      <c r="AU562" s="36"/>
      <c r="AV562" s="38"/>
      <c r="AW562" s="40" t="s">
        <v>87</v>
      </c>
    </row>
    <row r="563" spans="1:49" ht="37.200000000000003" customHeight="1" x14ac:dyDescent="0.3">
      <c r="A563" s="35" t="s">
        <v>3349</v>
      </c>
      <c r="B563" s="38">
        <v>45085</v>
      </c>
      <c r="C563" s="40"/>
      <c r="D563" s="39"/>
      <c r="E563" s="1"/>
      <c r="F563" s="36"/>
      <c r="G563" s="37"/>
      <c r="H563" s="40"/>
      <c r="I563" s="40" t="s">
        <v>2554</v>
      </c>
      <c r="J563" s="57">
        <v>2893090.2</v>
      </c>
      <c r="K563" s="41"/>
      <c r="L563" s="30"/>
      <c r="M563" s="30"/>
      <c r="N563" s="40"/>
      <c r="O563" s="40"/>
      <c r="P563" s="40"/>
      <c r="Q563" s="44"/>
      <c r="R563" s="37"/>
      <c r="S563" s="37"/>
      <c r="T563" s="48"/>
      <c r="U563" s="30"/>
      <c r="V563" s="41"/>
      <c r="W563" s="41"/>
      <c r="X563" s="41"/>
      <c r="Y563" s="41"/>
      <c r="Z563" s="41"/>
      <c r="AA563" s="41"/>
      <c r="AB563" s="41"/>
      <c r="AC563" s="41"/>
      <c r="AD563" s="41"/>
      <c r="AE563" s="41"/>
      <c r="AF563" s="41"/>
      <c r="AG563" s="41"/>
      <c r="AH563" s="41"/>
      <c r="AI563" s="41"/>
      <c r="AJ563" s="41"/>
      <c r="AK563" s="41"/>
      <c r="AL563" s="41"/>
      <c r="AM563" s="41"/>
      <c r="AN563" s="41"/>
      <c r="AO563" s="41"/>
      <c r="AP563" s="40"/>
      <c r="AQ563" s="36">
        <v>45122</v>
      </c>
      <c r="AR563" s="36"/>
      <c r="AS563" s="36"/>
      <c r="AT563" s="36"/>
      <c r="AU563" s="36"/>
      <c r="AV563" s="38"/>
      <c r="AW563" s="40"/>
    </row>
    <row r="564" spans="1:49" ht="37.950000000000003" customHeight="1" x14ac:dyDescent="0.3">
      <c r="A564" s="35" t="s">
        <v>3350</v>
      </c>
      <c r="B564" s="38">
        <v>45084</v>
      </c>
      <c r="C564" s="40" t="s">
        <v>162</v>
      </c>
      <c r="D564" s="39" t="s">
        <v>3351</v>
      </c>
      <c r="E564" s="1" t="s">
        <v>3352</v>
      </c>
      <c r="F564" s="36">
        <v>45107</v>
      </c>
      <c r="G564" s="37" t="s">
        <v>3353</v>
      </c>
      <c r="H564" s="40" t="s">
        <v>571</v>
      </c>
      <c r="I564" s="40" t="s">
        <v>3354</v>
      </c>
      <c r="J564" s="57">
        <v>9215593.8000000007</v>
      </c>
      <c r="K564" s="41">
        <v>9169511.4000000004</v>
      </c>
      <c r="L564" s="30">
        <f>K564</f>
        <v>9169511.4000000004</v>
      </c>
      <c r="M564" s="30">
        <f>L564</f>
        <v>9169511.4000000004</v>
      </c>
      <c r="N564" s="40" t="s">
        <v>3355</v>
      </c>
      <c r="O564" s="40" t="s">
        <v>2048</v>
      </c>
      <c r="P564" s="40" t="s">
        <v>47</v>
      </c>
      <c r="Q564" s="44">
        <v>100</v>
      </c>
      <c r="R564" s="37">
        <v>0</v>
      </c>
      <c r="S564" s="37" t="s">
        <v>1964</v>
      </c>
      <c r="T564" s="48">
        <v>60</v>
      </c>
      <c r="U564" s="30">
        <f>M564/W564</f>
        <v>206.94</v>
      </c>
      <c r="V564" s="41">
        <f>U564*T564</f>
        <v>12416.4</v>
      </c>
      <c r="W564" s="41">
        <f t="shared" si="105"/>
        <v>44310</v>
      </c>
      <c r="X564" s="41">
        <v>44310</v>
      </c>
      <c r="Y564" s="41">
        <v>0</v>
      </c>
      <c r="Z564" s="41">
        <v>0</v>
      </c>
      <c r="AA564" s="41">
        <v>0</v>
      </c>
      <c r="AB564" s="41">
        <v>0</v>
      </c>
      <c r="AC564" s="41">
        <f t="shared" si="109"/>
        <v>0</v>
      </c>
      <c r="AD564" s="41">
        <v>0</v>
      </c>
      <c r="AE564" s="41">
        <v>0</v>
      </c>
      <c r="AF564" s="41">
        <v>0</v>
      </c>
      <c r="AG564" s="41">
        <v>0</v>
      </c>
      <c r="AH564" s="41">
        <v>0</v>
      </c>
      <c r="AI564" s="41">
        <v>0</v>
      </c>
      <c r="AJ564" s="41">
        <v>0</v>
      </c>
      <c r="AK564" s="41">
        <v>0</v>
      </c>
      <c r="AL564" s="41">
        <v>0</v>
      </c>
      <c r="AM564" s="41">
        <v>0</v>
      </c>
      <c r="AN564" s="41">
        <v>738.5</v>
      </c>
      <c r="AO564" s="41">
        <v>739</v>
      </c>
      <c r="AP564" s="40"/>
      <c r="AQ564" s="36">
        <v>45122</v>
      </c>
      <c r="AR564" s="36"/>
      <c r="AS564" s="36"/>
      <c r="AT564" s="36">
        <v>45137</v>
      </c>
      <c r="AU564" s="36"/>
      <c r="AV564" s="38"/>
      <c r="AW564" s="40" t="s">
        <v>87</v>
      </c>
    </row>
    <row r="565" spans="1:49" ht="37.950000000000003" customHeight="1" x14ac:dyDescent="0.3">
      <c r="A565" s="35" t="s">
        <v>3356</v>
      </c>
      <c r="B565" s="38">
        <v>45085</v>
      </c>
      <c r="C565" s="40"/>
      <c r="D565" s="39"/>
      <c r="E565" s="1"/>
      <c r="F565" s="36"/>
      <c r="G565" s="37"/>
      <c r="H565" s="40"/>
      <c r="I565" s="40" t="s">
        <v>3357</v>
      </c>
      <c r="J565" s="57">
        <v>49847083.439999998</v>
      </c>
      <c r="K565" s="41"/>
      <c r="L565" s="30"/>
      <c r="M565" s="30"/>
      <c r="N565" s="40"/>
      <c r="O565" s="40"/>
      <c r="P565" s="40"/>
      <c r="Q565" s="44"/>
      <c r="R565" s="37"/>
      <c r="S565" s="37"/>
      <c r="T565" s="48"/>
      <c r="U565" s="30"/>
      <c r="V565" s="41"/>
      <c r="W565" s="41"/>
      <c r="X565" s="41"/>
      <c r="Y565" s="41"/>
      <c r="Z565" s="41"/>
      <c r="AA565" s="41"/>
      <c r="AB565" s="41"/>
      <c r="AC565" s="41"/>
      <c r="AD565" s="41"/>
      <c r="AE565" s="41"/>
      <c r="AF565" s="41"/>
      <c r="AG565" s="41"/>
      <c r="AH565" s="41"/>
      <c r="AI565" s="41"/>
      <c r="AJ565" s="41"/>
      <c r="AK565" s="41"/>
      <c r="AL565" s="41"/>
      <c r="AM565" s="41"/>
      <c r="AN565" s="41"/>
      <c r="AO565" s="41"/>
      <c r="AP565" s="40"/>
      <c r="AQ565" s="36">
        <v>45139</v>
      </c>
      <c r="AR565" s="36"/>
      <c r="AS565" s="36"/>
      <c r="AT565" s="36"/>
      <c r="AU565" s="36"/>
      <c r="AV565" s="38"/>
      <c r="AW565" s="40"/>
    </row>
    <row r="566" spans="1:49" ht="37.950000000000003" customHeight="1" x14ac:dyDescent="0.3">
      <c r="A566" s="35" t="s">
        <v>3358</v>
      </c>
      <c r="B566" s="38">
        <v>45085</v>
      </c>
      <c r="C566" s="40"/>
      <c r="D566" s="39"/>
      <c r="E566" s="1"/>
      <c r="F566" s="36"/>
      <c r="G566" s="37"/>
      <c r="H566" s="40"/>
      <c r="I566" s="40" t="s">
        <v>3359</v>
      </c>
      <c r="J566" s="57">
        <v>293914436.19999999</v>
      </c>
      <c r="K566" s="41"/>
      <c r="L566" s="30"/>
      <c r="M566" s="30"/>
      <c r="N566" s="40"/>
      <c r="O566" s="40"/>
      <c r="P566" s="40"/>
      <c r="Q566" s="44"/>
      <c r="R566" s="37"/>
      <c r="S566" s="37"/>
      <c r="T566" s="48"/>
      <c r="U566" s="30"/>
      <c r="V566" s="41"/>
      <c r="W566" s="41"/>
      <c r="X566" s="41"/>
      <c r="Y566" s="41"/>
      <c r="Z566" s="41"/>
      <c r="AA566" s="41"/>
      <c r="AB566" s="41"/>
      <c r="AC566" s="41"/>
      <c r="AD566" s="41"/>
      <c r="AE566" s="41"/>
      <c r="AF566" s="41"/>
      <c r="AG566" s="41"/>
      <c r="AH566" s="41"/>
      <c r="AI566" s="41"/>
      <c r="AJ566" s="41"/>
      <c r="AK566" s="41"/>
      <c r="AL566" s="41"/>
      <c r="AM566" s="41"/>
      <c r="AN566" s="41"/>
      <c r="AO566" s="41"/>
      <c r="AP566" s="40"/>
      <c r="AQ566" s="36">
        <v>45139</v>
      </c>
      <c r="AR566" s="36">
        <v>45261</v>
      </c>
      <c r="AS566" s="36"/>
      <c r="AT566" s="36"/>
      <c r="AU566" s="36"/>
      <c r="AV566" s="38"/>
      <c r="AW566" s="40"/>
    </row>
    <row r="567" spans="1:49" ht="37.950000000000003" customHeight="1" x14ac:dyDescent="0.3">
      <c r="A567" s="35" t="s">
        <v>3360</v>
      </c>
      <c r="B567" s="38">
        <v>45085</v>
      </c>
      <c r="C567" s="40"/>
      <c r="D567" s="39"/>
      <c r="E567" s="1"/>
      <c r="F567" s="36"/>
      <c r="G567" s="37"/>
      <c r="H567" s="40"/>
      <c r="I567" s="40" t="s">
        <v>3361</v>
      </c>
      <c r="J567" s="57">
        <v>85984976.280000001</v>
      </c>
      <c r="K567" s="41"/>
      <c r="L567" s="30"/>
      <c r="M567" s="30"/>
      <c r="N567" s="40"/>
      <c r="O567" s="40"/>
      <c r="P567" s="40"/>
      <c r="Q567" s="44"/>
      <c r="R567" s="37"/>
      <c r="S567" s="37"/>
      <c r="T567" s="48"/>
      <c r="U567" s="30"/>
      <c r="V567" s="41"/>
      <c r="W567" s="41"/>
      <c r="X567" s="41"/>
      <c r="Y567" s="41"/>
      <c r="Z567" s="41"/>
      <c r="AA567" s="41"/>
      <c r="AB567" s="41"/>
      <c r="AC567" s="41"/>
      <c r="AD567" s="41"/>
      <c r="AE567" s="41"/>
      <c r="AF567" s="41"/>
      <c r="AG567" s="41"/>
      <c r="AH567" s="41"/>
      <c r="AI567" s="41"/>
      <c r="AJ567" s="41"/>
      <c r="AK567" s="41"/>
      <c r="AL567" s="41"/>
      <c r="AM567" s="41"/>
      <c r="AN567" s="41"/>
      <c r="AO567" s="41"/>
      <c r="AP567" s="40"/>
      <c r="AQ567" s="36">
        <v>45158</v>
      </c>
      <c r="AR567" s="36"/>
      <c r="AS567" s="36"/>
      <c r="AT567" s="36"/>
      <c r="AU567" s="36"/>
      <c r="AV567" s="38"/>
      <c r="AW567" s="40"/>
    </row>
    <row r="568" spans="1:49" ht="37.950000000000003" customHeight="1" x14ac:dyDescent="0.3">
      <c r="A568" s="35" t="s">
        <v>3362</v>
      </c>
      <c r="B568" s="38">
        <v>45084</v>
      </c>
      <c r="C568" s="40" t="s">
        <v>162</v>
      </c>
      <c r="D568" s="39" t="s">
        <v>3363</v>
      </c>
      <c r="E568" s="1" t="s">
        <v>3364</v>
      </c>
      <c r="F568" s="36">
        <v>45107</v>
      </c>
      <c r="G568" s="37" t="s">
        <v>3365</v>
      </c>
      <c r="H568" s="40" t="s">
        <v>571</v>
      </c>
      <c r="I568" s="40" t="s">
        <v>187</v>
      </c>
      <c r="J568" s="57">
        <v>3704078.4</v>
      </c>
      <c r="K568" s="41">
        <v>3685507.2</v>
      </c>
      <c r="L568" s="30">
        <f t="shared" ref="L568:M571" si="116">K568</f>
        <v>3685507.2</v>
      </c>
      <c r="M568" s="30">
        <f t="shared" si="116"/>
        <v>3685507.2</v>
      </c>
      <c r="N568" s="40" t="s">
        <v>3366</v>
      </c>
      <c r="O568" s="40" t="s">
        <v>3367</v>
      </c>
      <c r="P568" s="40" t="s">
        <v>47</v>
      </c>
      <c r="Q568" s="44">
        <v>100</v>
      </c>
      <c r="R568" s="37">
        <v>0</v>
      </c>
      <c r="S568" s="37" t="s">
        <v>1964</v>
      </c>
      <c r="T568" s="48">
        <v>60</v>
      </c>
      <c r="U568" s="30">
        <f>M568/W568</f>
        <v>210.36</v>
      </c>
      <c r="V568" s="41">
        <f>U568*T568</f>
        <v>12621.6</v>
      </c>
      <c r="W568" s="41">
        <f t="shared" si="105"/>
        <v>17520</v>
      </c>
      <c r="X568" s="41">
        <v>17520</v>
      </c>
      <c r="Y568" s="41">
        <v>0</v>
      </c>
      <c r="Z568" s="41">
        <v>0</v>
      </c>
      <c r="AA568" s="41">
        <v>0</v>
      </c>
      <c r="AB568" s="41">
        <v>0</v>
      </c>
      <c r="AC568" s="41">
        <f t="shared" si="109"/>
        <v>0</v>
      </c>
      <c r="AD568" s="41">
        <v>0</v>
      </c>
      <c r="AE568" s="41">
        <v>0</v>
      </c>
      <c r="AF568" s="41">
        <v>0</v>
      </c>
      <c r="AG568" s="41">
        <v>0</v>
      </c>
      <c r="AH568" s="41">
        <v>0</v>
      </c>
      <c r="AI568" s="41">
        <v>0</v>
      </c>
      <c r="AJ568" s="41">
        <v>0</v>
      </c>
      <c r="AK568" s="41">
        <v>0</v>
      </c>
      <c r="AL568" s="41">
        <v>0</v>
      </c>
      <c r="AM568" s="41">
        <v>0</v>
      </c>
      <c r="AN568" s="41">
        <v>292</v>
      </c>
      <c r="AO568" s="41">
        <v>292</v>
      </c>
      <c r="AP568" s="40"/>
      <c r="AQ568" s="36">
        <v>45139</v>
      </c>
      <c r="AR568" s="36"/>
      <c r="AS568" s="36"/>
      <c r="AT568" s="36">
        <v>45153</v>
      </c>
      <c r="AU568" s="36"/>
      <c r="AV568" s="38"/>
      <c r="AW568" s="40" t="s">
        <v>49</v>
      </c>
    </row>
    <row r="569" spans="1:49" ht="37.950000000000003" customHeight="1" x14ac:dyDescent="0.3">
      <c r="A569" s="35" t="s">
        <v>3368</v>
      </c>
      <c r="B569" s="38">
        <v>45084</v>
      </c>
      <c r="C569" s="40" t="s">
        <v>162</v>
      </c>
      <c r="D569" s="39" t="s">
        <v>3369</v>
      </c>
      <c r="E569" s="1" t="s">
        <v>3370</v>
      </c>
      <c r="F569" s="36">
        <v>45107</v>
      </c>
      <c r="G569" s="37" t="s">
        <v>3371</v>
      </c>
      <c r="H569" s="40" t="s">
        <v>971</v>
      </c>
      <c r="I569" s="40" t="s">
        <v>1148</v>
      </c>
      <c r="J569" s="57">
        <v>2011822.8</v>
      </c>
      <c r="K569" s="41">
        <v>1456837.2</v>
      </c>
      <c r="L569" s="30">
        <f t="shared" si="116"/>
        <v>1456837.2</v>
      </c>
      <c r="M569" s="30">
        <f t="shared" si="116"/>
        <v>1456837.2</v>
      </c>
      <c r="N569" s="40" t="s">
        <v>1204</v>
      </c>
      <c r="O569" s="40" t="s">
        <v>3372</v>
      </c>
      <c r="P569" s="40" t="s">
        <v>47</v>
      </c>
      <c r="Q569" s="44">
        <v>100</v>
      </c>
      <c r="R569" s="37">
        <v>0</v>
      </c>
      <c r="S569" s="37" t="s">
        <v>1964</v>
      </c>
      <c r="T569" s="48">
        <v>30</v>
      </c>
      <c r="U569" s="30">
        <f>M569/W569</f>
        <v>1.26</v>
      </c>
      <c r="V569" s="41">
        <f>U569*T569</f>
        <v>37.799999999999997</v>
      </c>
      <c r="W569" s="41">
        <f t="shared" si="105"/>
        <v>1156220</v>
      </c>
      <c r="X569" s="41">
        <v>1156220</v>
      </c>
      <c r="Y569" s="41">
        <v>0</v>
      </c>
      <c r="Z569" s="41">
        <v>0</v>
      </c>
      <c r="AA569" s="41">
        <v>0</v>
      </c>
      <c r="AB569" s="41">
        <v>0</v>
      </c>
      <c r="AC569" s="41">
        <f t="shared" si="109"/>
        <v>0</v>
      </c>
      <c r="AD569" s="41">
        <v>0</v>
      </c>
      <c r="AE569" s="41">
        <v>0</v>
      </c>
      <c r="AF569" s="41">
        <v>0</v>
      </c>
      <c r="AG569" s="41">
        <v>0</v>
      </c>
      <c r="AH569" s="41">
        <v>0</v>
      </c>
      <c r="AI569" s="41">
        <v>0</v>
      </c>
      <c r="AJ569" s="41">
        <v>0</v>
      </c>
      <c r="AK569" s="41">
        <v>0</v>
      </c>
      <c r="AL569" s="41">
        <v>0</v>
      </c>
      <c r="AM569" s="41">
        <v>0</v>
      </c>
      <c r="AN569" s="41">
        <v>38540.666666666664</v>
      </c>
      <c r="AO569" s="41">
        <v>38541</v>
      </c>
      <c r="AP569" s="40"/>
      <c r="AQ569" s="36">
        <v>45122</v>
      </c>
      <c r="AR569" s="36"/>
      <c r="AS569" s="36"/>
      <c r="AT569" s="36">
        <v>45137</v>
      </c>
      <c r="AU569" s="36"/>
      <c r="AV569" s="38"/>
      <c r="AW569" s="40" t="s">
        <v>49</v>
      </c>
    </row>
    <row r="570" spans="1:49" ht="37.950000000000003" customHeight="1" x14ac:dyDescent="0.3">
      <c r="A570" s="35" t="s">
        <v>3373</v>
      </c>
      <c r="B570" s="38">
        <v>45084</v>
      </c>
      <c r="C570" s="40" t="s">
        <v>162</v>
      </c>
      <c r="D570" s="39" t="s">
        <v>3374</v>
      </c>
      <c r="E570" s="1" t="s">
        <v>3375</v>
      </c>
      <c r="F570" s="36">
        <v>45107</v>
      </c>
      <c r="G570" s="37" t="s">
        <v>3376</v>
      </c>
      <c r="H570" s="40" t="s">
        <v>571</v>
      </c>
      <c r="I570" s="40" t="s">
        <v>1127</v>
      </c>
      <c r="J570" s="57">
        <v>1691482.6</v>
      </c>
      <c r="K570" s="41">
        <v>1638843.1</v>
      </c>
      <c r="L570" s="30">
        <f t="shared" si="116"/>
        <v>1638843.1</v>
      </c>
      <c r="M570" s="30">
        <f t="shared" si="116"/>
        <v>1638843.1</v>
      </c>
      <c r="N570" s="40" t="s">
        <v>1128</v>
      </c>
      <c r="O570" s="40" t="s">
        <v>3377</v>
      </c>
      <c r="P570" s="40" t="s">
        <v>47</v>
      </c>
      <c r="Q570" s="44">
        <v>100</v>
      </c>
      <c r="R570" s="37">
        <v>0</v>
      </c>
      <c r="S570" s="37" t="s">
        <v>1964</v>
      </c>
      <c r="T570" s="48">
        <v>30</v>
      </c>
      <c r="U570" s="30">
        <f>M570/W570</f>
        <v>4.67</v>
      </c>
      <c r="V570" s="41">
        <f>U570*T570</f>
        <v>140.1</v>
      </c>
      <c r="W570" s="41">
        <f t="shared" si="105"/>
        <v>350930</v>
      </c>
      <c r="X570" s="41">
        <v>350930</v>
      </c>
      <c r="Y570" s="41">
        <v>0</v>
      </c>
      <c r="Z570" s="41">
        <v>0</v>
      </c>
      <c r="AA570" s="41">
        <v>0</v>
      </c>
      <c r="AB570" s="41">
        <v>0</v>
      </c>
      <c r="AC570" s="41">
        <f t="shared" si="109"/>
        <v>0</v>
      </c>
      <c r="AD570" s="41">
        <v>0</v>
      </c>
      <c r="AE570" s="41">
        <v>0</v>
      </c>
      <c r="AF570" s="41">
        <v>0</v>
      </c>
      <c r="AG570" s="41">
        <v>0</v>
      </c>
      <c r="AH570" s="41">
        <v>0</v>
      </c>
      <c r="AI570" s="41">
        <v>0</v>
      </c>
      <c r="AJ570" s="41">
        <v>0</v>
      </c>
      <c r="AK570" s="41">
        <v>0</v>
      </c>
      <c r="AL570" s="41">
        <v>0</v>
      </c>
      <c r="AM570" s="41">
        <v>0</v>
      </c>
      <c r="AN570" s="41">
        <v>11697.666666666666</v>
      </c>
      <c r="AO570" s="41">
        <v>11698</v>
      </c>
      <c r="AP570" s="40"/>
      <c r="AQ570" s="36">
        <v>45122</v>
      </c>
      <c r="AR570" s="36"/>
      <c r="AS570" s="36"/>
      <c r="AT570" s="36">
        <v>45137</v>
      </c>
      <c r="AU570" s="36"/>
      <c r="AV570" s="38"/>
      <c r="AW570" s="40" t="s">
        <v>87</v>
      </c>
    </row>
    <row r="571" spans="1:49" ht="37.950000000000003" customHeight="1" x14ac:dyDescent="0.3">
      <c r="A571" s="35" t="s">
        <v>3378</v>
      </c>
      <c r="B571" s="38">
        <v>45084</v>
      </c>
      <c r="C571" s="40" t="s">
        <v>162</v>
      </c>
      <c r="D571" s="39" t="s">
        <v>459</v>
      </c>
      <c r="E571" s="1" t="s">
        <v>3379</v>
      </c>
      <c r="F571" s="36" t="s">
        <v>459</v>
      </c>
      <c r="G571" s="37" t="s">
        <v>459</v>
      </c>
      <c r="H571" s="40" t="s">
        <v>459</v>
      </c>
      <c r="I571" s="40" t="s">
        <v>1203</v>
      </c>
      <c r="J571" s="57">
        <v>29863.8</v>
      </c>
      <c r="K571" s="41">
        <v>0</v>
      </c>
      <c r="L571" s="30">
        <f t="shared" si="116"/>
        <v>0</v>
      </c>
      <c r="M571" s="30">
        <f t="shared" si="116"/>
        <v>0</v>
      </c>
      <c r="N571" s="40"/>
      <c r="O571" s="40"/>
      <c r="P571" s="40"/>
      <c r="Q571" s="44"/>
      <c r="R571" s="37"/>
      <c r="S571" s="37"/>
      <c r="T571" s="48"/>
      <c r="U571" s="30" t="e">
        <f>M571/W571</f>
        <v>#DIV/0!</v>
      </c>
      <c r="V571" s="41" t="e">
        <f>U571*T571</f>
        <v>#DIV/0!</v>
      </c>
      <c r="W571" s="41">
        <f t="shared" si="105"/>
        <v>0</v>
      </c>
      <c r="X571" s="41">
        <v>0</v>
      </c>
      <c r="Y571" s="41">
        <v>0</v>
      </c>
      <c r="Z571" s="41" t="e">
        <v>#DIV/0!</v>
      </c>
      <c r="AA571" s="41">
        <v>0</v>
      </c>
      <c r="AB571" s="41" t="e">
        <v>#DIV/0!</v>
      </c>
      <c r="AC571" s="41">
        <f t="shared" si="109"/>
        <v>0</v>
      </c>
      <c r="AD571" s="41">
        <v>0</v>
      </c>
      <c r="AE571" s="41" t="e">
        <v>#DIV/0!</v>
      </c>
      <c r="AF571" s="41">
        <v>0</v>
      </c>
      <c r="AG571" s="41" t="e">
        <v>#DIV/0!</v>
      </c>
      <c r="AH571" s="41">
        <v>0</v>
      </c>
      <c r="AI571" s="41">
        <v>0</v>
      </c>
      <c r="AJ571" s="41">
        <v>0</v>
      </c>
      <c r="AK571" s="41">
        <v>0</v>
      </c>
      <c r="AL571" s="41">
        <v>0</v>
      </c>
      <c r="AM571" s="41" t="e">
        <f t="shared" ref="AM571:AM634" si="117">Z571+AE571+AJ571</f>
        <v>#DIV/0!</v>
      </c>
      <c r="AN571" s="41" t="e">
        <f>W571/T571</f>
        <v>#DIV/0!</v>
      </c>
      <c r="AO571" s="41" t="e">
        <f>_xlfn.CEILING.MATH(AN571)</f>
        <v>#DIV/0!</v>
      </c>
      <c r="AP571" s="40"/>
      <c r="AQ571" s="36">
        <v>45122</v>
      </c>
      <c r="AR571" s="36"/>
      <c r="AS571" s="36"/>
      <c r="AT571" s="36"/>
      <c r="AU571" s="36"/>
      <c r="AV571" s="38"/>
      <c r="AW571" s="40"/>
    </row>
    <row r="572" spans="1:49" ht="45" customHeight="1" x14ac:dyDescent="0.3">
      <c r="A572" s="35" t="s">
        <v>3380</v>
      </c>
      <c r="B572" s="38">
        <v>45084</v>
      </c>
      <c r="C572" s="40" t="s">
        <v>162</v>
      </c>
      <c r="D572" s="39" t="s">
        <v>3381</v>
      </c>
      <c r="E572" s="1" t="s">
        <v>3379</v>
      </c>
      <c r="F572" s="36">
        <v>45107</v>
      </c>
      <c r="G572" s="37" t="s">
        <v>3382</v>
      </c>
      <c r="H572" s="40" t="s">
        <v>555</v>
      </c>
      <c r="I572" s="40" t="s">
        <v>1181</v>
      </c>
      <c r="J572" s="57">
        <v>577131.15</v>
      </c>
      <c r="K572" s="41">
        <v>226393.2</v>
      </c>
      <c r="L572" s="30">
        <f>K572</f>
        <v>226393.2</v>
      </c>
      <c r="M572" s="30">
        <f>L572</f>
        <v>226393.2</v>
      </c>
      <c r="N572" s="40" t="s">
        <v>3383</v>
      </c>
      <c r="O572" s="40" t="s">
        <v>3384</v>
      </c>
      <c r="P572" s="40" t="s">
        <v>47</v>
      </c>
      <c r="Q572" s="44">
        <v>100</v>
      </c>
      <c r="R572" s="37">
        <v>0</v>
      </c>
      <c r="S572" s="37" t="s">
        <v>1964</v>
      </c>
      <c r="T572" s="48">
        <v>30</v>
      </c>
      <c r="U572" s="30">
        <f>M572/W572</f>
        <v>2.64</v>
      </c>
      <c r="V572" s="41">
        <f t="shared" ref="V572:V635" si="118">U572*T572</f>
        <v>79.2</v>
      </c>
      <c r="W572" s="41">
        <f t="shared" si="105"/>
        <v>85755</v>
      </c>
      <c r="X572" s="41">
        <v>85755</v>
      </c>
      <c r="Y572" s="41">
        <v>0</v>
      </c>
      <c r="Z572" s="41">
        <v>0</v>
      </c>
      <c r="AA572" s="41">
        <v>0</v>
      </c>
      <c r="AB572" s="41">
        <v>0</v>
      </c>
      <c r="AC572" s="41">
        <f t="shared" si="109"/>
        <v>0</v>
      </c>
      <c r="AD572" s="41">
        <v>0</v>
      </c>
      <c r="AE572" s="41">
        <v>0</v>
      </c>
      <c r="AF572" s="41">
        <v>0</v>
      </c>
      <c r="AG572" s="41">
        <v>0</v>
      </c>
      <c r="AH572" s="41">
        <v>0</v>
      </c>
      <c r="AI572" s="41">
        <v>0</v>
      </c>
      <c r="AJ572" s="41">
        <v>0</v>
      </c>
      <c r="AK572" s="41">
        <v>0</v>
      </c>
      <c r="AL572" s="41">
        <v>0</v>
      </c>
      <c r="AM572" s="41">
        <f t="shared" si="117"/>
        <v>0</v>
      </c>
      <c r="AN572" s="41">
        <v>2858.5</v>
      </c>
      <c r="AO572" s="41">
        <v>2859</v>
      </c>
      <c r="AP572" s="40"/>
      <c r="AQ572" s="36">
        <v>45122</v>
      </c>
      <c r="AR572" s="36"/>
      <c r="AS572" s="36"/>
      <c r="AT572" s="36">
        <v>45137</v>
      </c>
      <c r="AU572" s="36"/>
      <c r="AV572" s="38"/>
      <c r="AW572" s="40" t="s">
        <v>49</v>
      </c>
    </row>
    <row r="573" spans="1:49" ht="54" customHeight="1" x14ac:dyDescent="0.3">
      <c r="A573" s="35" t="s">
        <v>3385</v>
      </c>
      <c r="B573" s="38">
        <v>45084</v>
      </c>
      <c r="C573" s="40" t="s">
        <v>162</v>
      </c>
      <c r="D573" s="39" t="s">
        <v>3386</v>
      </c>
      <c r="E573" s="1" t="s">
        <v>3387</v>
      </c>
      <c r="F573" s="36">
        <v>45107</v>
      </c>
      <c r="G573" s="35" t="s">
        <v>3388</v>
      </c>
      <c r="H573" s="40" t="s">
        <v>555</v>
      </c>
      <c r="I573" s="40" t="s">
        <v>1062</v>
      </c>
      <c r="J573" s="57">
        <v>639354.1</v>
      </c>
      <c r="K573" s="41">
        <v>20816.18</v>
      </c>
      <c r="L573" s="30">
        <f>K573</f>
        <v>20816.18</v>
      </c>
      <c r="M573" s="30">
        <f>L573</f>
        <v>20816.18</v>
      </c>
      <c r="N573" s="40" t="s">
        <v>2047</v>
      </c>
      <c r="O573" s="40" t="s">
        <v>3389</v>
      </c>
      <c r="P573" s="40" t="s">
        <v>47</v>
      </c>
      <c r="Q573" s="44">
        <v>100</v>
      </c>
      <c r="R573" s="37">
        <v>0</v>
      </c>
      <c r="S573" s="37" t="s">
        <v>1964</v>
      </c>
      <c r="T573" s="48">
        <v>60</v>
      </c>
      <c r="U573" s="30">
        <f>M573/W573</f>
        <v>1.54</v>
      </c>
      <c r="V573" s="41">
        <f t="shared" si="118"/>
        <v>92.4</v>
      </c>
      <c r="W573" s="41">
        <f t="shared" si="105"/>
        <v>13517</v>
      </c>
      <c r="X573" s="41">
        <v>13517</v>
      </c>
      <c r="Y573" s="41">
        <v>0</v>
      </c>
      <c r="Z573" s="41">
        <v>0</v>
      </c>
      <c r="AA573" s="41">
        <v>0</v>
      </c>
      <c r="AB573" s="41">
        <v>0</v>
      </c>
      <c r="AC573" s="41">
        <f t="shared" si="109"/>
        <v>0</v>
      </c>
      <c r="AD573" s="41">
        <v>0</v>
      </c>
      <c r="AE573" s="41">
        <v>0</v>
      </c>
      <c r="AF573" s="41">
        <v>0</v>
      </c>
      <c r="AG573" s="41">
        <v>0</v>
      </c>
      <c r="AH573" s="41">
        <v>0</v>
      </c>
      <c r="AI573" s="41">
        <v>0</v>
      </c>
      <c r="AJ573" s="41">
        <v>0</v>
      </c>
      <c r="AK573" s="41">
        <v>0</v>
      </c>
      <c r="AL573" s="41">
        <v>0</v>
      </c>
      <c r="AM573" s="41">
        <f t="shared" si="117"/>
        <v>0</v>
      </c>
      <c r="AN573" s="41">
        <v>225.28333333333333</v>
      </c>
      <c r="AO573" s="41">
        <v>226</v>
      </c>
      <c r="AP573" s="40"/>
      <c r="AQ573" s="36">
        <v>45122</v>
      </c>
      <c r="AR573" s="36"/>
      <c r="AS573" s="36"/>
      <c r="AT573" s="36">
        <v>45137</v>
      </c>
      <c r="AU573" s="36"/>
      <c r="AV573" s="38"/>
      <c r="AW573" s="40" t="s">
        <v>49</v>
      </c>
    </row>
    <row r="574" spans="1:49" ht="54" customHeight="1" x14ac:dyDescent="0.3">
      <c r="A574" s="35" t="s">
        <v>3390</v>
      </c>
      <c r="B574" s="38">
        <v>45084</v>
      </c>
      <c r="C574" s="40" t="s">
        <v>1245</v>
      </c>
      <c r="D574" s="39" t="s">
        <v>3391</v>
      </c>
      <c r="E574" s="1" t="s">
        <v>3392</v>
      </c>
      <c r="F574" s="36">
        <v>45104</v>
      </c>
      <c r="G574" s="35" t="s">
        <v>3393</v>
      </c>
      <c r="H574" s="40" t="s">
        <v>186</v>
      </c>
      <c r="I574" s="40" t="s">
        <v>3394</v>
      </c>
      <c r="J574" s="57">
        <v>13865341.050000001</v>
      </c>
      <c r="K574" s="41">
        <v>13865341.050000001</v>
      </c>
      <c r="L574" s="30">
        <f t="shared" ref="L574:M589" si="119">K574</f>
        <v>13865341.050000001</v>
      </c>
      <c r="M574" s="30">
        <f t="shared" si="119"/>
        <v>13865341.050000001</v>
      </c>
      <c r="N574" s="40" t="s">
        <v>1235</v>
      </c>
      <c r="O574" s="40" t="s">
        <v>3395</v>
      </c>
      <c r="P574" s="40" t="s">
        <v>1237</v>
      </c>
      <c r="Q574" s="44">
        <v>0</v>
      </c>
      <c r="R574" s="37">
        <v>100</v>
      </c>
      <c r="S574" s="37" t="s">
        <v>1964</v>
      </c>
      <c r="T574" s="48">
        <v>30</v>
      </c>
      <c r="U574" s="30">
        <f>M574/W574</f>
        <v>835.01</v>
      </c>
      <c r="V574" s="41">
        <f t="shared" si="118"/>
        <v>25050.3</v>
      </c>
      <c r="W574" s="41">
        <f t="shared" si="105"/>
        <v>16605</v>
      </c>
      <c r="X574" s="41">
        <v>16605</v>
      </c>
      <c r="Y574" s="41">
        <v>0</v>
      </c>
      <c r="Z574" s="41">
        <v>0</v>
      </c>
      <c r="AA574" s="41">
        <v>0</v>
      </c>
      <c r="AB574" s="41">
        <v>0</v>
      </c>
      <c r="AC574" s="41">
        <f t="shared" si="109"/>
        <v>0</v>
      </c>
      <c r="AD574" s="41">
        <v>0</v>
      </c>
      <c r="AE574" s="41">
        <v>0</v>
      </c>
      <c r="AF574" s="41">
        <v>0</v>
      </c>
      <c r="AG574" s="41">
        <v>0</v>
      </c>
      <c r="AH574" s="41">
        <v>0</v>
      </c>
      <c r="AI574" s="41">
        <v>0</v>
      </c>
      <c r="AJ574" s="41">
        <v>0</v>
      </c>
      <c r="AK574" s="41">
        <v>0</v>
      </c>
      <c r="AL574" s="41">
        <v>0</v>
      </c>
      <c r="AM574" s="41">
        <f t="shared" si="117"/>
        <v>0</v>
      </c>
      <c r="AN574" s="41">
        <v>553.5</v>
      </c>
      <c r="AO574" s="41">
        <v>554</v>
      </c>
      <c r="AP574" s="40"/>
      <c r="AQ574" s="36">
        <v>45122</v>
      </c>
      <c r="AR574" s="36"/>
      <c r="AS574" s="36"/>
      <c r="AT574" s="36">
        <v>45137</v>
      </c>
      <c r="AU574" s="36"/>
      <c r="AV574" s="38"/>
      <c r="AW574" s="40" t="s">
        <v>87</v>
      </c>
    </row>
    <row r="575" spans="1:49" ht="54" customHeight="1" x14ac:dyDescent="0.3">
      <c r="A575" s="35" t="s">
        <v>3396</v>
      </c>
      <c r="B575" s="38">
        <v>45084</v>
      </c>
      <c r="C575" s="40" t="s">
        <v>162</v>
      </c>
      <c r="D575" s="39" t="s">
        <v>3397</v>
      </c>
      <c r="E575" s="1" t="s">
        <v>3398</v>
      </c>
      <c r="F575" s="36">
        <v>45107</v>
      </c>
      <c r="G575" s="35" t="s">
        <v>3399</v>
      </c>
      <c r="H575" s="40" t="s">
        <v>3400</v>
      </c>
      <c r="I575" s="40" t="s">
        <v>1157</v>
      </c>
      <c r="J575" s="57">
        <v>10578122.5</v>
      </c>
      <c r="K575" s="41">
        <v>4684097.55</v>
      </c>
      <c r="L575" s="30">
        <f t="shared" si="119"/>
        <v>4684097.55</v>
      </c>
      <c r="M575" s="30">
        <f t="shared" si="119"/>
        <v>4684097.55</v>
      </c>
      <c r="N575" s="40" t="s">
        <v>2047</v>
      </c>
      <c r="O575" s="40" t="s">
        <v>3401</v>
      </c>
      <c r="P575" s="40" t="s">
        <v>47</v>
      </c>
      <c r="Q575" s="44">
        <v>100</v>
      </c>
      <c r="R575" s="37">
        <v>0</v>
      </c>
      <c r="S575" s="37" t="s">
        <v>1964</v>
      </c>
      <c r="T575" s="48">
        <v>60</v>
      </c>
      <c r="U575" s="30">
        <f>M575/W575</f>
        <v>26.79</v>
      </c>
      <c r="V575" s="41">
        <f t="shared" si="118"/>
        <v>1607.3999999999999</v>
      </c>
      <c r="W575" s="41">
        <f t="shared" si="105"/>
        <v>174845</v>
      </c>
      <c r="X575" s="41">
        <v>174845</v>
      </c>
      <c r="Y575" s="41">
        <v>0</v>
      </c>
      <c r="Z575" s="41">
        <v>0</v>
      </c>
      <c r="AA575" s="41">
        <v>0</v>
      </c>
      <c r="AB575" s="41">
        <v>0</v>
      </c>
      <c r="AC575" s="41">
        <f t="shared" si="109"/>
        <v>0</v>
      </c>
      <c r="AD575" s="41">
        <v>0</v>
      </c>
      <c r="AE575" s="41">
        <v>0</v>
      </c>
      <c r="AF575" s="41">
        <v>0</v>
      </c>
      <c r="AG575" s="41">
        <v>0</v>
      </c>
      <c r="AH575" s="41">
        <v>0</v>
      </c>
      <c r="AI575" s="41">
        <v>0</v>
      </c>
      <c r="AJ575" s="41">
        <v>0</v>
      </c>
      <c r="AK575" s="41">
        <v>0</v>
      </c>
      <c r="AL575" s="41">
        <v>0</v>
      </c>
      <c r="AM575" s="41">
        <f t="shared" si="117"/>
        <v>0</v>
      </c>
      <c r="AN575" s="41">
        <v>2914.0833333333335</v>
      </c>
      <c r="AO575" s="41">
        <v>2915</v>
      </c>
      <c r="AP575" s="40"/>
      <c r="AQ575" s="36">
        <v>45122</v>
      </c>
      <c r="AR575" s="36"/>
      <c r="AS575" s="36"/>
      <c r="AT575" s="36">
        <v>45137</v>
      </c>
      <c r="AU575" s="36"/>
      <c r="AV575" s="38"/>
      <c r="AW575" s="40" t="s">
        <v>49</v>
      </c>
    </row>
    <row r="576" spans="1:49" ht="54" customHeight="1" x14ac:dyDescent="0.3">
      <c r="A576" s="35" t="s">
        <v>3402</v>
      </c>
      <c r="B576" s="38">
        <v>45084</v>
      </c>
      <c r="C576" s="40" t="s">
        <v>162</v>
      </c>
      <c r="D576" s="39" t="s">
        <v>3403</v>
      </c>
      <c r="E576" s="1" t="s">
        <v>3404</v>
      </c>
      <c r="F576" s="36">
        <v>45107</v>
      </c>
      <c r="G576" s="35" t="s">
        <v>3405</v>
      </c>
      <c r="H576" s="40" t="s">
        <v>571</v>
      </c>
      <c r="I576" s="40" t="s">
        <v>3406</v>
      </c>
      <c r="J576" s="57">
        <v>6287492.75</v>
      </c>
      <c r="K576" s="41">
        <v>1841288.75</v>
      </c>
      <c r="L576" s="30">
        <f t="shared" si="119"/>
        <v>1841288.75</v>
      </c>
      <c r="M576" s="30">
        <f t="shared" si="119"/>
        <v>1841288.75</v>
      </c>
      <c r="N576" s="40" t="s">
        <v>3261</v>
      </c>
      <c r="O576" s="40" t="s">
        <v>3407</v>
      </c>
      <c r="P576" s="40" t="s">
        <v>47</v>
      </c>
      <c r="Q576" s="44">
        <v>100</v>
      </c>
      <c r="R576" s="37">
        <v>0</v>
      </c>
      <c r="S576" s="37" t="s">
        <v>1964</v>
      </c>
      <c r="T576" s="48">
        <v>30</v>
      </c>
      <c r="U576" s="30">
        <f>M576/W576</f>
        <v>8.15</v>
      </c>
      <c r="V576" s="41">
        <f t="shared" si="118"/>
        <v>244.5</v>
      </c>
      <c r="W576" s="41">
        <f t="shared" si="105"/>
        <v>225925</v>
      </c>
      <c r="X576" s="41">
        <v>225925</v>
      </c>
      <c r="Y576" s="41">
        <v>0</v>
      </c>
      <c r="Z576" s="41">
        <v>0</v>
      </c>
      <c r="AA576" s="41">
        <v>0</v>
      </c>
      <c r="AB576" s="41">
        <v>0</v>
      </c>
      <c r="AC576" s="41">
        <f t="shared" si="109"/>
        <v>0</v>
      </c>
      <c r="AD576" s="41">
        <v>0</v>
      </c>
      <c r="AE576" s="41">
        <v>0</v>
      </c>
      <c r="AF576" s="41">
        <v>0</v>
      </c>
      <c r="AG576" s="41">
        <v>0</v>
      </c>
      <c r="AH576" s="41">
        <v>0</v>
      </c>
      <c r="AI576" s="41">
        <v>0</v>
      </c>
      <c r="AJ576" s="41">
        <v>0</v>
      </c>
      <c r="AK576" s="41">
        <v>0</v>
      </c>
      <c r="AL576" s="41">
        <v>0</v>
      </c>
      <c r="AM576" s="41">
        <f t="shared" si="117"/>
        <v>0</v>
      </c>
      <c r="AN576" s="41">
        <v>7530.833333333333</v>
      </c>
      <c r="AO576" s="41">
        <v>7531</v>
      </c>
      <c r="AP576" s="40"/>
      <c r="AQ576" s="36">
        <v>45122</v>
      </c>
      <c r="AR576" s="36"/>
      <c r="AS576" s="36"/>
      <c r="AT576" s="36">
        <v>45137</v>
      </c>
      <c r="AU576" s="36"/>
      <c r="AV576" s="38"/>
      <c r="AW576" s="40" t="s">
        <v>87</v>
      </c>
    </row>
    <row r="577" spans="1:49" s="34" customFormat="1" ht="54" customHeight="1" x14ac:dyDescent="0.3">
      <c r="A577" s="35" t="s">
        <v>3408</v>
      </c>
      <c r="B577" s="38">
        <v>45086</v>
      </c>
      <c r="C577" s="40" t="s">
        <v>162</v>
      </c>
      <c r="D577" s="39" t="s">
        <v>459</v>
      </c>
      <c r="E577" s="1" t="s">
        <v>3409</v>
      </c>
      <c r="F577" s="36" t="s">
        <v>459</v>
      </c>
      <c r="G577" s="35" t="s">
        <v>459</v>
      </c>
      <c r="H577" s="40" t="s">
        <v>459</v>
      </c>
      <c r="I577" s="40" t="s">
        <v>1250</v>
      </c>
      <c r="J577" s="57">
        <v>16713</v>
      </c>
      <c r="K577" s="41">
        <v>0</v>
      </c>
      <c r="L577" s="30">
        <f t="shared" si="119"/>
        <v>0</v>
      </c>
      <c r="M577" s="30">
        <f t="shared" si="119"/>
        <v>0</v>
      </c>
      <c r="N577" s="40"/>
      <c r="O577" s="40"/>
      <c r="P577" s="40"/>
      <c r="Q577" s="44"/>
      <c r="R577" s="37"/>
      <c r="S577" s="37"/>
      <c r="T577" s="48"/>
      <c r="U577" s="30" t="e">
        <f>M577/W577</f>
        <v>#DIV/0!</v>
      </c>
      <c r="V577" s="41" t="e">
        <f t="shared" si="118"/>
        <v>#DIV/0!</v>
      </c>
      <c r="W577" s="41">
        <f t="shared" si="105"/>
        <v>0</v>
      </c>
      <c r="X577" s="41">
        <v>0</v>
      </c>
      <c r="Y577" s="41">
        <v>0</v>
      </c>
      <c r="Z577" s="41" t="e">
        <f t="shared" ref="Z577:Z640" si="120">Y577*U577</f>
        <v>#DIV/0!</v>
      </c>
      <c r="AA577" s="41">
        <v>0</v>
      </c>
      <c r="AB577" s="41" t="e">
        <f t="shared" ref="AB577:AB640" si="121">AA577*U577</f>
        <v>#DIV/0!</v>
      </c>
      <c r="AC577" s="41">
        <f t="shared" si="109"/>
        <v>0</v>
      </c>
      <c r="AD577" s="41">
        <v>0</v>
      </c>
      <c r="AE577" s="41" t="e">
        <f t="shared" ref="AE577:AE640" si="122">AD577*U577</f>
        <v>#DIV/0!</v>
      </c>
      <c r="AF577" s="41">
        <v>0</v>
      </c>
      <c r="AG577" s="41" t="e">
        <f t="shared" ref="AG577:AG640" si="123">AF577*U577</f>
        <v>#DIV/0!</v>
      </c>
      <c r="AH577" s="41">
        <f t="shared" ref="AH577:AH640" si="124">AI577+AK577</f>
        <v>0</v>
      </c>
      <c r="AI577" s="41">
        <v>0</v>
      </c>
      <c r="AJ577" s="41">
        <v>0</v>
      </c>
      <c r="AK577" s="41">
        <v>0</v>
      </c>
      <c r="AL577" s="41">
        <v>0</v>
      </c>
      <c r="AM577" s="41" t="e">
        <f t="shared" si="117"/>
        <v>#DIV/0!</v>
      </c>
      <c r="AN577" s="41" t="e">
        <f t="shared" ref="AN577:AN640" si="125">W577/T577</f>
        <v>#DIV/0!</v>
      </c>
      <c r="AO577" s="41" t="e">
        <f t="shared" ref="AO577:AO640" si="126">_xlfn.CEILING.MATH(AN577)</f>
        <v>#DIV/0!</v>
      </c>
      <c r="AP577" s="40"/>
      <c r="AQ577" s="36">
        <v>45122</v>
      </c>
      <c r="AR577" s="36"/>
      <c r="AS577" s="36"/>
      <c r="AT577" s="36"/>
      <c r="AU577" s="36"/>
      <c r="AV577" s="38"/>
      <c r="AW577" s="40"/>
    </row>
    <row r="578" spans="1:49" s="34" customFormat="1" ht="45" customHeight="1" x14ac:dyDescent="0.3">
      <c r="A578" s="35" t="s">
        <v>3410</v>
      </c>
      <c r="B578" s="38">
        <v>45086</v>
      </c>
      <c r="C578" s="40" t="s">
        <v>162</v>
      </c>
      <c r="D578" s="39" t="s">
        <v>3411</v>
      </c>
      <c r="E578" s="1" t="s">
        <v>3412</v>
      </c>
      <c r="F578" s="36">
        <v>45110</v>
      </c>
      <c r="G578" s="37" t="s">
        <v>3413</v>
      </c>
      <c r="H578" s="40" t="s">
        <v>177</v>
      </c>
      <c r="I578" s="40" t="s">
        <v>1225</v>
      </c>
      <c r="J578" s="57">
        <v>9422020.4000000004</v>
      </c>
      <c r="K578" s="41">
        <v>9422020.4000000004</v>
      </c>
      <c r="L578" s="30">
        <f t="shared" si="119"/>
        <v>9422020.4000000004</v>
      </c>
      <c r="M578" s="30">
        <f t="shared" si="119"/>
        <v>9422020.4000000004</v>
      </c>
      <c r="N578" s="40" t="s">
        <v>3414</v>
      </c>
      <c r="O578" s="40" t="s">
        <v>3415</v>
      </c>
      <c r="P578" s="40" t="s">
        <v>47</v>
      </c>
      <c r="Q578" s="44">
        <v>100</v>
      </c>
      <c r="R578" s="37">
        <v>0</v>
      </c>
      <c r="S578" s="37" t="s">
        <v>1964</v>
      </c>
      <c r="T578" s="48">
        <v>120</v>
      </c>
      <c r="U578" s="30">
        <f>M578/W578</f>
        <v>37.67</v>
      </c>
      <c r="V578" s="41">
        <f t="shared" si="118"/>
        <v>4520.4000000000005</v>
      </c>
      <c r="W578" s="41">
        <f t="shared" si="105"/>
        <v>250120</v>
      </c>
      <c r="X578" s="41">
        <v>250120</v>
      </c>
      <c r="Y578" s="41">
        <v>0</v>
      </c>
      <c r="Z578" s="41">
        <f t="shared" si="120"/>
        <v>0</v>
      </c>
      <c r="AA578" s="41">
        <v>0</v>
      </c>
      <c r="AB578" s="41">
        <f t="shared" si="121"/>
        <v>0</v>
      </c>
      <c r="AC578" s="41">
        <f t="shared" si="109"/>
        <v>0</v>
      </c>
      <c r="AD578" s="41">
        <v>0</v>
      </c>
      <c r="AE578" s="41">
        <f t="shared" si="122"/>
        <v>0</v>
      </c>
      <c r="AF578" s="41">
        <v>0</v>
      </c>
      <c r="AG578" s="41">
        <f t="shared" si="123"/>
        <v>0</v>
      </c>
      <c r="AH578" s="41">
        <f t="shared" si="124"/>
        <v>0</v>
      </c>
      <c r="AI578" s="41">
        <v>0</v>
      </c>
      <c r="AJ578" s="41">
        <v>0</v>
      </c>
      <c r="AK578" s="41">
        <v>0</v>
      </c>
      <c r="AL578" s="41">
        <v>0</v>
      </c>
      <c r="AM578" s="41">
        <f t="shared" si="117"/>
        <v>0</v>
      </c>
      <c r="AN578" s="41">
        <f t="shared" si="125"/>
        <v>2084.3333333333335</v>
      </c>
      <c r="AO578" s="41">
        <f t="shared" si="126"/>
        <v>2085</v>
      </c>
      <c r="AP578" s="40"/>
      <c r="AQ578" s="36">
        <v>45122</v>
      </c>
      <c r="AR578" s="36"/>
      <c r="AS578" s="36"/>
      <c r="AT578" s="36">
        <v>45137</v>
      </c>
      <c r="AU578" s="36"/>
      <c r="AV578" s="38"/>
      <c r="AW578" s="40" t="s">
        <v>87</v>
      </c>
    </row>
    <row r="579" spans="1:49" s="34" customFormat="1" ht="45" customHeight="1" x14ac:dyDescent="0.3">
      <c r="A579" s="35" t="s">
        <v>3416</v>
      </c>
      <c r="B579" s="38">
        <v>45086</v>
      </c>
      <c r="C579" s="40" t="s">
        <v>162</v>
      </c>
      <c r="D579" s="39" t="s">
        <v>3417</v>
      </c>
      <c r="E579" s="1" t="s">
        <v>3418</v>
      </c>
      <c r="F579" s="36">
        <v>45110</v>
      </c>
      <c r="G579" s="37" t="s">
        <v>3419</v>
      </c>
      <c r="H579" s="40" t="s">
        <v>186</v>
      </c>
      <c r="I579" s="40" t="s">
        <v>1166</v>
      </c>
      <c r="J579" s="57">
        <v>9369079.6500000004</v>
      </c>
      <c r="K579" s="41">
        <v>9369079.6500000004</v>
      </c>
      <c r="L579" s="30">
        <f t="shared" si="119"/>
        <v>9369079.6500000004</v>
      </c>
      <c r="M579" s="30">
        <f t="shared" si="119"/>
        <v>9369079.6500000004</v>
      </c>
      <c r="N579" s="40" t="s">
        <v>2320</v>
      </c>
      <c r="O579" s="40" t="s">
        <v>2321</v>
      </c>
      <c r="P579" s="40" t="s">
        <v>47</v>
      </c>
      <c r="Q579" s="44">
        <v>100</v>
      </c>
      <c r="R579" s="37">
        <v>0</v>
      </c>
      <c r="S579" s="37" t="s">
        <v>1964</v>
      </c>
      <c r="T579" s="48">
        <v>30</v>
      </c>
      <c r="U579" s="30">
        <f>M579/W579</f>
        <v>183.33</v>
      </c>
      <c r="V579" s="41">
        <f t="shared" si="118"/>
        <v>5499.9000000000005</v>
      </c>
      <c r="W579" s="41">
        <f t="shared" si="105"/>
        <v>51105</v>
      </c>
      <c r="X579" s="41">
        <v>51105</v>
      </c>
      <c r="Y579" s="41">
        <v>0</v>
      </c>
      <c r="Z579" s="41">
        <f t="shared" si="120"/>
        <v>0</v>
      </c>
      <c r="AA579" s="41">
        <v>0</v>
      </c>
      <c r="AB579" s="41">
        <f t="shared" si="121"/>
        <v>0</v>
      </c>
      <c r="AC579" s="41">
        <f t="shared" si="109"/>
        <v>0</v>
      </c>
      <c r="AD579" s="41">
        <v>0</v>
      </c>
      <c r="AE579" s="41">
        <f t="shared" si="122"/>
        <v>0</v>
      </c>
      <c r="AF579" s="41">
        <v>0</v>
      </c>
      <c r="AG579" s="41">
        <f t="shared" si="123"/>
        <v>0</v>
      </c>
      <c r="AH579" s="41">
        <f t="shared" si="124"/>
        <v>0</v>
      </c>
      <c r="AI579" s="41">
        <v>0</v>
      </c>
      <c r="AJ579" s="41">
        <v>0</v>
      </c>
      <c r="AK579" s="41">
        <v>0</v>
      </c>
      <c r="AL579" s="41">
        <v>0</v>
      </c>
      <c r="AM579" s="41">
        <f t="shared" si="117"/>
        <v>0</v>
      </c>
      <c r="AN579" s="41">
        <f t="shared" si="125"/>
        <v>1703.5</v>
      </c>
      <c r="AO579" s="41">
        <f t="shared" si="126"/>
        <v>1704</v>
      </c>
      <c r="AP579" s="40"/>
      <c r="AQ579" s="36">
        <v>45122</v>
      </c>
      <c r="AR579" s="36"/>
      <c r="AS579" s="36"/>
      <c r="AT579" s="36">
        <v>45137</v>
      </c>
      <c r="AU579" s="36"/>
      <c r="AV579" s="38"/>
      <c r="AW579" s="40" t="s">
        <v>49</v>
      </c>
    </row>
    <row r="580" spans="1:49" s="34" customFormat="1" ht="45" customHeight="1" x14ac:dyDescent="0.3">
      <c r="A580" s="35" t="s">
        <v>3420</v>
      </c>
      <c r="B580" s="38">
        <v>45086</v>
      </c>
      <c r="C580" s="40" t="s">
        <v>162</v>
      </c>
      <c r="D580" s="39" t="s">
        <v>459</v>
      </c>
      <c r="E580" s="1" t="s">
        <v>3421</v>
      </c>
      <c r="F580" s="36" t="s">
        <v>459</v>
      </c>
      <c r="G580" s="37" t="s">
        <v>459</v>
      </c>
      <c r="H580" s="40" t="s">
        <v>459</v>
      </c>
      <c r="I580" s="40" t="s">
        <v>3422</v>
      </c>
      <c r="J580" s="57">
        <v>806733.6</v>
      </c>
      <c r="K580" s="41">
        <v>0</v>
      </c>
      <c r="L580" s="30">
        <f t="shared" si="119"/>
        <v>0</v>
      </c>
      <c r="M580" s="30">
        <f t="shared" si="119"/>
        <v>0</v>
      </c>
      <c r="N580" s="40"/>
      <c r="O580" s="40"/>
      <c r="P580" s="40"/>
      <c r="Q580" s="44"/>
      <c r="R580" s="37"/>
      <c r="S580" s="37"/>
      <c r="T580" s="48"/>
      <c r="U580" s="30" t="e">
        <f>M580/W580</f>
        <v>#DIV/0!</v>
      </c>
      <c r="V580" s="41" t="e">
        <f t="shared" si="118"/>
        <v>#DIV/0!</v>
      </c>
      <c r="W580" s="41">
        <f t="shared" si="105"/>
        <v>0</v>
      </c>
      <c r="X580" s="41">
        <v>0</v>
      </c>
      <c r="Y580" s="41">
        <v>0</v>
      </c>
      <c r="Z580" s="41" t="e">
        <f t="shared" si="120"/>
        <v>#DIV/0!</v>
      </c>
      <c r="AA580" s="41">
        <v>0</v>
      </c>
      <c r="AB580" s="41" t="e">
        <f t="shared" si="121"/>
        <v>#DIV/0!</v>
      </c>
      <c r="AC580" s="41">
        <f t="shared" si="109"/>
        <v>0</v>
      </c>
      <c r="AD580" s="41">
        <v>0</v>
      </c>
      <c r="AE580" s="41" t="e">
        <f t="shared" si="122"/>
        <v>#DIV/0!</v>
      </c>
      <c r="AF580" s="41">
        <v>0</v>
      </c>
      <c r="AG580" s="41" t="e">
        <f t="shared" si="123"/>
        <v>#DIV/0!</v>
      </c>
      <c r="AH580" s="41">
        <f t="shared" si="124"/>
        <v>0</v>
      </c>
      <c r="AI580" s="41">
        <v>0</v>
      </c>
      <c r="AJ580" s="41">
        <v>0</v>
      </c>
      <c r="AK580" s="41">
        <v>0</v>
      </c>
      <c r="AL580" s="41">
        <v>0</v>
      </c>
      <c r="AM580" s="41" t="e">
        <f t="shared" si="117"/>
        <v>#DIV/0!</v>
      </c>
      <c r="AN580" s="41" t="e">
        <f t="shared" si="125"/>
        <v>#DIV/0!</v>
      </c>
      <c r="AO580" s="41" t="e">
        <f t="shared" si="126"/>
        <v>#DIV/0!</v>
      </c>
      <c r="AP580" s="40"/>
      <c r="AQ580" s="36">
        <v>45122</v>
      </c>
      <c r="AR580" s="36"/>
      <c r="AS580" s="36"/>
      <c r="AT580" s="36"/>
      <c r="AU580" s="36"/>
      <c r="AV580" s="38"/>
      <c r="AW580" s="40"/>
    </row>
    <row r="581" spans="1:49" s="34" customFormat="1" ht="45" customHeight="1" x14ac:dyDescent="0.3">
      <c r="A581" s="35" t="s">
        <v>3423</v>
      </c>
      <c r="B581" s="38">
        <v>45086</v>
      </c>
      <c r="C581" s="40" t="s">
        <v>162</v>
      </c>
      <c r="D581" s="39" t="s">
        <v>459</v>
      </c>
      <c r="E581" s="1" t="s">
        <v>3424</v>
      </c>
      <c r="F581" s="36" t="s">
        <v>459</v>
      </c>
      <c r="G581" s="37" t="s">
        <v>459</v>
      </c>
      <c r="H581" s="40" t="s">
        <v>459</v>
      </c>
      <c r="I581" s="40" t="s">
        <v>2053</v>
      </c>
      <c r="J581" s="57">
        <v>18499.2</v>
      </c>
      <c r="K581" s="41">
        <v>0</v>
      </c>
      <c r="L581" s="30">
        <f t="shared" si="119"/>
        <v>0</v>
      </c>
      <c r="M581" s="30">
        <f t="shared" si="119"/>
        <v>0</v>
      </c>
      <c r="N581" s="40"/>
      <c r="O581" s="40"/>
      <c r="P581" s="40"/>
      <c r="Q581" s="44"/>
      <c r="R581" s="37"/>
      <c r="S581" s="37"/>
      <c r="T581" s="48"/>
      <c r="U581" s="30" t="e">
        <f>M581/W581</f>
        <v>#DIV/0!</v>
      </c>
      <c r="V581" s="41" t="e">
        <f t="shared" si="118"/>
        <v>#DIV/0!</v>
      </c>
      <c r="W581" s="41">
        <f t="shared" si="105"/>
        <v>0</v>
      </c>
      <c r="X581" s="41">
        <v>0</v>
      </c>
      <c r="Y581" s="41">
        <v>0</v>
      </c>
      <c r="Z581" s="41" t="e">
        <f t="shared" si="120"/>
        <v>#DIV/0!</v>
      </c>
      <c r="AA581" s="41">
        <v>0</v>
      </c>
      <c r="AB581" s="41" t="e">
        <f t="shared" si="121"/>
        <v>#DIV/0!</v>
      </c>
      <c r="AC581" s="41">
        <f t="shared" si="109"/>
        <v>0</v>
      </c>
      <c r="AD581" s="41">
        <v>0</v>
      </c>
      <c r="AE581" s="41" t="e">
        <f t="shared" si="122"/>
        <v>#DIV/0!</v>
      </c>
      <c r="AF581" s="41">
        <v>0</v>
      </c>
      <c r="AG581" s="41" t="e">
        <f t="shared" si="123"/>
        <v>#DIV/0!</v>
      </c>
      <c r="AH581" s="41">
        <f t="shared" si="124"/>
        <v>0</v>
      </c>
      <c r="AI581" s="41">
        <v>0</v>
      </c>
      <c r="AJ581" s="41">
        <v>0</v>
      </c>
      <c r="AK581" s="41">
        <v>0</v>
      </c>
      <c r="AL581" s="41">
        <v>0</v>
      </c>
      <c r="AM581" s="41" t="e">
        <f t="shared" si="117"/>
        <v>#DIV/0!</v>
      </c>
      <c r="AN581" s="41" t="e">
        <f t="shared" si="125"/>
        <v>#DIV/0!</v>
      </c>
      <c r="AO581" s="41" t="e">
        <f t="shared" si="126"/>
        <v>#DIV/0!</v>
      </c>
      <c r="AP581" s="40"/>
      <c r="AQ581" s="36">
        <v>45122</v>
      </c>
      <c r="AR581" s="36"/>
      <c r="AS581" s="36"/>
      <c r="AT581" s="36"/>
      <c r="AU581" s="36"/>
      <c r="AV581" s="38"/>
      <c r="AW581" s="40"/>
    </row>
    <row r="582" spans="1:49" s="34" customFormat="1" ht="45" customHeight="1" x14ac:dyDescent="0.3">
      <c r="A582" s="35" t="s">
        <v>3425</v>
      </c>
      <c r="B582" s="38">
        <v>45086</v>
      </c>
      <c r="C582" s="40" t="s">
        <v>162</v>
      </c>
      <c r="D582" s="39" t="s">
        <v>3426</v>
      </c>
      <c r="E582" s="1" t="s">
        <v>3427</v>
      </c>
      <c r="F582" s="36">
        <v>45110</v>
      </c>
      <c r="G582" s="37" t="s">
        <v>3428</v>
      </c>
      <c r="H582" s="40" t="s">
        <v>571</v>
      </c>
      <c r="I582" s="40" t="s">
        <v>3429</v>
      </c>
      <c r="J582" s="57">
        <v>1197900.2</v>
      </c>
      <c r="K582" s="41">
        <v>1197900.2</v>
      </c>
      <c r="L582" s="30">
        <f t="shared" si="119"/>
        <v>1197900.2</v>
      </c>
      <c r="M582" s="30">
        <f t="shared" si="119"/>
        <v>1197900.2</v>
      </c>
      <c r="N582" s="40" t="s">
        <v>1142</v>
      </c>
      <c r="O582" s="40" t="s">
        <v>3430</v>
      </c>
      <c r="P582" s="40" t="s">
        <v>47</v>
      </c>
      <c r="Q582" s="44">
        <v>100</v>
      </c>
      <c r="R582" s="37">
        <v>0</v>
      </c>
      <c r="S582" s="37" t="s">
        <v>1964</v>
      </c>
      <c r="T582" s="48">
        <v>60</v>
      </c>
      <c r="U582" s="30">
        <f>M582/W582</f>
        <v>6.7399999999999993</v>
      </c>
      <c r="V582" s="41">
        <f t="shared" si="118"/>
        <v>404.4</v>
      </c>
      <c r="W582" s="41">
        <f t="shared" si="105"/>
        <v>177730</v>
      </c>
      <c r="X582" s="41">
        <v>177730</v>
      </c>
      <c r="Y582" s="41">
        <v>0</v>
      </c>
      <c r="Z582" s="41">
        <f t="shared" si="120"/>
        <v>0</v>
      </c>
      <c r="AA582" s="41">
        <v>0</v>
      </c>
      <c r="AB582" s="41">
        <f t="shared" si="121"/>
        <v>0</v>
      </c>
      <c r="AC582" s="41">
        <f t="shared" si="109"/>
        <v>0</v>
      </c>
      <c r="AD582" s="41">
        <v>0</v>
      </c>
      <c r="AE582" s="41">
        <f t="shared" si="122"/>
        <v>0</v>
      </c>
      <c r="AF582" s="41">
        <v>0</v>
      </c>
      <c r="AG582" s="41">
        <f t="shared" si="123"/>
        <v>0</v>
      </c>
      <c r="AH582" s="41">
        <f t="shared" si="124"/>
        <v>0</v>
      </c>
      <c r="AI582" s="41">
        <v>0</v>
      </c>
      <c r="AJ582" s="41">
        <v>0</v>
      </c>
      <c r="AK582" s="41">
        <v>0</v>
      </c>
      <c r="AL582" s="41">
        <v>0</v>
      </c>
      <c r="AM582" s="41">
        <f t="shared" si="117"/>
        <v>0</v>
      </c>
      <c r="AN582" s="41">
        <f t="shared" si="125"/>
        <v>2962.1666666666665</v>
      </c>
      <c r="AO582" s="41">
        <f t="shared" si="126"/>
        <v>2963</v>
      </c>
      <c r="AP582" s="40"/>
      <c r="AQ582" s="36">
        <v>45122</v>
      </c>
      <c r="AR582" s="36"/>
      <c r="AS582" s="36"/>
      <c r="AT582" s="36">
        <v>45137</v>
      </c>
      <c r="AU582" s="36"/>
      <c r="AV582" s="38"/>
      <c r="AW582" s="40" t="s">
        <v>87</v>
      </c>
    </row>
    <row r="583" spans="1:49" s="34" customFormat="1" ht="45" customHeight="1" x14ac:dyDescent="0.3">
      <c r="A583" s="35" t="s">
        <v>3431</v>
      </c>
      <c r="B583" s="38">
        <v>45086</v>
      </c>
      <c r="C583" s="40" t="s">
        <v>162</v>
      </c>
      <c r="D583" s="39" t="s">
        <v>459</v>
      </c>
      <c r="E583" s="1" t="s">
        <v>3432</v>
      </c>
      <c r="F583" s="36" t="s">
        <v>459</v>
      </c>
      <c r="G583" s="37" t="s">
        <v>459</v>
      </c>
      <c r="H583" s="40" t="s">
        <v>459</v>
      </c>
      <c r="I583" s="40" t="s">
        <v>1196</v>
      </c>
      <c r="J583" s="57">
        <v>2889976.87</v>
      </c>
      <c r="K583" s="41">
        <v>0</v>
      </c>
      <c r="L583" s="30">
        <f t="shared" si="119"/>
        <v>0</v>
      </c>
      <c r="M583" s="30">
        <f t="shared" si="119"/>
        <v>0</v>
      </c>
      <c r="N583" s="40"/>
      <c r="O583" s="40"/>
      <c r="P583" s="40"/>
      <c r="Q583" s="44"/>
      <c r="R583" s="37"/>
      <c r="S583" s="37"/>
      <c r="T583" s="48"/>
      <c r="U583" s="30" t="e">
        <f>M583/W583</f>
        <v>#DIV/0!</v>
      </c>
      <c r="V583" s="41" t="e">
        <f t="shared" si="118"/>
        <v>#DIV/0!</v>
      </c>
      <c r="W583" s="41">
        <f t="shared" si="105"/>
        <v>0</v>
      </c>
      <c r="X583" s="41">
        <v>0</v>
      </c>
      <c r="Y583" s="41">
        <v>0</v>
      </c>
      <c r="Z583" s="41" t="e">
        <f t="shared" si="120"/>
        <v>#DIV/0!</v>
      </c>
      <c r="AA583" s="41">
        <v>0</v>
      </c>
      <c r="AB583" s="41" t="e">
        <f t="shared" si="121"/>
        <v>#DIV/0!</v>
      </c>
      <c r="AC583" s="41">
        <f t="shared" si="109"/>
        <v>0</v>
      </c>
      <c r="AD583" s="41">
        <v>0</v>
      </c>
      <c r="AE583" s="41" t="e">
        <f t="shared" si="122"/>
        <v>#DIV/0!</v>
      </c>
      <c r="AF583" s="41">
        <v>0</v>
      </c>
      <c r="AG583" s="41" t="e">
        <f t="shared" si="123"/>
        <v>#DIV/0!</v>
      </c>
      <c r="AH583" s="41">
        <f t="shared" si="124"/>
        <v>0</v>
      </c>
      <c r="AI583" s="41">
        <v>0</v>
      </c>
      <c r="AJ583" s="41">
        <v>0</v>
      </c>
      <c r="AK583" s="41">
        <v>0</v>
      </c>
      <c r="AL583" s="41">
        <v>0</v>
      </c>
      <c r="AM583" s="41" t="e">
        <f t="shared" si="117"/>
        <v>#DIV/0!</v>
      </c>
      <c r="AN583" s="41" t="e">
        <f t="shared" si="125"/>
        <v>#DIV/0!</v>
      </c>
      <c r="AO583" s="41" t="e">
        <f t="shared" si="126"/>
        <v>#DIV/0!</v>
      </c>
      <c r="AP583" s="40"/>
      <c r="AQ583" s="36">
        <v>45122</v>
      </c>
      <c r="AR583" s="36"/>
      <c r="AS583" s="36"/>
      <c r="AT583" s="36"/>
      <c r="AU583" s="36"/>
      <c r="AV583" s="38"/>
      <c r="AW583" s="40"/>
    </row>
    <row r="584" spans="1:49" s="34" customFormat="1" ht="45" customHeight="1" x14ac:dyDescent="0.3">
      <c r="A584" s="35" t="s">
        <v>3433</v>
      </c>
      <c r="B584" s="38">
        <v>45086</v>
      </c>
      <c r="C584" s="40" t="s">
        <v>162</v>
      </c>
      <c r="D584" s="39" t="s">
        <v>3434</v>
      </c>
      <c r="E584" s="1" t="s">
        <v>3435</v>
      </c>
      <c r="F584" s="36">
        <v>45110</v>
      </c>
      <c r="G584" s="37" t="s">
        <v>3436</v>
      </c>
      <c r="H584" s="40" t="s">
        <v>555</v>
      </c>
      <c r="I584" s="40" t="s">
        <v>3437</v>
      </c>
      <c r="J584" s="57">
        <v>67536</v>
      </c>
      <c r="K584" s="41">
        <v>66993.3</v>
      </c>
      <c r="L584" s="30">
        <f t="shared" si="119"/>
        <v>66993.3</v>
      </c>
      <c r="M584" s="30">
        <f t="shared" si="119"/>
        <v>66993.3</v>
      </c>
      <c r="N584" s="40" t="s">
        <v>1219</v>
      </c>
      <c r="O584" s="40" t="s">
        <v>3438</v>
      </c>
      <c r="P584" s="40" t="s">
        <v>47</v>
      </c>
      <c r="Q584" s="44">
        <v>100</v>
      </c>
      <c r="R584" s="37">
        <v>0</v>
      </c>
      <c r="S584" s="37" t="s">
        <v>219</v>
      </c>
      <c r="T584" s="48">
        <v>300</v>
      </c>
      <c r="U584" s="30">
        <f>M584/W584</f>
        <v>22.11</v>
      </c>
      <c r="V584" s="41">
        <f t="shared" si="118"/>
        <v>6633</v>
      </c>
      <c r="W584" s="41">
        <f t="shared" si="105"/>
        <v>3030</v>
      </c>
      <c r="X584" s="41">
        <v>3030</v>
      </c>
      <c r="Y584" s="41">
        <v>0</v>
      </c>
      <c r="Z584" s="41">
        <f t="shared" si="120"/>
        <v>0</v>
      </c>
      <c r="AA584" s="41">
        <v>0</v>
      </c>
      <c r="AB584" s="41">
        <f t="shared" si="121"/>
        <v>0</v>
      </c>
      <c r="AC584" s="41">
        <f t="shared" si="109"/>
        <v>0</v>
      </c>
      <c r="AD584" s="41">
        <v>0</v>
      </c>
      <c r="AE584" s="41">
        <f t="shared" si="122"/>
        <v>0</v>
      </c>
      <c r="AF584" s="41">
        <v>0</v>
      </c>
      <c r="AG584" s="41">
        <f t="shared" si="123"/>
        <v>0</v>
      </c>
      <c r="AH584" s="41">
        <f t="shared" si="124"/>
        <v>0</v>
      </c>
      <c r="AI584" s="41">
        <v>0</v>
      </c>
      <c r="AJ584" s="41">
        <v>0</v>
      </c>
      <c r="AK584" s="41">
        <v>0</v>
      </c>
      <c r="AL584" s="41">
        <v>0</v>
      </c>
      <c r="AM584" s="41">
        <f t="shared" si="117"/>
        <v>0</v>
      </c>
      <c r="AN584" s="41">
        <f t="shared" si="125"/>
        <v>10.1</v>
      </c>
      <c r="AO584" s="41">
        <f t="shared" si="126"/>
        <v>11</v>
      </c>
      <c r="AP584" s="40"/>
      <c r="AQ584" s="36">
        <v>45122</v>
      </c>
      <c r="AR584" s="36"/>
      <c r="AS584" s="36"/>
      <c r="AT584" s="36">
        <v>45137</v>
      </c>
      <c r="AU584" s="36"/>
      <c r="AV584" s="38"/>
      <c r="AW584" s="40" t="s">
        <v>49</v>
      </c>
    </row>
    <row r="585" spans="1:49" s="34" customFormat="1" ht="45" customHeight="1" x14ac:dyDescent="0.3">
      <c r="A585" s="35" t="s">
        <v>3439</v>
      </c>
      <c r="B585" s="38">
        <v>45086</v>
      </c>
      <c r="C585" s="40" t="s">
        <v>162</v>
      </c>
      <c r="D585" s="39" t="s">
        <v>3440</v>
      </c>
      <c r="E585" s="1" t="s">
        <v>3441</v>
      </c>
      <c r="F585" s="36">
        <v>45110</v>
      </c>
      <c r="G585" s="37" t="s">
        <v>3442</v>
      </c>
      <c r="H585" s="40" t="s">
        <v>555</v>
      </c>
      <c r="I585" s="40" t="s">
        <v>2269</v>
      </c>
      <c r="J585" s="57">
        <v>140640</v>
      </c>
      <c r="K585" s="41">
        <v>135366</v>
      </c>
      <c r="L585" s="30">
        <f t="shared" si="119"/>
        <v>135366</v>
      </c>
      <c r="M585" s="30">
        <f t="shared" si="119"/>
        <v>135366</v>
      </c>
      <c r="N585" s="40" t="s">
        <v>1114</v>
      </c>
      <c r="O585" s="40" t="s">
        <v>1115</v>
      </c>
      <c r="P585" s="40" t="s">
        <v>47</v>
      </c>
      <c r="Q585" s="44">
        <v>100</v>
      </c>
      <c r="R585" s="37">
        <v>0</v>
      </c>
      <c r="S585" s="37" t="s">
        <v>219</v>
      </c>
      <c r="T585" s="48">
        <v>200</v>
      </c>
      <c r="U585" s="30">
        <f>M585/W585</f>
        <v>2.31</v>
      </c>
      <c r="V585" s="41">
        <f t="shared" si="118"/>
        <v>462</v>
      </c>
      <c r="W585" s="41">
        <f t="shared" si="105"/>
        <v>58600</v>
      </c>
      <c r="X585" s="41">
        <v>58600</v>
      </c>
      <c r="Y585" s="41">
        <v>0</v>
      </c>
      <c r="Z585" s="41">
        <f t="shared" si="120"/>
        <v>0</v>
      </c>
      <c r="AA585" s="41">
        <v>0</v>
      </c>
      <c r="AB585" s="41">
        <f t="shared" si="121"/>
        <v>0</v>
      </c>
      <c r="AC585" s="41">
        <f t="shared" si="109"/>
        <v>0</v>
      </c>
      <c r="AD585" s="41">
        <v>0</v>
      </c>
      <c r="AE585" s="41">
        <f t="shared" si="122"/>
        <v>0</v>
      </c>
      <c r="AF585" s="41">
        <v>0</v>
      </c>
      <c r="AG585" s="41">
        <f t="shared" si="123"/>
        <v>0</v>
      </c>
      <c r="AH585" s="41">
        <f t="shared" si="124"/>
        <v>0</v>
      </c>
      <c r="AI585" s="41">
        <v>0</v>
      </c>
      <c r="AJ585" s="41">
        <v>0</v>
      </c>
      <c r="AK585" s="41">
        <v>0</v>
      </c>
      <c r="AL585" s="41">
        <v>0</v>
      </c>
      <c r="AM585" s="41">
        <f t="shared" si="117"/>
        <v>0</v>
      </c>
      <c r="AN585" s="41">
        <f t="shared" si="125"/>
        <v>293</v>
      </c>
      <c r="AO585" s="41">
        <f t="shared" si="126"/>
        <v>293</v>
      </c>
      <c r="AP585" s="40"/>
      <c r="AQ585" s="36">
        <v>45122</v>
      </c>
      <c r="AR585" s="36"/>
      <c r="AS585" s="36"/>
      <c r="AT585" s="36">
        <v>45137</v>
      </c>
      <c r="AU585" s="36"/>
      <c r="AV585" s="38"/>
      <c r="AW585" s="40" t="s">
        <v>49</v>
      </c>
    </row>
    <row r="586" spans="1:49" s="34" customFormat="1" ht="45" customHeight="1" x14ac:dyDescent="0.3">
      <c r="A586" s="35" t="s">
        <v>3443</v>
      </c>
      <c r="B586" s="38">
        <v>45086</v>
      </c>
      <c r="C586" s="40" t="s">
        <v>162</v>
      </c>
      <c r="D586" s="39" t="s">
        <v>3444</v>
      </c>
      <c r="E586" s="1" t="s">
        <v>3445</v>
      </c>
      <c r="F586" s="36">
        <v>45114</v>
      </c>
      <c r="G586" s="37" t="s">
        <v>3446</v>
      </c>
      <c r="H586" s="40" t="s">
        <v>3447</v>
      </c>
      <c r="I586" s="40" t="s">
        <v>3448</v>
      </c>
      <c r="J586" s="57">
        <v>314075084.39999998</v>
      </c>
      <c r="K586" s="41">
        <v>314075084.39999998</v>
      </c>
      <c r="L586" s="30">
        <f t="shared" si="119"/>
        <v>314075084.39999998</v>
      </c>
      <c r="M586" s="30">
        <f t="shared" si="119"/>
        <v>314075084.39999998</v>
      </c>
      <c r="N586" s="40" t="s">
        <v>168</v>
      </c>
      <c r="O586" s="40" t="s">
        <v>3449</v>
      </c>
      <c r="P586" s="40" t="s">
        <v>47</v>
      </c>
      <c r="Q586" s="44">
        <v>100</v>
      </c>
      <c r="R586" s="37">
        <v>0</v>
      </c>
      <c r="S586" s="37" t="s">
        <v>3450</v>
      </c>
      <c r="T586" s="48">
        <v>30</v>
      </c>
      <c r="U586" s="30">
        <f>M586/W586</f>
        <v>204.82</v>
      </c>
      <c r="V586" s="41">
        <f t="shared" si="118"/>
        <v>6144.5999999999995</v>
      </c>
      <c r="W586" s="41">
        <f t="shared" si="105"/>
        <v>1533420</v>
      </c>
      <c r="X586" s="41">
        <v>1533420</v>
      </c>
      <c r="Y586" s="41">
        <v>0</v>
      </c>
      <c r="Z586" s="41">
        <f t="shared" si="120"/>
        <v>0</v>
      </c>
      <c r="AA586" s="41">
        <v>0</v>
      </c>
      <c r="AB586" s="41">
        <f t="shared" si="121"/>
        <v>0</v>
      </c>
      <c r="AC586" s="41">
        <f t="shared" si="109"/>
        <v>0</v>
      </c>
      <c r="AD586" s="41">
        <v>0</v>
      </c>
      <c r="AE586" s="41">
        <f t="shared" si="122"/>
        <v>0</v>
      </c>
      <c r="AF586" s="41">
        <v>0</v>
      </c>
      <c r="AG586" s="41">
        <f t="shared" si="123"/>
        <v>0</v>
      </c>
      <c r="AH586" s="41">
        <f t="shared" si="124"/>
        <v>0</v>
      </c>
      <c r="AI586" s="41">
        <v>0</v>
      </c>
      <c r="AJ586" s="41">
        <v>0</v>
      </c>
      <c r="AK586" s="41">
        <v>0</v>
      </c>
      <c r="AL586" s="41">
        <v>0</v>
      </c>
      <c r="AM586" s="41">
        <f t="shared" si="117"/>
        <v>0</v>
      </c>
      <c r="AN586" s="41">
        <f t="shared" si="125"/>
        <v>51114</v>
      </c>
      <c r="AO586" s="41">
        <f t="shared" si="126"/>
        <v>51114</v>
      </c>
      <c r="AP586" s="40"/>
      <c r="AQ586" s="36">
        <v>45122</v>
      </c>
      <c r="AR586" s="36"/>
      <c r="AS586" s="36"/>
      <c r="AT586" s="36">
        <v>45137</v>
      </c>
      <c r="AU586" s="36"/>
      <c r="AV586" s="38"/>
      <c r="AW586" s="40" t="s">
        <v>87</v>
      </c>
    </row>
    <row r="587" spans="1:49" s="34" customFormat="1" ht="45" customHeight="1" x14ac:dyDescent="0.3">
      <c r="A587" s="35" t="s">
        <v>3451</v>
      </c>
      <c r="B587" s="38">
        <v>45086</v>
      </c>
      <c r="C587" s="40">
        <v>545</v>
      </c>
      <c r="D587" s="39" t="s">
        <v>3452</v>
      </c>
      <c r="E587" s="1" t="s">
        <v>3453</v>
      </c>
      <c r="F587" s="36">
        <v>45110</v>
      </c>
      <c r="G587" s="37" t="s">
        <v>3454</v>
      </c>
      <c r="H587" s="40" t="s">
        <v>1392</v>
      </c>
      <c r="I587" s="40" t="s">
        <v>3455</v>
      </c>
      <c r="J587" s="57">
        <v>38567320</v>
      </c>
      <c r="K587" s="41">
        <v>38567320</v>
      </c>
      <c r="L587" s="30">
        <f t="shared" si="119"/>
        <v>38567320</v>
      </c>
      <c r="M587" s="30">
        <f t="shared" si="119"/>
        <v>38567320</v>
      </c>
      <c r="N587" s="40" t="s">
        <v>3021</v>
      </c>
      <c r="O587" s="40" t="s">
        <v>3022</v>
      </c>
      <c r="P587" s="40" t="s">
        <v>218</v>
      </c>
      <c r="Q587" s="44">
        <v>0</v>
      </c>
      <c r="R587" s="37">
        <v>100</v>
      </c>
      <c r="S587" s="37" t="s">
        <v>219</v>
      </c>
      <c r="T587" s="48">
        <v>2</v>
      </c>
      <c r="U587" s="30">
        <f>M587/W587</f>
        <v>521180</v>
      </c>
      <c r="V587" s="41">
        <f t="shared" si="118"/>
        <v>1042360</v>
      </c>
      <c r="W587" s="41">
        <f t="shared" si="105"/>
        <v>74</v>
      </c>
      <c r="X587" s="41">
        <v>74</v>
      </c>
      <c r="Y587" s="41">
        <v>0</v>
      </c>
      <c r="Z587" s="41">
        <f t="shared" si="120"/>
        <v>0</v>
      </c>
      <c r="AA587" s="41">
        <v>0</v>
      </c>
      <c r="AB587" s="41">
        <f t="shared" si="121"/>
        <v>0</v>
      </c>
      <c r="AC587" s="41">
        <f t="shared" si="109"/>
        <v>0</v>
      </c>
      <c r="AD587" s="41">
        <v>0</v>
      </c>
      <c r="AE587" s="41">
        <f t="shared" si="122"/>
        <v>0</v>
      </c>
      <c r="AF587" s="41">
        <v>0</v>
      </c>
      <c r="AG587" s="41">
        <f t="shared" si="123"/>
        <v>0</v>
      </c>
      <c r="AH587" s="41">
        <f t="shared" si="124"/>
        <v>0</v>
      </c>
      <c r="AI587" s="41">
        <v>0</v>
      </c>
      <c r="AJ587" s="41">
        <v>0</v>
      </c>
      <c r="AK587" s="41">
        <v>0</v>
      </c>
      <c r="AL587" s="41">
        <v>0</v>
      </c>
      <c r="AM587" s="41">
        <f t="shared" si="117"/>
        <v>0</v>
      </c>
      <c r="AN587" s="41">
        <f t="shared" si="125"/>
        <v>37</v>
      </c>
      <c r="AO587" s="41">
        <f t="shared" si="126"/>
        <v>37</v>
      </c>
      <c r="AP587" s="40" t="s">
        <v>3456</v>
      </c>
      <c r="AQ587" s="36">
        <v>45122</v>
      </c>
      <c r="AR587" s="36"/>
      <c r="AS587" s="36"/>
      <c r="AT587" s="36">
        <v>45137</v>
      </c>
      <c r="AU587" s="36"/>
      <c r="AV587" s="38"/>
      <c r="AW587" s="40" t="s">
        <v>87</v>
      </c>
    </row>
    <row r="588" spans="1:49" s="34" customFormat="1" ht="45" customHeight="1" x14ac:dyDescent="0.3">
      <c r="A588" s="35" t="s">
        <v>3457</v>
      </c>
      <c r="B588" s="38">
        <v>45086</v>
      </c>
      <c r="C588" s="40">
        <v>545</v>
      </c>
      <c r="D588" s="39" t="s">
        <v>3458</v>
      </c>
      <c r="E588" s="1" t="s">
        <v>3459</v>
      </c>
      <c r="F588" s="36">
        <v>45110</v>
      </c>
      <c r="G588" s="37" t="s">
        <v>3460</v>
      </c>
      <c r="H588" s="40" t="s">
        <v>878</v>
      </c>
      <c r="I588" s="40" t="s">
        <v>1486</v>
      </c>
      <c r="J588" s="57">
        <v>81938356.5</v>
      </c>
      <c r="K588" s="41">
        <v>81938356.5</v>
      </c>
      <c r="L588" s="30">
        <f t="shared" si="119"/>
        <v>81938356.5</v>
      </c>
      <c r="M588" s="30">
        <f t="shared" si="119"/>
        <v>81938356.5</v>
      </c>
      <c r="N588" s="40" t="s">
        <v>1487</v>
      </c>
      <c r="O588" s="40" t="s">
        <v>1488</v>
      </c>
      <c r="P588" s="40" t="s">
        <v>348</v>
      </c>
      <c r="Q588" s="44">
        <v>0</v>
      </c>
      <c r="R588" s="37">
        <v>100</v>
      </c>
      <c r="S588" s="37" t="s">
        <v>1489</v>
      </c>
      <c r="T588" s="48">
        <v>2</v>
      </c>
      <c r="U588" s="30">
        <f>M588/W588</f>
        <v>333082.75</v>
      </c>
      <c r="V588" s="41">
        <f t="shared" si="118"/>
        <v>666165.5</v>
      </c>
      <c r="W588" s="41">
        <f t="shared" si="105"/>
        <v>246</v>
      </c>
      <c r="X588" s="41">
        <v>246</v>
      </c>
      <c r="Y588" s="41">
        <v>0</v>
      </c>
      <c r="Z588" s="41">
        <f t="shared" si="120"/>
        <v>0</v>
      </c>
      <c r="AA588" s="41">
        <v>0</v>
      </c>
      <c r="AB588" s="41">
        <f t="shared" si="121"/>
        <v>0</v>
      </c>
      <c r="AC588" s="41">
        <f t="shared" si="109"/>
        <v>0</v>
      </c>
      <c r="AD588" s="41">
        <v>0</v>
      </c>
      <c r="AE588" s="41">
        <f t="shared" si="122"/>
        <v>0</v>
      </c>
      <c r="AF588" s="41">
        <v>0</v>
      </c>
      <c r="AG588" s="41">
        <f t="shared" si="123"/>
        <v>0</v>
      </c>
      <c r="AH588" s="41">
        <f t="shared" si="124"/>
        <v>0</v>
      </c>
      <c r="AI588" s="41">
        <v>0</v>
      </c>
      <c r="AJ588" s="41">
        <v>0</v>
      </c>
      <c r="AK588" s="41">
        <v>0</v>
      </c>
      <c r="AL588" s="41">
        <v>0</v>
      </c>
      <c r="AM588" s="41">
        <f t="shared" si="117"/>
        <v>0</v>
      </c>
      <c r="AN588" s="41">
        <f t="shared" si="125"/>
        <v>123</v>
      </c>
      <c r="AO588" s="41">
        <f t="shared" si="126"/>
        <v>123</v>
      </c>
      <c r="AP588" s="40" t="s">
        <v>1353</v>
      </c>
      <c r="AQ588" s="36">
        <v>45122</v>
      </c>
      <c r="AR588" s="36"/>
      <c r="AS588" s="36"/>
      <c r="AT588" s="36">
        <v>45137</v>
      </c>
      <c r="AU588" s="36"/>
      <c r="AV588" s="38"/>
      <c r="AW588" s="40" t="s">
        <v>49</v>
      </c>
    </row>
    <row r="589" spans="1:49" s="34" customFormat="1" ht="45" customHeight="1" x14ac:dyDescent="0.3">
      <c r="A589" s="35" t="s">
        <v>3461</v>
      </c>
      <c r="B589" s="38">
        <v>45090</v>
      </c>
      <c r="C589" s="40">
        <v>545</v>
      </c>
      <c r="D589" s="39" t="s">
        <v>3462</v>
      </c>
      <c r="E589" s="1" t="s">
        <v>3463</v>
      </c>
      <c r="F589" s="36">
        <v>45110</v>
      </c>
      <c r="G589" s="37" t="s">
        <v>3464</v>
      </c>
      <c r="H589" s="40" t="s">
        <v>186</v>
      </c>
      <c r="I589" s="40" t="s">
        <v>3357</v>
      </c>
      <c r="J589" s="57">
        <v>49847083.439999998</v>
      </c>
      <c r="K589" s="41">
        <v>49847083.439999998</v>
      </c>
      <c r="L589" s="30">
        <v>52823028.719999999</v>
      </c>
      <c r="M589" s="30">
        <f t="shared" si="119"/>
        <v>52823028.719999999</v>
      </c>
      <c r="N589" s="40" t="s">
        <v>3465</v>
      </c>
      <c r="O589" s="40" t="s">
        <v>3466</v>
      </c>
      <c r="P589" s="40" t="s">
        <v>199</v>
      </c>
      <c r="Q589" s="44">
        <v>0</v>
      </c>
      <c r="R589" s="37">
        <v>100</v>
      </c>
      <c r="S589" s="37" t="s">
        <v>1964</v>
      </c>
      <c r="T589" s="48">
        <v>28</v>
      </c>
      <c r="U589" s="30">
        <f>M589/W589</f>
        <v>4428.49</v>
      </c>
      <c r="V589" s="41">
        <f t="shared" si="118"/>
        <v>123997.72</v>
      </c>
      <c r="W589" s="41">
        <f t="shared" si="105"/>
        <v>11928</v>
      </c>
      <c r="X589" s="41">
        <f>11256+672</f>
        <v>11928</v>
      </c>
      <c r="Y589" s="41">
        <v>0</v>
      </c>
      <c r="Z589" s="41">
        <f t="shared" si="120"/>
        <v>0</v>
      </c>
      <c r="AA589" s="41">
        <v>0</v>
      </c>
      <c r="AB589" s="41">
        <f t="shared" si="121"/>
        <v>0</v>
      </c>
      <c r="AC589" s="41">
        <f t="shared" si="109"/>
        <v>0</v>
      </c>
      <c r="AD589" s="41">
        <v>0</v>
      </c>
      <c r="AE589" s="41">
        <f t="shared" si="122"/>
        <v>0</v>
      </c>
      <c r="AF589" s="41">
        <v>0</v>
      </c>
      <c r="AG589" s="41">
        <f t="shared" si="123"/>
        <v>0</v>
      </c>
      <c r="AH589" s="41">
        <f t="shared" si="124"/>
        <v>0</v>
      </c>
      <c r="AI589" s="41">
        <v>0</v>
      </c>
      <c r="AJ589" s="41">
        <v>0</v>
      </c>
      <c r="AK589" s="41">
        <v>0</v>
      </c>
      <c r="AL589" s="41">
        <v>0</v>
      </c>
      <c r="AM589" s="41">
        <f t="shared" si="117"/>
        <v>0</v>
      </c>
      <c r="AN589" s="41">
        <f t="shared" si="125"/>
        <v>426</v>
      </c>
      <c r="AO589" s="41">
        <f t="shared" si="126"/>
        <v>426</v>
      </c>
      <c r="AP589" s="40" t="s">
        <v>1353</v>
      </c>
      <c r="AQ589" s="36">
        <v>45139</v>
      </c>
      <c r="AR589" s="36"/>
      <c r="AS589" s="36"/>
      <c r="AT589" s="36">
        <v>45153</v>
      </c>
      <c r="AU589" s="36"/>
      <c r="AV589" s="38"/>
      <c r="AW589" s="40" t="s">
        <v>49</v>
      </c>
    </row>
    <row r="590" spans="1:49" s="34" customFormat="1" ht="45" customHeight="1" x14ac:dyDescent="0.3">
      <c r="A590" s="35" t="s">
        <v>3467</v>
      </c>
      <c r="B590" s="38">
        <v>45090</v>
      </c>
      <c r="C590" s="40">
        <v>545</v>
      </c>
      <c r="D590" s="39" t="s">
        <v>3468</v>
      </c>
      <c r="E590" s="1" t="s">
        <v>3469</v>
      </c>
      <c r="F590" s="36">
        <v>45110</v>
      </c>
      <c r="G590" s="37" t="s">
        <v>3470</v>
      </c>
      <c r="H590" s="40" t="s">
        <v>878</v>
      </c>
      <c r="I590" s="40" t="s">
        <v>1542</v>
      </c>
      <c r="J590" s="57">
        <v>2445828</v>
      </c>
      <c r="K590" s="41">
        <v>2445828</v>
      </c>
      <c r="L590" s="30">
        <f t="shared" ref="L590:M650" si="127">K590</f>
        <v>2445828</v>
      </c>
      <c r="M590" s="30">
        <f t="shared" si="127"/>
        <v>2445828</v>
      </c>
      <c r="N590" s="40" t="s">
        <v>1536</v>
      </c>
      <c r="O590" s="40" t="s">
        <v>1543</v>
      </c>
      <c r="P590" s="40" t="s">
        <v>348</v>
      </c>
      <c r="Q590" s="44">
        <v>0</v>
      </c>
      <c r="R590" s="37">
        <v>100</v>
      </c>
      <c r="S590" s="37" t="s">
        <v>1964</v>
      </c>
      <c r="T590" s="48">
        <v>30</v>
      </c>
      <c r="U590" s="30">
        <f>M590/W590</f>
        <v>1455.85</v>
      </c>
      <c r="V590" s="41">
        <f t="shared" si="118"/>
        <v>43675.5</v>
      </c>
      <c r="W590" s="41">
        <f t="shared" si="105"/>
        <v>1680</v>
      </c>
      <c r="X590" s="41">
        <v>1680</v>
      </c>
      <c r="Y590" s="41">
        <v>0</v>
      </c>
      <c r="Z590" s="41">
        <f t="shared" si="120"/>
        <v>0</v>
      </c>
      <c r="AA590" s="41">
        <v>0</v>
      </c>
      <c r="AB590" s="41">
        <f t="shared" si="121"/>
        <v>0</v>
      </c>
      <c r="AC590" s="41">
        <f t="shared" si="109"/>
        <v>0</v>
      </c>
      <c r="AD590" s="41">
        <v>0</v>
      </c>
      <c r="AE590" s="41">
        <f t="shared" si="122"/>
        <v>0</v>
      </c>
      <c r="AF590" s="41">
        <v>0</v>
      </c>
      <c r="AG590" s="41">
        <f t="shared" si="123"/>
        <v>0</v>
      </c>
      <c r="AH590" s="41">
        <f t="shared" si="124"/>
        <v>0</v>
      </c>
      <c r="AI590" s="41">
        <v>0</v>
      </c>
      <c r="AJ590" s="41">
        <v>0</v>
      </c>
      <c r="AK590" s="41">
        <v>0</v>
      </c>
      <c r="AL590" s="41">
        <v>0</v>
      </c>
      <c r="AM590" s="41">
        <f t="shared" si="117"/>
        <v>0</v>
      </c>
      <c r="AN590" s="41">
        <f t="shared" si="125"/>
        <v>56</v>
      </c>
      <c r="AO590" s="41">
        <f t="shared" si="126"/>
        <v>56</v>
      </c>
      <c r="AP590" s="40" t="s">
        <v>3471</v>
      </c>
      <c r="AQ590" s="36">
        <v>45132</v>
      </c>
      <c r="AR590" s="36"/>
      <c r="AS590" s="36"/>
      <c r="AT590" s="36">
        <v>45148</v>
      </c>
      <c r="AU590" s="36"/>
      <c r="AV590" s="38"/>
      <c r="AW590" s="40" t="s">
        <v>87</v>
      </c>
    </row>
    <row r="591" spans="1:49" s="34" customFormat="1" ht="45" customHeight="1" x14ac:dyDescent="0.3">
      <c r="A591" s="35" t="s">
        <v>3472</v>
      </c>
      <c r="B591" s="38">
        <v>45091</v>
      </c>
      <c r="C591" s="40">
        <v>1688</v>
      </c>
      <c r="D591" s="39" t="s">
        <v>3473</v>
      </c>
      <c r="E591" s="1" t="s">
        <v>3474</v>
      </c>
      <c r="F591" s="36">
        <v>45111</v>
      </c>
      <c r="G591" s="37" t="s">
        <v>3475</v>
      </c>
      <c r="H591" s="40" t="s">
        <v>3476</v>
      </c>
      <c r="I591" s="40" t="s">
        <v>3477</v>
      </c>
      <c r="J591" s="57">
        <v>21120000</v>
      </c>
      <c r="K591" s="41">
        <v>21120000</v>
      </c>
      <c r="L591" s="30">
        <f t="shared" si="127"/>
        <v>21120000</v>
      </c>
      <c r="M591" s="30">
        <f t="shared" si="127"/>
        <v>21120000</v>
      </c>
      <c r="N591" s="40" t="s">
        <v>3478</v>
      </c>
      <c r="O591" s="40" t="s">
        <v>3479</v>
      </c>
      <c r="P591" s="40" t="s">
        <v>47</v>
      </c>
      <c r="Q591" s="44">
        <v>100</v>
      </c>
      <c r="R591" s="37">
        <v>0</v>
      </c>
      <c r="S591" s="37" t="s">
        <v>48</v>
      </c>
      <c r="T591" s="48">
        <v>5</v>
      </c>
      <c r="U591" s="30">
        <f>M591/W591</f>
        <v>176</v>
      </c>
      <c r="V591" s="41">
        <f t="shared" si="118"/>
        <v>880</v>
      </c>
      <c r="W591" s="41">
        <f t="shared" si="105"/>
        <v>120000</v>
      </c>
      <c r="X591" s="41">
        <v>120000</v>
      </c>
      <c r="Y591" s="41">
        <v>0</v>
      </c>
      <c r="Z591" s="41">
        <f t="shared" si="120"/>
        <v>0</v>
      </c>
      <c r="AA591" s="41">
        <v>0</v>
      </c>
      <c r="AB591" s="41">
        <f t="shared" si="121"/>
        <v>0</v>
      </c>
      <c r="AC591" s="41">
        <f t="shared" si="109"/>
        <v>0</v>
      </c>
      <c r="AD591" s="41">
        <v>0</v>
      </c>
      <c r="AE591" s="41">
        <f t="shared" si="122"/>
        <v>0</v>
      </c>
      <c r="AF591" s="41">
        <v>0</v>
      </c>
      <c r="AG591" s="41">
        <f t="shared" si="123"/>
        <v>0</v>
      </c>
      <c r="AH591" s="41">
        <f t="shared" si="124"/>
        <v>0</v>
      </c>
      <c r="AI591" s="41">
        <v>0</v>
      </c>
      <c r="AJ591" s="41">
        <v>0</v>
      </c>
      <c r="AK591" s="41">
        <v>0</v>
      </c>
      <c r="AL591" s="41">
        <v>0</v>
      </c>
      <c r="AM591" s="41">
        <f t="shared" si="117"/>
        <v>0</v>
      </c>
      <c r="AN591" s="41">
        <f t="shared" si="125"/>
        <v>24000</v>
      </c>
      <c r="AO591" s="41">
        <f t="shared" si="126"/>
        <v>24000</v>
      </c>
      <c r="AP591" s="40"/>
      <c r="AQ591" s="36">
        <v>45261</v>
      </c>
      <c r="AR591" s="36"/>
      <c r="AS591" s="36"/>
      <c r="AT591" s="36">
        <v>45275</v>
      </c>
      <c r="AU591" s="36"/>
      <c r="AV591" s="38"/>
      <c r="AW591" s="40" t="s">
        <v>49</v>
      </c>
    </row>
    <row r="592" spans="1:49" s="34" customFormat="1" ht="45" customHeight="1" x14ac:dyDescent="0.3">
      <c r="A592" s="35" t="s">
        <v>3480</v>
      </c>
      <c r="B592" s="38">
        <v>45091</v>
      </c>
      <c r="C592" s="40">
        <v>545</v>
      </c>
      <c r="D592" s="39" t="s">
        <v>459</v>
      </c>
      <c r="E592" s="1" t="s">
        <v>3481</v>
      </c>
      <c r="F592" s="36" t="s">
        <v>459</v>
      </c>
      <c r="G592" s="37" t="s">
        <v>459</v>
      </c>
      <c r="H592" s="40" t="s">
        <v>459</v>
      </c>
      <c r="I592" s="40" t="s">
        <v>1535</v>
      </c>
      <c r="J592" s="57">
        <v>1528619.4</v>
      </c>
      <c r="K592" s="41">
        <v>0</v>
      </c>
      <c r="L592" s="30">
        <f t="shared" si="127"/>
        <v>0</v>
      </c>
      <c r="M592" s="30">
        <f t="shared" si="127"/>
        <v>0</v>
      </c>
      <c r="N592" s="40"/>
      <c r="O592" s="40"/>
      <c r="P592" s="40"/>
      <c r="Q592" s="44"/>
      <c r="R592" s="37"/>
      <c r="S592" s="37"/>
      <c r="T592" s="48"/>
      <c r="U592" s="30" t="e">
        <f>M592/W592</f>
        <v>#DIV/0!</v>
      </c>
      <c r="V592" s="41" t="e">
        <f t="shared" si="118"/>
        <v>#DIV/0!</v>
      </c>
      <c r="W592" s="41">
        <f t="shared" si="105"/>
        <v>0</v>
      </c>
      <c r="X592" s="41">
        <f t="shared" ref="X592:X647" si="128">Y592+AA592</f>
        <v>0</v>
      </c>
      <c r="Y592" s="41">
        <v>0</v>
      </c>
      <c r="Z592" s="41" t="e">
        <f t="shared" si="120"/>
        <v>#DIV/0!</v>
      </c>
      <c r="AA592" s="41">
        <v>0</v>
      </c>
      <c r="AB592" s="41" t="e">
        <f t="shared" si="121"/>
        <v>#DIV/0!</v>
      </c>
      <c r="AC592" s="41">
        <f t="shared" si="109"/>
        <v>0</v>
      </c>
      <c r="AD592" s="41">
        <v>0</v>
      </c>
      <c r="AE592" s="41" t="e">
        <f t="shared" si="122"/>
        <v>#DIV/0!</v>
      </c>
      <c r="AF592" s="41">
        <v>0</v>
      </c>
      <c r="AG592" s="41" t="e">
        <f t="shared" si="123"/>
        <v>#DIV/0!</v>
      </c>
      <c r="AH592" s="41">
        <f t="shared" si="124"/>
        <v>0</v>
      </c>
      <c r="AI592" s="41">
        <v>0</v>
      </c>
      <c r="AJ592" s="41">
        <v>0</v>
      </c>
      <c r="AK592" s="41">
        <v>0</v>
      </c>
      <c r="AL592" s="41">
        <v>0</v>
      </c>
      <c r="AM592" s="41" t="e">
        <f t="shared" si="117"/>
        <v>#DIV/0!</v>
      </c>
      <c r="AN592" s="41" t="e">
        <f t="shared" si="125"/>
        <v>#DIV/0!</v>
      </c>
      <c r="AO592" s="41" t="e">
        <f t="shared" si="126"/>
        <v>#DIV/0!</v>
      </c>
      <c r="AP592" s="40"/>
      <c r="AQ592" s="36">
        <v>45132</v>
      </c>
      <c r="AR592" s="36"/>
      <c r="AS592" s="36"/>
      <c r="AT592" s="36"/>
      <c r="AU592" s="36"/>
      <c r="AV592" s="38"/>
      <c r="AW592" s="40"/>
    </row>
    <row r="593" spans="1:49" ht="45" customHeight="1" x14ac:dyDescent="0.3">
      <c r="A593" s="35" t="s">
        <v>3482</v>
      </c>
      <c r="B593" s="38">
        <v>45091</v>
      </c>
      <c r="C593" s="40">
        <v>545</v>
      </c>
      <c r="D593" s="39" t="s">
        <v>3483</v>
      </c>
      <c r="E593" s="1" t="s">
        <v>3484</v>
      </c>
      <c r="F593" s="36">
        <v>45111</v>
      </c>
      <c r="G593" s="37" t="s">
        <v>3485</v>
      </c>
      <c r="H593" s="40" t="s">
        <v>878</v>
      </c>
      <c r="I593" s="40" t="s">
        <v>1525</v>
      </c>
      <c r="J593" s="57">
        <v>9579131.0999999996</v>
      </c>
      <c r="K593" s="41">
        <v>9579131.0999999996</v>
      </c>
      <c r="L593" s="30">
        <f t="shared" si="127"/>
        <v>9579131.0999999996</v>
      </c>
      <c r="M593" s="30">
        <f t="shared" si="127"/>
        <v>9579131.0999999996</v>
      </c>
      <c r="N593" s="40" t="s">
        <v>1536</v>
      </c>
      <c r="O593" s="40" t="s">
        <v>1963</v>
      </c>
      <c r="P593" s="40" t="s">
        <v>348</v>
      </c>
      <c r="Q593" s="44">
        <v>0</v>
      </c>
      <c r="R593" s="37">
        <v>100</v>
      </c>
      <c r="S593" s="37" t="s">
        <v>1964</v>
      </c>
      <c r="T593" s="48">
        <v>30</v>
      </c>
      <c r="U593" s="30">
        <f>M593/W593</f>
        <v>970.53</v>
      </c>
      <c r="V593" s="41">
        <f t="shared" si="118"/>
        <v>29115.899999999998</v>
      </c>
      <c r="W593" s="41">
        <f t="shared" si="105"/>
        <v>9870</v>
      </c>
      <c r="X593" s="41">
        <v>9870</v>
      </c>
      <c r="Y593" s="41">
        <v>0</v>
      </c>
      <c r="Z593" s="41">
        <f t="shared" si="120"/>
        <v>0</v>
      </c>
      <c r="AA593" s="41">
        <v>0</v>
      </c>
      <c r="AB593" s="41">
        <f t="shared" si="121"/>
        <v>0</v>
      </c>
      <c r="AC593" s="41">
        <f t="shared" si="109"/>
        <v>0</v>
      </c>
      <c r="AD593" s="41">
        <v>0</v>
      </c>
      <c r="AE593" s="41">
        <f t="shared" si="122"/>
        <v>0</v>
      </c>
      <c r="AF593" s="41">
        <v>0</v>
      </c>
      <c r="AG593" s="41">
        <f t="shared" si="123"/>
        <v>0</v>
      </c>
      <c r="AH593" s="41">
        <f t="shared" si="124"/>
        <v>0</v>
      </c>
      <c r="AI593" s="41">
        <v>0</v>
      </c>
      <c r="AJ593" s="41">
        <v>0</v>
      </c>
      <c r="AK593" s="41">
        <v>0</v>
      </c>
      <c r="AL593" s="41">
        <v>0</v>
      </c>
      <c r="AM593" s="41">
        <f t="shared" si="117"/>
        <v>0</v>
      </c>
      <c r="AN593" s="41">
        <f t="shared" si="125"/>
        <v>329</v>
      </c>
      <c r="AO593" s="41">
        <f t="shared" si="126"/>
        <v>329</v>
      </c>
      <c r="AP593" s="40"/>
      <c r="AQ593" s="36">
        <v>45132</v>
      </c>
      <c r="AR593" s="36"/>
      <c r="AS593" s="36"/>
      <c r="AT593" s="36">
        <v>45148</v>
      </c>
      <c r="AU593" s="36"/>
      <c r="AV593" s="38"/>
      <c r="AW593" s="40" t="s">
        <v>87</v>
      </c>
    </row>
    <row r="594" spans="1:49" ht="45" customHeight="1" x14ac:dyDescent="0.3">
      <c r="A594" s="35" t="s">
        <v>3486</v>
      </c>
      <c r="B594" s="38">
        <v>45097</v>
      </c>
      <c r="C594" s="40">
        <v>545</v>
      </c>
      <c r="D594" s="39" t="s">
        <v>3487</v>
      </c>
      <c r="E594" s="1" t="s">
        <v>3488</v>
      </c>
      <c r="F594" s="36">
        <v>45117</v>
      </c>
      <c r="G594" s="37" t="s">
        <v>3489</v>
      </c>
      <c r="H594" s="40" t="s">
        <v>224</v>
      </c>
      <c r="I594" s="40" t="s">
        <v>1358</v>
      </c>
      <c r="J594" s="57">
        <v>9426712.5</v>
      </c>
      <c r="K594" s="41">
        <v>9426712.5</v>
      </c>
      <c r="L594" s="30">
        <f t="shared" si="127"/>
        <v>9426712.5</v>
      </c>
      <c r="M594" s="30">
        <f t="shared" si="127"/>
        <v>9426712.5</v>
      </c>
      <c r="N594" s="40" t="s">
        <v>936</v>
      </c>
      <c r="O594" s="40" t="s">
        <v>3113</v>
      </c>
      <c r="P594" s="40" t="s">
        <v>348</v>
      </c>
      <c r="Q594" s="44">
        <v>0</v>
      </c>
      <c r="R594" s="37">
        <v>100</v>
      </c>
      <c r="S594" s="37" t="s">
        <v>219</v>
      </c>
      <c r="T594" s="48">
        <v>1</v>
      </c>
      <c r="U594" s="30">
        <f>M594/W594</f>
        <v>554512.5</v>
      </c>
      <c r="V594" s="41">
        <f t="shared" si="118"/>
        <v>554512.5</v>
      </c>
      <c r="W594" s="41">
        <f t="shared" si="105"/>
        <v>17</v>
      </c>
      <c r="X594" s="41">
        <v>17</v>
      </c>
      <c r="Y594" s="41">
        <v>0</v>
      </c>
      <c r="Z594" s="41">
        <f t="shared" si="120"/>
        <v>0</v>
      </c>
      <c r="AA594" s="41">
        <v>0</v>
      </c>
      <c r="AB594" s="41">
        <f t="shared" si="121"/>
        <v>0</v>
      </c>
      <c r="AC594" s="41">
        <f t="shared" si="109"/>
        <v>0</v>
      </c>
      <c r="AD594" s="41">
        <v>0</v>
      </c>
      <c r="AE594" s="41">
        <f t="shared" si="122"/>
        <v>0</v>
      </c>
      <c r="AF594" s="41">
        <v>0</v>
      </c>
      <c r="AG594" s="41">
        <f t="shared" si="123"/>
        <v>0</v>
      </c>
      <c r="AH594" s="41">
        <f t="shared" si="124"/>
        <v>0</v>
      </c>
      <c r="AI594" s="41">
        <v>0</v>
      </c>
      <c r="AJ594" s="41">
        <v>0</v>
      </c>
      <c r="AK594" s="41">
        <v>0</v>
      </c>
      <c r="AL594" s="41">
        <v>0</v>
      </c>
      <c r="AM594" s="41">
        <f t="shared" si="117"/>
        <v>0</v>
      </c>
      <c r="AN594" s="41">
        <f t="shared" si="125"/>
        <v>17</v>
      </c>
      <c r="AO594" s="41">
        <f t="shared" si="126"/>
        <v>17</v>
      </c>
      <c r="AP594" s="40"/>
      <c r="AQ594" s="36">
        <v>45132</v>
      </c>
      <c r="AR594" s="36"/>
      <c r="AS594" s="36"/>
      <c r="AT594" s="36">
        <v>45148</v>
      </c>
      <c r="AU594" s="36"/>
      <c r="AV594" s="38"/>
      <c r="AW594" s="40" t="s">
        <v>87</v>
      </c>
    </row>
    <row r="595" spans="1:49" ht="45" customHeight="1" x14ac:dyDescent="0.3">
      <c r="A595" s="35" t="s">
        <v>3490</v>
      </c>
      <c r="B595" s="38">
        <v>45092</v>
      </c>
      <c r="C595" s="40">
        <v>545</v>
      </c>
      <c r="D595" s="39" t="s">
        <v>3491</v>
      </c>
      <c r="E595" s="1" t="s">
        <v>3492</v>
      </c>
      <c r="F595" s="36">
        <v>45111</v>
      </c>
      <c r="G595" s="37" t="s">
        <v>3493</v>
      </c>
      <c r="H595" s="40" t="s">
        <v>224</v>
      </c>
      <c r="I595" s="40" t="s">
        <v>1660</v>
      </c>
      <c r="J595" s="57">
        <v>21296030.25</v>
      </c>
      <c r="K595" s="41">
        <v>21296030.25</v>
      </c>
      <c r="L595" s="30">
        <f t="shared" si="127"/>
        <v>21296030.25</v>
      </c>
      <c r="M595" s="30">
        <f t="shared" si="127"/>
        <v>21296030.25</v>
      </c>
      <c r="N595" s="40" t="s">
        <v>2392</v>
      </c>
      <c r="O595" s="40" t="s">
        <v>2413</v>
      </c>
      <c r="P595" s="40" t="s">
        <v>2394</v>
      </c>
      <c r="Q595" s="44">
        <v>0</v>
      </c>
      <c r="R595" s="37">
        <v>100</v>
      </c>
      <c r="S595" s="37" t="s">
        <v>1489</v>
      </c>
      <c r="T595" s="48">
        <v>15</v>
      </c>
      <c r="U595" s="30">
        <f>M595/W595</f>
        <v>25813.37</v>
      </c>
      <c r="V595" s="41">
        <f t="shared" si="118"/>
        <v>387200.55</v>
      </c>
      <c r="W595" s="41">
        <f t="shared" si="105"/>
        <v>825</v>
      </c>
      <c r="X595" s="41">
        <v>825</v>
      </c>
      <c r="Y595" s="41">
        <v>0</v>
      </c>
      <c r="Z595" s="41">
        <f t="shared" si="120"/>
        <v>0</v>
      </c>
      <c r="AA595" s="41">
        <v>0</v>
      </c>
      <c r="AB595" s="41">
        <f t="shared" si="121"/>
        <v>0</v>
      </c>
      <c r="AC595" s="41">
        <f t="shared" si="109"/>
        <v>0</v>
      </c>
      <c r="AD595" s="41">
        <v>0</v>
      </c>
      <c r="AE595" s="41">
        <f t="shared" si="122"/>
        <v>0</v>
      </c>
      <c r="AF595" s="41">
        <v>0</v>
      </c>
      <c r="AG595" s="41">
        <f t="shared" si="123"/>
        <v>0</v>
      </c>
      <c r="AH595" s="41">
        <f t="shared" si="124"/>
        <v>0</v>
      </c>
      <c r="AI595" s="41">
        <v>0</v>
      </c>
      <c r="AJ595" s="41">
        <v>0</v>
      </c>
      <c r="AK595" s="41">
        <v>0</v>
      </c>
      <c r="AL595" s="41">
        <v>0</v>
      </c>
      <c r="AM595" s="41">
        <f t="shared" si="117"/>
        <v>0</v>
      </c>
      <c r="AN595" s="41">
        <f t="shared" si="125"/>
        <v>55</v>
      </c>
      <c r="AO595" s="41">
        <f t="shared" si="126"/>
        <v>55</v>
      </c>
      <c r="AP595" s="40" t="s">
        <v>3494</v>
      </c>
      <c r="AQ595" s="36">
        <v>45139</v>
      </c>
      <c r="AR595" s="36"/>
      <c r="AS595" s="36"/>
      <c r="AT595" s="36">
        <v>45153</v>
      </c>
      <c r="AU595" s="36"/>
      <c r="AV595" s="38"/>
      <c r="AW595" s="40" t="s">
        <v>87</v>
      </c>
    </row>
    <row r="596" spans="1:49" ht="45" customHeight="1" x14ac:dyDescent="0.3">
      <c r="A596" s="35" t="s">
        <v>3495</v>
      </c>
      <c r="B596" s="38">
        <v>45093</v>
      </c>
      <c r="C596" s="40">
        <v>545</v>
      </c>
      <c r="D596" s="39" t="s">
        <v>3496</v>
      </c>
      <c r="E596" s="1" t="s">
        <v>3497</v>
      </c>
      <c r="F596" s="36">
        <v>45114</v>
      </c>
      <c r="G596" s="37" t="s">
        <v>3498</v>
      </c>
      <c r="H596" s="40" t="s">
        <v>3499</v>
      </c>
      <c r="I596" s="40" t="s">
        <v>3167</v>
      </c>
      <c r="J596" s="57">
        <v>117930758.40000001</v>
      </c>
      <c r="K596" s="41">
        <v>123854530.8</v>
      </c>
      <c r="L596" s="30">
        <f t="shared" si="127"/>
        <v>123854530.8</v>
      </c>
      <c r="M596" s="30">
        <f t="shared" si="127"/>
        <v>123854530.8</v>
      </c>
      <c r="N596" s="40" t="s">
        <v>3500</v>
      </c>
      <c r="O596" s="40" t="s">
        <v>3501</v>
      </c>
      <c r="P596" s="40" t="s">
        <v>2478</v>
      </c>
      <c r="Q596" s="44">
        <v>0</v>
      </c>
      <c r="R596" s="37">
        <v>100</v>
      </c>
      <c r="S596" s="37" t="s">
        <v>1964</v>
      </c>
      <c r="T596" s="48">
        <v>60</v>
      </c>
      <c r="U596" s="30">
        <f>M596/W596</f>
        <v>6410.69</v>
      </c>
      <c r="V596" s="41">
        <f t="shared" si="118"/>
        <v>384641.39999999997</v>
      </c>
      <c r="W596" s="41">
        <f t="shared" si="105"/>
        <v>19320</v>
      </c>
      <c r="X596" s="41">
        <v>14400</v>
      </c>
      <c r="Y596" s="41">
        <v>0</v>
      </c>
      <c r="Z596" s="41">
        <f t="shared" si="120"/>
        <v>0</v>
      </c>
      <c r="AA596" s="41">
        <v>0</v>
      </c>
      <c r="AB596" s="41">
        <f t="shared" si="121"/>
        <v>0</v>
      </c>
      <c r="AC596" s="41">
        <f>3720+1200</f>
        <v>4920</v>
      </c>
      <c r="AD596" s="41">
        <v>0</v>
      </c>
      <c r="AE596" s="41">
        <f t="shared" si="122"/>
        <v>0</v>
      </c>
      <c r="AF596" s="41">
        <v>0</v>
      </c>
      <c r="AG596" s="41">
        <f t="shared" si="123"/>
        <v>0</v>
      </c>
      <c r="AH596" s="41">
        <f t="shared" si="124"/>
        <v>0</v>
      </c>
      <c r="AI596" s="41">
        <v>0</v>
      </c>
      <c r="AJ596" s="41">
        <v>0</v>
      </c>
      <c r="AK596" s="41">
        <v>0</v>
      </c>
      <c r="AL596" s="41">
        <v>0</v>
      </c>
      <c r="AM596" s="41">
        <f t="shared" si="117"/>
        <v>0</v>
      </c>
      <c r="AN596" s="41">
        <f t="shared" si="125"/>
        <v>322</v>
      </c>
      <c r="AO596" s="41">
        <f t="shared" si="126"/>
        <v>322</v>
      </c>
      <c r="AP596" s="40" t="s">
        <v>1353</v>
      </c>
      <c r="AQ596" s="36">
        <v>45139</v>
      </c>
      <c r="AR596" s="36">
        <v>45170</v>
      </c>
      <c r="AS596" s="36"/>
      <c r="AT596" s="36">
        <v>45153</v>
      </c>
      <c r="AU596" s="36">
        <v>45184</v>
      </c>
      <c r="AV596" s="38"/>
      <c r="AW596" s="40" t="s">
        <v>49</v>
      </c>
    </row>
    <row r="597" spans="1:49" ht="45" customHeight="1" x14ac:dyDescent="0.3">
      <c r="A597" s="35" t="s">
        <v>3502</v>
      </c>
      <c r="B597" s="38">
        <v>45098</v>
      </c>
      <c r="C597" s="40">
        <v>545</v>
      </c>
      <c r="D597" s="39" t="s">
        <v>3503</v>
      </c>
      <c r="E597" s="1" t="s">
        <v>3504</v>
      </c>
      <c r="F597" s="36">
        <v>45118</v>
      </c>
      <c r="G597" s="37" t="s">
        <v>3505</v>
      </c>
      <c r="H597" s="40" t="s">
        <v>224</v>
      </c>
      <c r="I597" s="40" t="s">
        <v>1706</v>
      </c>
      <c r="J597" s="57">
        <v>147910323.59999999</v>
      </c>
      <c r="K597" s="41">
        <v>147910323.59999999</v>
      </c>
      <c r="L597" s="30">
        <f t="shared" si="127"/>
        <v>147910323.59999999</v>
      </c>
      <c r="M597" s="30">
        <f t="shared" si="127"/>
        <v>147910323.59999999</v>
      </c>
      <c r="N597" s="40" t="s">
        <v>2392</v>
      </c>
      <c r="O597" s="40" t="s">
        <v>2393</v>
      </c>
      <c r="P597" s="40" t="s">
        <v>2394</v>
      </c>
      <c r="Q597" s="44">
        <v>0</v>
      </c>
      <c r="R597" s="37">
        <v>100</v>
      </c>
      <c r="S597" s="37" t="s">
        <v>1489</v>
      </c>
      <c r="T597" s="48">
        <v>30</v>
      </c>
      <c r="U597" s="30">
        <f>M597/W597</f>
        <v>25813.32</v>
      </c>
      <c r="V597" s="41">
        <f t="shared" si="118"/>
        <v>774399.6</v>
      </c>
      <c r="W597" s="41">
        <f t="shared" ref="W597:W660" si="129">X597+AC597+AH597</f>
        <v>5730</v>
      </c>
      <c r="X597" s="41">
        <v>5730</v>
      </c>
      <c r="Y597" s="41">
        <v>0</v>
      </c>
      <c r="Z597" s="41">
        <f t="shared" si="120"/>
        <v>0</v>
      </c>
      <c r="AA597" s="41">
        <v>0</v>
      </c>
      <c r="AB597" s="41">
        <f t="shared" si="121"/>
        <v>0</v>
      </c>
      <c r="AC597" s="41">
        <f t="shared" si="109"/>
        <v>0</v>
      </c>
      <c r="AD597" s="41">
        <v>0</v>
      </c>
      <c r="AE597" s="41">
        <f t="shared" si="122"/>
        <v>0</v>
      </c>
      <c r="AF597" s="41">
        <v>0</v>
      </c>
      <c r="AG597" s="41">
        <f t="shared" si="123"/>
        <v>0</v>
      </c>
      <c r="AH597" s="41">
        <f t="shared" si="124"/>
        <v>0</v>
      </c>
      <c r="AI597" s="41">
        <v>0</v>
      </c>
      <c r="AJ597" s="41">
        <v>0</v>
      </c>
      <c r="AK597" s="41">
        <v>0</v>
      </c>
      <c r="AL597" s="41">
        <v>0</v>
      </c>
      <c r="AM597" s="41">
        <f t="shared" si="117"/>
        <v>0</v>
      </c>
      <c r="AN597" s="41">
        <f t="shared" si="125"/>
        <v>191</v>
      </c>
      <c r="AO597" s="41">
        <f t="shared" si="126"/>
        <v>191</v>
      </c>
      <c r="AP597" s="40"/>
      <c r="AQ597" s="36">
        <v>45139</v>
      </c>
      <c r="AR597" s="36"/>
      <c r="AS597" s="36"/>
      <c r="AT597" s="36">
        <v>45153</v>
      </c>
      <c r="AU597" s="36"/>
      <c r="AV597" s="38"/>
      <c r="AW597" s="40" t="s">
        <v>87</v>
      </c>
    </row>
    <row r="598" spans="1:49" ht="45" customHeight="1" x14ac:dyDescent="0.3">
      <c r="A598" s="35" t="s">
        <v>3506</v>
      </c>
      <c r="B598" s="38">
        <v>45098</v>
      </c>
      <c r="C598" s="40">
        <v>545</v>
      </c>
      <c r="D598" s="39" t="s">
        <v>3507</v>
      </c>
      <c r="E598" s="1" t="s">
        <v>3508</v>
      </c>
      <c r="F598" s="36">
        <v>45118</v>
      </c>
      <c r="G598" s="37" t="s">
        <v>3509</v>
      </c>
      <c r="H598" s="40" t="s">
        <v>224</v>
      </c>
      <c r="I598" s="40" t="s">
        <v>1314</v>
      </c>
      <c r="J598" s="57">
        <v>76560000</v>
      </c>
      <c r="K598" s="41">
        <v>76560000</v>
      </c>
      <c r="L598" s="30">
        <v>85747200</v>
      </c>
      <c r="M598" s="30">
        <f t="shared" si="127"/>
        <v>85747200</v>
      </c>
      <c r="N598" s="40" t="s">
        <v>1300</v>
      </c>
      <c r="O598" s="40" t="s">
        <v>1308</v>
      </c>
      <c r="P598" s="40" t="s">
        <v>1032</v>
      </c>
      <c r="Q598" s="44">
        <v>0</v>
      </c>
      <c r="R598" s="37">
        <v>100</v>
      </c>
      <c r="S598" s="37" t="s">
        <v>1964</v>
      </c>
      <c r="T598" s="48">
        <v>60</v>
      </c>
      <c r="U598" s="30">
        <f>M598/W598</f>
        <v>6380</v>
      </c>
      <c r="V598" s="41">
        <f t="shared" si="118"/>
        <v>382800</v>
      </c>
      <c r="W598" s="41">
        <f t="shared" si="129"/>
        <v>13440</v>
      </c>
      <c r="X598" s="41">
        <f>12000+1440</f>
        <v>13440</v>
      </c>
      <c r="Y598" s="41">
        <v>0</v>
      </c>
      <c r="Z598" s="41">
        <f t="shared" si="120"/>
        <v>0</v>
      </c>
      <c r="AA598" s="41">
        <v>0</v>
      </c>
      <c r="AB598" s="41">
        <f t="shared" si="121"/>
        <v>0</v>
      </c>
      <c r="AC598" s="41">
        <f t="shared" si="109"/>
        <v>0</v>
      </c>
      <c r="AD598" s="41">
        <v>0</v>
      </c>
      <c r="AE598" s="41">
        <f t="shared" si="122"/>
        <v>0</v>
      </c>
      <c r="AF598" s="41">
        <v>0</v>
      </c>
      <c r="AG598" s="41">
        <f t="shared" si="123"/>
        <v>0</v>
      </c>
      <c r="AH598" s="41">
        <f t="shared" si="124"/>
        <v>0</v>
      </c>
      <c r="AI598" s="41">
        <v>0</v>
      </c>
      <c r="AJ598" s="41">
        <v>0</v>
      </c>
      <c r="AK598" s="41">
        <v>0</v>
      </c>
      <c r="AL598" s="41">
        <v>0</v>
      </c>
      <c r="AM598" s="41">
        <f t="shared" si="117"/>
        <v>0</v>
      </c>
      <c r="AN598" s="41">
        <f t="shared" si="125"/>
        <v>224</v>
      </c>
      <c r="AO598" s="41">
        <f t="shared" si="126"/>
        <v>224</v>
      </c>
      <c r="AP598" s="40"/>
      <c r="AQ598" s="36">
        <v>45199</v>
      </c>
      <c r="AR598" s="36"/>
      <c r="AS598" s="36"/>
      <c r="AT598" s="36">
        <v>45214</v>
      </c>
      <c r="AU598" s="36"/>
      <c r="AV598" s="38"/>
      <c r="AW598" s="40" t="s">
        <v>49</v>
      </c>
    </row>
    <row r="599" spans="1:49" ht="45" customHeight="1" x14ac:dyDescent="0.3">
      <c r="A599" s="35" t="s">
        <v>3510</v>
      </c>
      <c r="B599" s="38">
        <v>45098</v>
      </c>
      <c r="C599" s="40">
        <v>1416</v>
      </c>
      <c r="D599" s="39" t="s">
        <v>3511</v>
      </c>
      <c r="E599" s="1" t="s">
        <v>3512</v>
      </c>
      <c r="F599" s="36">
        <v>45121</v>
      </c>
      <c r="G599" s="37" t="s">
        <v>3513</v>
      </c>
      <c r="H599" s="40" t="s">
        <v>1971</v>
      </c>
      <c r="I599" s="40" t="s">
        <v>3514</v>
      </c>
      <c r="J599" s="57">
        <v>29839440</v>
      </c>
      <c r="K599" s="41">
        <v>29839440</v>
      </c>
      <c r="L599" s="30">
        <f t="shared" si="127"/>
        <v>29839440</v>
      </c>
      <c r="M599" s="30">
        <f t="shared" si="127"/>
        <v>29839440</v>
      </c>
      <c r="N599" s="40" t="s">
        <v>3515</v>
      </c>
      <c r="O599" s="40" t="s">
        <v>3516</v>
      </c>
      <c r="P599" s="40" t="s">
        <v>2690</v>
      </c>
      <c r="Q599" s="44">
        <v>0</v>
      </c>
      <c r="R599" s="37">
        <v>100</v>
      </c>
      <c r="S599" s="37" t="s">
        <v>229</v>
      </c>
      <c r="T599" s="48">
        <v>2000</v>
      </c>
      <c r="U599" s="30">
        <f>M599/W599</f>
        <v>12.12</v>
      </c>
      <c r="V599" s="41">
        <f t="shared" si="118"/>
        <v>24240</v>
      </c>
      <c r="W599" s="41">
        <f t="shared" si="129"/>
        <v>2462000</v>
      </c>
      <c r="X599" s="41">
        <f t="shared" si="128"/>
        <v>2462000</v>
      </c>
      <c r="Y599" s="41">
        <v>2462000</v>
      </c>
      <c r="Z599" s="41">
        <f t="shared" si="120"/>
        <v>29839439.999999996</v>
      </c>
      <c r="AA599" s="41">
        <v>0</v>
      </c>
      <c r="AB599" s="41">
        <f t="shared" si="121"/>
        <v>0</v>
      </c>
      <c r="AC599" s="41">
        <f t="shared" si="109"/>
        <v>0</v>
      </c>
      <c r="AD599" s="41">
        <v>0</v>
      </c>
      <c r="AE599" s="41">
        <f t="shared" si="122"/>
        <v>0</v>
      </c>
      <c r="AF599" s="41">
        <v>0</v>
      </c>
      <c r="AG599" s="41">
        <f t="shared" si="123"/>
        <v>0</v>
      </c>
      <c r="AH599" s="41">
        <f t="shared" si="124"/>
        <v>0</v>
      </c>
      <c r="AI599" s="41">
        <v>0</v>
      </c>
      <c r="AJ599" s="41">
        <v>0</v>
      </c>
      <c r="AK599" s="41">
        <v>0</v>
      </c>
      <c r="AL599" s="41">
        <v>0</v>
      </c>
      <c r="AM599" s="41">
        <f t="shared" si="117"/>
        <v>29839439.999999996</v>
      </c>
      <c r="AN599" s="41">
        <f t="shared" si="125"/>
        <v>1231</v>
      </c>
      <c r="AO599" s="41">
        <f t="shared" si="126"/>
        <v>1231</v>
      </c>
      <c r="AP599" s="40"/>
      <c r="AQ599" s="36">
        <v>45199</v>
      </c>
      <c r="AR599" s="36"/>
      <c r="AS599" s="36"/>
      <c r="AT599" s="36">
        <v>45214</v>
      </c>
      <c r="AU599" s="36"/>
      <c r="AV599" s="38"/>
      <c r="AW599" s="40" t="s">
        <v>49</v>
      </c>
    </row>
    <row r="600" spans="1:49" ht="45" customHeight="1" x14ac:dyDescent="0.3">
      <c r="A600" s="35" t="s">
        <v>3517</v>
      </c>
      <c r="B600" s="38">
        <v>45098</v>
      </c>
      <c r="C600" s="40">
        <v>1416</v>
      </c>
      <c r="D600" s="39" t="s">
        <v>3518</v>
      </c>
      <c r="E600" s="1" t="s">
        <v>3519</v>
      </c>
      <c r="F600" s="36">
        <v>45121</v>
      </c>
      <c r="G600" s="37" t="s">
        <v>3520</v>
      </c>
      <c r="H600" s="40" t="s">
        <v>1971</v>
      </c>
      <c r="I600" s="40" t="s">
        <v>2746</v>
      </c>
      <c r="J600" s="57">
        <v>6000780</v>
      </c>
      <c r="K600" s="41">
        <v>6000780</v>
      </c>
      <c r="L600" s="30">
        <f t="shared" si="127"/>
        <v>6000780</v>
      </c>
      <c r="M600" s="30">
        <f t="shared" si="127"/>
        <v>6000780</v>
      </c>
      <c r="N600" s="40" t="s">
        <v>3515</v>
      </c>
      <c r="O600" s="40" t="s">
        <v>3521</v>
      </c>
      <c r="P600" s="40" t="s">
        <v>2690</v>
      </c>
      <c r="Q600" s="44">
        <v>0</v>
      </c>
      <c r="R600" s="37">
        <v>100</v>
      </c>
      <c r="S600" s="37" t="s">
        <v>229</v>
      </c>
      <c r="T600" s="48">
        <v>500</v>
      </c>
      <c r="U600" s="30">
        <f>M600/W600</f>
        <v>12.36</v>
      </c>
      <c r="V600" s="41">
        <f t="shared" si="118"/>
        <v>6180</v>
      </c>
      <c r="W600" s="41">
        <f t="shared" si="129"/>
        <v>485500</v>
      </c>
      <c r="X600" s="41">
        <f t="shared" si="128"/>
        <v>485500</v>
      </c>
      <c r="Y600" s="41">
        <v>485500</v>
      </c>
      <c r="Z600" s="41">
        <f t="shared" si="120"/>
        <v>6000780</v>
      </c>
      <c r="AA600" s="41">
        <v>0</v>
      </c>
      <c r="AB600" s="41">
        <f t="shared" si="121"/>
        <v>0</v>
      </c>
      <c r="AC600" s="41">
        <f t="shared" si="109"/>
        <v>0</v>
      </c>
      <c r="AD600" s="41">
        <v>0</v>
      </c>
      <c r="AE600" s="41">
        <f t="shared" si="122"/>
        <v>0</v>
      </c>
      <c r="AF600" s="41">
        <v>0</v>
      </c>
      <c r="AG600" s="41">
        <f t="shared" si="123"/>
        <v>0</v>
      </c>
      <c r="AH600" s="41">
        <f t="shared" si="124"/>
        <v>0</v>
      </c>
      <c r="AI600" s="41">
        <v>0</v>
      </c>
      <c r="AJ600" s="41">
        <v>0</v>
      </c>
      <c r="AK600" s="41">
        <v>0</v>
      </c>
      <c r="AL600" s="41">
        <v>0</v>
      </c>
      <c r="AM600" s="41">
        <f t="shared" si="117"/>
        <v>6000780</v>
      </c>
      <c r="AN600" s="41">
        <f t="shared" si="125"/>
        <v>971</v>
      </c>
      <c r="AO600" s="41">
        <f t="shared" si="126"/>
        <v>971</v>
      </c>
      <c r="AP600" s="40"/>
      <c r="AQ600" s="36">
        <v>45199</v>
      </c>
      <c r="AR600" s="36"/>
      <c r="AS600" s="36"/>
      <c r="AT600" s="36">
        <v>45214</v>
      </c>
      <c r="AU600" s="36"/>
      <c r="AV600" s="38"/>
      <c r="AW600" s="40" t="s">
        <v>49</v>
      </c>
    </row>
    <row r="601" spans="1:49" ht="45" customHeight="1" x14ac:dyDescent="0.3">
      <c r="A601" s="35" t="s">
        <v>3522</v>
      </c>
      <c r="B601" s="38">
        <v>45098</v>
      </c>
      <c r="C601" s="40">
        <v>1416</v>
      </c>
      <c r="D601" s="39" t="s">
        <v>3523</v>
      </c>
      <c r="E601" s="1" t="s">
        <v>3524</v>
      </c>
      <c r="F601" s="36">
        <v>45121</v>
      </c>
      <c r="G601" s="37" t="s">
        <v>3525</v>
      </c>
      <c r="H601" s="40" t="s">
        <v>1971</v>
      </c>
      <c r="I601" s="40" t="s">
        <v>2721</v>
      </c>
      <c r="J601" s="57">
        <v>39200530</v>
      </c>
      <c r="K601" s="41">
        <v>39200530</v>
      </c>
      <c r="L601" s="30">
        <f t="shared" si="127"/>
        <v>39200530</v>
      </c>
      <c r="M601" s="30">
        <f t="shared" si="127"/>
        <v>39200530</v>
      </c>
      <c r="N601" s="40" t="s">
        <v>3515</v>
      </c>
      <c r="O601" s="40" t="s">
        <v>3526</v>
      </c>
      <c r="P601" s="40" t="s">
        <v>2690</v>
      </c>
      <c r="Q601" s="44">
        <v>0</v>
      </c>
      <c r="R601" s="37">
        <v>100</v>
      </c>
      <c r="S601" s="37" t="s">
        <v>229</v>
      </c>
      <c r="T601" s="48">
        <v>1000</v>
      </c>
      <c r="U601" s="30">
        <f>M601/W601</f>
        <v>12.37</v>
      </c>
      <c r="V601" s="41">
        <f t="shared" si="118"/>
        <v>12370</v>
      </c>
      <c r="W601" s="41">
        <f t="shared" si="129"/>
        <v>3169000</v>
      </c>
      <c r="X601" s="41">
        <f t="shared" si="128"/>
        <v>3169000</v>
      </c>
      <c r="Y601" s="41">
        <v>3169000</v>
      </c>
      <c r="Z601" s="41">
        <f t="shared" si="120"/>
        <v>39200530</v>
      </c>
      <c r="AA601" s="41">
        <v>0</v>
      </c>
      <c r="AB601" s="41">
        <f t="shared" si="121"/>
        <v>0</v>
      </c>
      <c r="AC601" s="41">
        <f t="shared" si="109"/>
        <v>0</v>
      </c>
      <c r="AD601" s="41">
        <v>0</v>
      </c>
      <c r="AE601" s="41">
        <f t="shared" si="122"/>
        <v>0</v>
      </c>
      <c r="AF601" s="41">
        <v>0</v>
      </c>
      <c r="AG601" s="41">
        <f t="shared" si="123"/>
        <v>0</v>
      </c>
      <c r="AH601" s="41">
        <f t="shared" si="124"/>
        <v>0</v>
      </c>
      <c r="AI601" s="41">
        <v>0</v>
      </c>
      <c r="AJ601" s="41">
        <v>0</v>
      </c>
      <c r="AK601" s="41">
        <v>0</v>
      </c>
      <c r="AL601" s="41">
        <v>0</v>
      </c>
      <c r="AM601" s="41">
        <f t="shared" si="117"/>
        <v>39200530</v>
      </c>
      <c r="AN601" s="41">
        <f t="shared" si="125"/>
        <v>3169</v>
      </c>
      <c r="AO601" s="41">
        <f t="shared" si="126"/>
        <v>3169</v>
      </c>
      <c r="AP601" s="40"/>
      <c r="AQ601" s="36">
        <v>45199</v>
      </c>
      <c r="AR601" s="36"/>
      <c r="AS601" s="36"/>
      <c r="AT601" s="36">
        <v>45214</v>
      </c>
      <c r="AU601" s="36"/>
      <c r="AV601" s="38"/>
      <c r="AW601" s="40" t="s">
        <v>49</v>
      </c>
    </row>
    <row r="602" spans="1:49" ht="45" customHeight="1" x14ac:dyDescent="0.3">
      <c r="A602" s="35" t="s">
        <v>3527</v>
      </c>
      <c r="B602" s="38">
        <v>45098</v>
      </c>
      <c r="C602" s="40">
        <v>1416</v>
      </c>
      <c r="D602" s="39" t="s">
        <v>3528</v>
      </c>
      <c r="E602" s="1" t="s">
        <v>3529</v>
      </c>
      <c r="F602" s="36">
        <v>45121</v>
      </c>
      <c r="G602" s="37" t="s">
        <v>3530</v>
      </c>
      <c r="H602" s="40" t="s">
        <v>1971</v>
      </c>
      <c r="I602" s="40" t="s">
        <v>2733</v>
      </c>
      <c r="J602" s="57">
        <v>13396710</v>
      </c>
      <c r="K602" s="41">
        <v>13396710</v>
      </c>
      <c r="L602" s="30">
        <f t="shared" si="127"/>
        <v>13396710</v>
      </c>
      <c r="M602" s="30">
        <f t="shared" si="127"/>
        <v>13396710</v>
      </c>
      <c r="N602" s="40" t="s">
        <v>3515</v>
      </c>
      <c r="O602" s="40" t="s">
        <v>3531</v>
      </c>
      <c r="P602" s="40" t="s">
        <v>2690</v>
      </c>
      <c r="Q602" s="44">
        <v>0</v>
      </c>
      <c r="R602" s="37">
        <v>100</v>
      </c>
      <c r="S602" s="37" t="s">
        <v>229</v>
      </c>
      <c r="T602" s="48">
        <v>1500</v>
      </c>
      <c r="U602" s="30">
        <f>M602/W602</f>
        <v>12.37</v>
      </c>
      <c r="V602" s="41">
        <f t="shared" si="118"/>
        <v>18555</v>
      </c>
      <c r="W602" s="41">
        <f t="shared" si="129"/>
        <v>1083000</v>
      </c>
      <c r="X602" s="41">
        <f t="shared" si="128"/>
        <v>1083000</v>
      </c>
      <c r="Y602" s="41">
        <v>1083000</v>
      </c>
      <c r="Z602" s="41">
        <f t="shared" si="120"/>
        <v>13396710</v>
      </c>
      <c r="AA602" s="41">
        <v>0</v>
      </c>
      <c r="AB602" s="41">
        <f t="shared" si="121"/>
        <v>0</v>
      </c>
      <c r="AC602" s="41">
        <f t="shared" si="109"/>
        <v>0</v>
      </c>
      <c r="AD602" s="41">
        <v>0</v>
      </c>
      <c r="AE602" s="41">
        <f t="shared" si="122"/>
        <v>0</v>
      </c>
      <c r="AF602" s="41">
        <v>0</v>
      </c>
      <c r="AG602" s="41">
        <f t="shared" si="123"/>
        <v>0</v>
      </c>
      <c r="AH602" s="41">
        <f t="shared" si="124"/>
        <v>0</v>
      </c>
      <c r="AI602" s="41">
        <v>0</v>
      </c>
      <c r="AJ602" s="41">
        <v>0</v>
      </c>
      <c r="AK602" s="41">
        <v>0</v>
      </c>
      <c r="AL602" s="41">
        <v>0</v>
      </c>
      <c r="AM602" s="41">
        <f t="shared" si="117"/>
        <v>13396710</v>
      </c>
      <c r="AN602" s="41">
        <f t="shared" si="125"/>
        <v>722</v>
      </c>
      <c r="AO602" s="41">
        <f t="shared" si="126"/>
        <v>722</v>
      </c>
      <c r="AP602" s="40"/>
      <c r="AQ602" s="36">
        <v>45199</v>
      </c>
      <c r="AR602" s="36"/>
      <c r="AS602" s="36"/>
      <c r="AT602" s="36">
        <v>45214</v>
      </c>
      <c r="AU602" s="36"/>
      <c r="AV602" s="38"/>
      <c r="AW602" s="40" t="s">
        <v>49</v>
      </c>
    </row>
    <row r="603" spans="1:49" ht="45" customHeight="1" x14ac:dyDescent="0.3">
      <c r="A603" s="35" t="s">
        <v>3532</v>
      </c>
      <c r="B603" s="38">
        <v>45098</v>
      </c>
      <c r="C603" s="40">
        <v>1416</v>
      </c>
      <c r="D603" s="39" t="s">
        <v>3533</v>
      </c>
      <c r="E603" s="1" t="s">
        <v>3534</v>
      </c>
      <c r="F603" s="36">
        <v>45121</v>
      </c>
      <c r="G603" s="37" t="s">
        <v>3535</v>
      </c>
      <c r="H603" s="40" t="s">
        <v>224</v>
      </c>
      <c r="I603" s="40" t="s">
        <v>3112</v>
      </c>
      <c r="J603" s="57">
        <v>274483682.55000001</v>
      </c>
      <c r="K603" s="41">
        <v>274483682.55000001</v>
      </c>
      <c r="L603" s="30">
        <f t="shared" si="127"/>
        <v>274483682.55000001</v>
      </c>
      <c r="M603" s="30">
        <f t="shared" si="127"/>
        <v>274483682.55000001</v>
      </c>
      <c r="N603" s="40" t="s">
        <v>936</v>
      </c>
      <c r="O603" s="40" t="s">
        <v>937</v>
      </c>
      <c r="P603" s="40" t="s">
        <v>348</v>
      </c>
      <c r="Q603" s="44">
        <v>0</v>
      </c>
      <c r="R603" s="37">
        <v>100</v>
      </c>
      <c r="S603" s="37" t="s">
        <v>219</v>
      </c>
      <c r="T603" s="48">
        <v>1</v>
      </c>
      <c r="U603" s="30">
        <f>M603/W603</f>
        <v>554512.49</v>
      </c>
      <c r="V603" s="41">
        <f t="shared" si="118"/>
        <v>554512.49</v>
      </c>
      <c r="W603" s="41">
        <f t="shared" si="129"/>
        <v>495</v>
      </c>
      <c r="X603" s="41">
        <f t="shared" si="128"/>
        <v>495</v>
      </c>
      <c r="Y603" s="41">
        <v>495</v>
      </c>
      <c r="Z603" s="41">
        <f t="shared" si="120"/>
        <v>274483682.55000001</v>
      </c>
      <c r="AA603" s="41">
        <v>0</v>
      </c>
      <c r="AB603" s="41">
        <f t="shared" si="121"/>
        <v>0</v>
      </c>
      <c r="AC603" s="41">
        <f t="shared" si="109"/>
        <v>0</v>
      </c>
      <c r="AD603" s="41">
        <v>0</v>
      </c>
      <c r="AE603" s="41">
        <f t="shared" si="122"/>
        <v>0</v>
      </c>
      <c r="AF603" s="41">
        <v>0</v>
      </c>
      <c r="AG603" s="41">
        <f t="shared" si="123"/>
        <v>0</v>
      </c>
      <c r="AH603" s="41">
        <f t="shared" si="124"/>
        <v>0</v>
      </c>
      <c r="AI603" s="41">
        <v>0</v>
      </c>
      <c r="AJ603" s="41">
        <v>0</v>
      </c>
      <c r="AK603" s="41">
        <v>0</v>
      </c>
      <c r="AL603" s="41">
        <v>0</v>
      </c>
      <c r="AM603" s="41">
        <f t="shared" si="117"/>
        <v>274483682.55000001</v>
      </c>
      <c r="AN603" s="41">
        <f t="shared" si="125"/>
        <v>495</v>
      </c>
      <c r="AO603" s="41">
        <f t="shared" si="126"/>
        <v>495</v>
      </c>
      <c r="AP603" s="40"/>
      <c r="AQ603" s="36">
        <v>45170</v>
      </c>
      <c r="AR603" s="36"/>
      <c r="AS603" s="36"/>
      <c r="AT603" s="36">
        <v>45184</v>
      </c>
      <c r="AU603" s="36"/>
      <c r="AV603" s="38"/>
      <c r="AW603" s="40" t="s">
        <v>49</v>
      </c>
    </row>
    <row r="604" spans="1:49" ht="45" customHeight="1" x14ac:dyDescent="0.3">
      <c r="A604" s="35" t="s">
        <v>3536</v>
      </c>
      <c r="B604" s="38">
        <v>45098</v>
      </c>
      <c r="C604" s="40">
        <v>1416</v>
      </c>
      <c r="D604" s="39" t="s">
        <v>3537</v>
      </c>
      <c r="E604" s="1" t="s">
        <v>3538</v>
      </c>
      <c r="F604" s="36">
        <v>45121</v>
      </c>
      <c r="G604" s="37" t="s">
        <v>3539</v>
      </c>
      <c r="H604" s="40" t="s">
        <v>353</v>
      </c>
      <c r="I604" s="40" t="s">
        <v>3540</v>
      </c>
      <c r="J604" s="57">
        <v>85748877.5</v>
      </c>
      <c r="K604" s="41">
        <v>85748877.5</v>
      </c>
      <c r="L604" s="30">
        <f t="shared" si="127"/>
        <v>85748877.5</v>
      </c>
      <c r="M604" s="30">
        <f t="shared" si="127"/>
        <v>85748877.5</v>
      </c>
      <c r="N604" s="40" t="s">
        <v>355</v>
      </c>
      <c r="O604" s="40" t="s">
        <v>952</v>
      </c>
      <c r="P604" s="40" t="s">
        <v>357</v>
      </c>
      <c r="Q604" s="44">
        <v>0</v>
      </c>
      <c r="R604" s="37">
        <v>100</v>
      </c>
      <c r="S604" s="37" t="s">
        <v>219</v>
      </c>
      <c r="T604" s="48">
        <v>1</v>
      </c>
      <c r="U604" s="30">
        <f>M604/W604</f>
        <v>52768.54</v>
      </c>
      <c r="V604" s="41">
        <f t="shared" si="118"/>
        <v>52768.54</v>
      </c>
      <c r="W604" s="41">
        <f t="shared" si="129"/>
        <v>1625</v>
      </c>
      <c r="X604" s="41">
        <f t="shared" si="128"/>
        <v>1625</v>
      </c>
      <c r="Y604" s="41">
        <v>1625</v>
      </c>
      <c r="Z604" s="41">
        <f t="shared" si="120"/>
        <v>85748877.5</v>
      </c>
      <c r="AA604" s="41">
        <v>0</v>
      </c>
      <c r="AB604" s="41">
        <f t="shared" si="121"/>
        <v>0</v>
      </c>
      <c r="AC604" s="41">
        <f t="shared" si="109"/>
        <v>0</v>
      </c>
      <c r="AD604" s="41">
        <v>0</v>
      </c>
      <c r="AE604" s="41">
        <f t="shared" si="122"/>
        <v>0</v>
      </c>
      <c r="AF604" s="41">
        <v>0</v>
      </c>
      <c r="AG604" s="41">
        <f t="shared" si="123"/>
        <v>0</v>
      </c>
      <c r="AH604" s="41">
        <f t="shared" si="124"/>
        <v>0</v>
      </c>
      <c r="AI604" s="41">
        <v>0</v>
      </c>
      <c r="AJ604" s="41">
        <v>0</v>
      </c>
      <c r="AK604" s="41">
        <v>0</v>
      </c>
      <c r="AL604" s="41">
        <v>0</v>
      </c>
      <c r="AM604" s="41">
        <f t="shared" si="117"/>
        <v>85748877.5</v>
      </c>
      <c r="AN604" s="41">
        <f t="shared" si="125"/>
        <v>1625</v>
      </c>
      <c r="AO604" s="41">
        <f t="shared" si="126"/>
        <v>1625</v>
      </c>
      <c r="AP604" s="40"/>
      <c r="AQ604" s="36">
        <v>45261</v>
      </c>
      <c r="AR604" s="36"/>
      <c r="AS604" s="36"/>
      <c r="AT604" s="36">
        <v>45275</v>
      </c>
      <c r="AU604" s="36"/>
      <c r="AV604" s="38"/>
      <c r="AW604" s="40" t="s">
        <v>49</v>
      </c>
    </row>
    <row r="605" spans="1:49" ht="45" customHeight="1" x14ac:dyDescent="0.3">
      <c r="A605" s="35" t="s">
        <v>3541</v>
      </c>
      <c r="B605" s="38">
        <v>45098</v>
      </c>
      <c r="C605" s="40">
        <v>1416</v>
      </c>
      <c r="D605" s="39" t="s">
        <v>3542</v>
      </c>
      <c r="E605" s="1" t="s">
        <v>3543</v>
      </c>
      <c r="F605" s="36">
        <v>45121</v>
      </c>
      <c r="G605" s="37" t="s">
        <v>3544</v>
      </c>
      <c r="H605" s="40" t="s">
        <v>1971</v>
      </c>
      <c r="I605" s="40" t="s">
        <v>2711</v>
      </c>
      <c r="J605" s="57">
        <v>21301140</v>
      </c>
      <c r="K605" s="41">
        <v>21301140</v>
      </c>
      <c r="L605" s="30">
        <f t="shared" si="127"/>
        <v>21301140</v>
      </c>
      <c r="M605" s="30">
        <f t="shared" si="127"/>
        <v>21301140</v>
      </c>
      <c r="N605" s="40" t="s">
        <v>3515</v>
      </c>
      <c r="O605" s="40" t="s">
        <v>3545</v>
      </c>
      <c r="P605" s="40" t="s">
        <v>2690</v>
      </c>
      <c r="Q605" s="44">
        <v>0</v>
      </c>
      <c r="R605" s="37">
        <v>100</v>
      </c>
      <c r="S605" s="37" t="s">
        <v>229</v>
      </c>
      <c r="T605" s="48">
        <v>3000</v>
      </c>
      <c r="U605" s="30">
        <f>M605/W605</f>
        <v>12.37</v>
      </c>
      <c r="V605" s="41">
        <f t="shared" si="118"/>
        <v>37110</v>
      </c>
      <c r="W605" s="41">
        <f t="shared" si="129"/>
        <v>1722000</v>
      </c>
      <c r="X605" s="41">
        <f t="shared" si="128"/>
        <v>1722000</v>
      </c>
      <c r="Y605" s="41">
        <v>1722000</v>
      </c>
      <c r="Z605" s="41">
        <f t="shared" si="120"/>
        <v>21301140</v>
      </c>
      <c r="AA605" s="41">
        <v>0</v>
      </c>
      <c r="AB605" s="41">
        <f t="shared" si="121"/>
        <v>0</v>
      </c>
      <c r="AC605" s="41">
        <f t="shared" si="109"/>
        <v>0</v>
      </c>
      <c r="AD605" s="41">
        <v>0</v>
      </c>
      <c r="AE605" s="41">
        <f t="shared" si="122"/>
        <v>0</v>
      </c>
      <c r="AF605" s="41">
        <v>0</v>
      </c>
      <c r="AG605" s="41">
        <f t="shared" si="123"/>
        <v>0</v>
      </c>
      <c r="AH605" s="41">
        <f t="shared" si="124"/>
        <v>0</v>
      </c>
      <c r="AI605" s="41">
        <v>0</v>
      </c>
      <c r="AJ605" s="41">
        <v>0</v>
      </c>
      <c r="AK605" s="41">
        <v>0</v>
      </c>
      <c r="AL605" s="41">
        <v>0</v>
      </c>
      <c r="AM605" s="41">
        <f t="shared" si="117"/>
        <v>21301140</v>
      </c>
      <c r="AN605" s="41">
        <f t="shared" si="125"/>
        <v>574</v>
      </c>
      <c r="AO605" s="41">
        <f t="shared" si="126"/>
        <v>574</v>
      </c>
      <c r="AP605" s="40"/>
      <c r="AQ605" s="36">
        <v>45199</v>
      </c>
      <c r="AR605" s="36"/>
      <c r="AS605" s="36"/>
      <c r="AT605" s="36">
        <v>45214</v>
      </c>
      <c r="AU605" s="36"/>
      <c r="AV605" s="38"/>
      <c r="AW605" s="40" t="s">
        <v>49</v>
      </c>
    </row>
    <row r="606" spans="1:49" ht="45" customHeight="1" x14ac:dyDescent="0.3">
      <c r="A606" s="35" t="s">
        <v>3546</v>
      </c>
      <c r="B606" s="38">
        <v>45098</v>
      </c>
      <c r="C606" s="40">
        <v>1416</v>
      </c>
      <c r="D606" s="39" t="s">
        <v>3547</v>
      </c>
      <c r="E606" s="1" t="s">
        <v>3548</v>
      </c>
      <c r="F606" s="36">
        <v>45121</v>
      </c>
      <c r="G606" s="37" t="s">
        <v>3549</v>
      </c>
      <c r="H606" s="40" t="s">
        <v>387</v>
      </c>
      <c r="I606" s="40" t="s">
        <v>3550</v>
      </c>
      <c r="J606" s="57">
        <v>3724023.6</v>
      </c>
      <c r="K606" s="41">
        <v>3724023.6</v>
      </c>
      <c r="L606" s="30">
        <f t="shared" si="127"/>
        <v>3724023.6</v>
      </c>
      <c r="M606" s="30">
        <f t="shared" si="127"/>
        <v>3724023.6</v>
      </c>
      <c r="N606" s="40" t="s">
        <v>442</v>
      </c>
      <c r="O606" s="40" t="s">
        <v>443</v>
      </c>
      <c r="P606" s="40" t="s">
        <v>47</v>
      </c>
      <c r="Q606" s="44">
        <v>100</v>
      </c>
      <c r="R606" s="37">
        <v>0</v>
      </c>
      <c r="S606" s="37" t="s">
        <v>219</v>
      </c>
      <c r="T606" s="67">
        <v>1.5</v>
      </c>
      <c r="U606" s="30">
        <f>M606/W606</f>
        <v>3065.04</v>
      </c>
      <c r="V606" s="41">
        <f t="shared" si="118"/>
        <v>4597.5599999999995</v>
      </c>
      <c r="W606" s="41">
        <f t="shared" si="129"/>
        <v>1215</v>
      </c>
      <c r="X606" s="41">
        <f t="shared" si="128"/>
        <v>1215</v>
      </c>
      <c r="Y606" s="41">
        <v>1137</v>
      </c>
      <c r="Z606" s="41">
        <f t="shared" si="120"/>
        <v>3484950.48</v>
      </c>
      <c r="AA606" s="41">
        <v>78</v>
      </c>
      <c r="AB606" s="41">
        <f t="shared" si="121"/>
        <v>239073.12</v>
      </c>
      <c r="AC606" s="41">
        <f t="shared" si="109"/>
        <v>0</v>
      </c>
      <c r="AD606" s="41">
        <v>0</v>
      </c>
      <c r="AE606" s="41">
        <f t="shared" si="122"/>
        <v>0</v>
      </c>
      <c r="AF606" s="41">
        <v>0</v>
      </c>
      <c r="AG606" s="41">
        <f t="shared" si="123"/>
        <v>0</v>
      </c>
      <c r="AH606" s="41">
        <f t="shared" si="124"/>
        <v>0</v>
      </c>
      <c r="AI606" s="41">
        <v>0</v>
      </c>
      <c r="AJ606" s="41">
        <v>0</v>
      </c>
      <c r="AK606" s="41">
        <v>0</v>
      </c>
      <c r="AL606" s="41">
        <v>0</v>
      </c>
      <c r="AM606" s="41">
        <f t="shared" si="117"/>
        <v>3484950.48</v>
      </c>
      <c r="AN606" s="41">
        <f t="shared" si="125"/>
        <v>810</v>
      </c>
      <c r="AO606" s="41">
        <f t="shared" si="126"/>
        <v>810</v>
      </c>
      <c r="AP606" s="40"/>
      <c r="AQ606" s="36">
        <v>45170</v>
      </c>
      <c r="AR606" s="36"/>
      <c r="AS606" s="36"/>
      <c r="AT606" s="36">
        <v>45184</v>
      </c>
      <c r="AU606" s="36"/>
      <c r="AV606" s="38"/>
      <c r="AW606" s="40" t="s">
        <v>49</v>
      </c>
    </row>
    <row r="607" spans="1:49" ht="45" customHeight="1" x14ac:dyDescent="0.3">
      <c r="A607" s="35" t="s">
        <v>3551</v>
      </c>
      <c r="B607" s="38">
        <v>45098</v>
      </c>
      <c r="C607" s="40">
        <v>1416</v>
      </c>
      <c r="D607" s="39" t="s">
        <v>3552</v>
      </c>
      <c r="E607" s="1" t="s">
        <v>3553</v>
      </c>
      <c r="F607" s="36">
        <v>45121</v>
      </c>
      <c r="G607" s="37" t="s">
        <v>3554</v>
      </c>
      <c r="H607" s="40" t="s">
        <v>387</v>
      </c>
      <c r="I607" s="40" t="s">
        <v>3555</v>
      </c>
      <c r="J607" s="57">
        <v>31839873.390000001</v>
      </c>
      <c r="K607" s="41">
        <v>31839873.390000001</v>
      </c>
      <c r="L607" s="30">
        <v>31839820.379999999</v>
      </c>
      <c r="M607" s="30">
        <f t="shared" si="127"/>
        <v>31839820.379999999</v>
      </c>
      <c r="N607" s="40" t="s">
        <v>442</v>
      </c>
      <c r="O607" s="40" t="s">
        <v>498</v>
      </c>
      <c r="P607" s="40" t="s">
        <v>47</v>
      </c>
      <c r="Q607" s="44">
        <v>100</v>
      </c>
      <c r="R607" s="37">
        <v>0</v>
      </c>
      <c r="S607" s="37" t="s">
        <v>219</v>
      </c>
      <c r="T607" s="48">
        <v>1.5</v>
      </c>
      <c r="U607" s="30">
        <f>M607/W607</f>
        <v>6006.38</v>
      </c>
      <c r="V607" s="41">
        <f t="shared" si="118"/>
        <v>9009.57</v>
      </c>
      <c r="W607" s="41">
        <f t="shared" si="129"/>
        <v>5301</v>
      </c>
      <c r="X607" s="41">
        <f t="shared" si="128"/>
        <v>5301</v>
      </c>
      <c r="Y607" s="41">
        <v>3844.5</v>
      </c>
      <c r="Z607" s="41">
        <f t="shared" si="120"/>
        <v>23091527.91</v>
      </c>
      <c r="AA607" s="41">
        <v>1456.5</v>
      </c>
      <c r="AB607" s="41">
        <f t="shared" si="121"/>
        <v>8748292.4700000007</v>
      </c>
      <c r="AC607" s="41">
        <f t="shared" si="109"/>
        <v>0</v>
      </c>
      <c r="AD607" s="41">
        <v>0</v>
      </c>
      <c r="AE607" s="41">
        <f t="shared" si="122"/>
        <v>0</v>
      </c>
      <c r="AF607" s="41">
        <v>0</v>
      </c>
      <c r="AG607" s="41">
        <f t="shared" si="123"/>
        <v>0</v>
      </c>
      <c r="AH607" s="41">
        <f t="shared" si="124"/>
        <v>0</v>
      </c>
      <c r="AI607" s="41">
        <v>0</v>
      </c>
      <c r="AJ607" s="41">
        <v>0</v>
      </c>
      <c r="AK607" s="41">
        <v>0</v>
      </c>
      <c r="AL607" s="41">
        <v>0</v>
      </c>
      <c r="AM607" s="41">
        <f t="shared" si="117"/>
        <v>23091527.91</v>
      </c>
      <c r="AN607" s="41">
        <f t="shared" si="125"/>
        <v>3534</v>
      </c>
      <c r="AO607" s="41">
        <f t="shared" si="126"/>
        <v>3534</v>
      </c>
      <c r="AP607" s="40"/>
      <c r="AQ607" s="36">
        <v>45170</v>
      </c>
      <c r="AR607" s="36"/>
      <c r="AS607" s="36"/>
      <c r="AT607" s="36">
        <v>45184</v>
      </c>
      <c r="AU607" s="36"/>
      <c r="AV607" s="38"/>
      <c r="AW607" s="40" t="s">
        <v>49</v>
      </c>
    </row>
    <row r="608" spans="1:49" ht="45" customHeight="1" x14ac:dyDescent="0.3">
      <c r="A608" s="35" t="s">
        <v>3556</v>
      </c>
      <c r="B608" s="38">
        <v>45098</v>
      </c>
      <c r="C608" s="40">
        <v>1416</v>
      </c>
      <c r="D608" s="39" t="s">
        <v>3557</v>
      </c>
      <c r="E608" s="1" t="s">
        <v>3558</v>
      </c>
      <c r="F608" s="36">
        <v>45121</v>
      </c>
      <c r="G608" s="37" t="s">
        <v>3559</v>
      </c>
      <c r="H608" s="40" t="s">
        <v>177</v>
      </c>
      <c r="I608" s="40" t="s">
        <v>3560</v>
      </c>
      <c r="J608" s="57">
        <v>13723572.6</v>
      </c>
      <c r="K608" s="41">
        <v>13723572.6</v>
      </c>
      <c r="L608" s="30">
        <f t="shared" si="127"/>
        <v>13723572.6</v>
      </c>
      <c r="M608" s="30">
        <f t="shared" si="127"/>
        <v>13723572.6</v>
      </c>
      <c r="N608" s="40" t="s">
        <v>513</v>
      </c>
      <c r="O608" s="40" t="s">
        <v>514</v>
      </c>
      <c r="P608" s="40" t="s">
        <v>218</v>
      </c>
      <c r="Q608" s="44">
        <v>0</v>
      </c>
      <c r="R608" s="37">
        <v>100</v>
      </c>
      <c r="S608" s="37" t="s">
        <v>1964</v>
      </c>
      <c r="T608" s="48">
        <v>2</v>
      </c>
      <c r="U608" s="30">
        <f>M608/W608</f>
        <v>22497.66</v>
      </c>
      <c r="V608" s="41">
        <f t="shared" si="118"/>
        <v>44995.32</v>
      </c>
      <c r="W608" s="41">
        <f t="shared" si="129"/>
        <v>610</v>
      </c>
      <c r="X608" s="41">
        <f t="shared" si="128"/>
        <v>610</v>
      </c>
      <c r="Y608" s="41">
        <v>440</v>
      </c>
      <c r="Z608" s="41">
        <f t="shared" si="120"/>
        <v>9898970.4000000004</v>
      </c>
      <c r="AA608" s="41">
        <v>170</v>
      </c>
      <c r="AB608" s="41">
        <f t="shared" si="121"/>
        <v>3824602.2</v>
      </c>
      <c r="AC608" s="41">
        <f t="shared" si="109"/>
        <v>0</v>
      </c>
      <c r="AD608" s="41">
        <v>0</v>
      </c>
      <c r="AE608" s="41">
        <f t="shared" si="122"/>
        <v>0</v>
      </c>
      <c r="AF608" s="41">
        <v>0</v>
      </c>
      <c r="AG608" s="41">
        <f t="shared" si="123"/>
        <v>0</v>
      </c>
      <c r="AH608" s="41">
        <f t="shared" si="124"/>
        <v>0</v>
      </c>
      <c r="AI608" s="41">
        <v>0</v>
      </c>
      <c r="AJ608" s="41">
        <v>0</v>
      </c>
      <c r="AK608" s="41">
        <v>0</v>
      </c>
      <c r="AL608" s="41">
        <v>0</v>
      </c>
      <c r="AM608" s="41">
        <f t="shared" si="117"/>
        <v>9898970.4000000004</v>
      </c>
      <c r="AN608" s="41">
        <f t="shared" si="125"/>
        <v>305</v>
      </c>
      <c r="AO608" s="41">
        <f t="shared" si="126"/>
        <v>305</v>
      </c>
      <c r="AP608" s="40"/>
      <c r="AQ608" s="36">
        <v>45170</v>
      </c>
      <c r="AR608" s="36"/>
      <c r="AS608" s="36"/>
      <c r="AT608" s="36">
        <v>45184</v>
      </c>
      <c r="AU608" s="36"/>
      <c r="AV608" s="38"/>
      <c r="AW608" s="40" t="s">
        <v>49</v>
      </c>
    </row>
    <row r="609" spans="1:49" ht="45" customHeight="1" x14ac:dyDescent="0.3">
      <c r="A609" s="35" t="s">
        <v>3561</v>
      </c>
      <c r="B609" s="38">
        <v>45098</v>
      </c>
      <c r="C609" s="40">
        <v>1416</v>
      </c>
      <c r="D609" s="39" t="s">
        <v>3562</v>
      </c>
      <c r="E609" s="1" t="s">
        <v>3563</v>
      </c>
      <c r="F609" s="36">
        <v>45121</v>
      </c>
      <c r="G609" s="37" t="s">
        <v>3564</v>
      </c>
      <c r="H609" s="40" t="s">
        <v>3190</v>
      </c>
      <c r="I609" s="40" t="s">
        <v>3205</v>
      </c>
      <c r="J609" s="57">
        <v>9348612.8399999999</v>
      </c>
      <c r="K609" s="41">
        <v>9301869.7799999993</v>
      </c>
      <c r="L609" s="30">
        <v>9301841.6400000006</v>
      </c>
      <c r="M609" s="30">
        <f t="shared" si="127"/>
        <v>9301841.6400000006</v>
      </c>
      <c r="N609" s="40" t="s">
        <v>3192</v>
      </c>
      <c r="O609" s="40" t="s">
        <v>3206</v>
      </c>
      <c r="P609" s="40" t="s">
        <v>583</v>
      </c>
      <c r="Q609" s="44">
        <v>0</v>
      </c>
      <c r="R609" s="37">
        <v>100</v>
      </c>
      <c r="S609" s="37" t="s">
        <v>584</v>
      </c>
      <c r="T609" s="67">
        <v>1.2</v>
      </c>
      <c r="U609" s="30">
        <f>M609/W609</f>
        <v>12728.300000000001</v>
      </c>
      <c r="V609" s="41">
        <f t="shared" si="118"/>
        <v>15273.960000000001</v>
      </c>
      <c r="W609" s="41">
        <f t="shared" si="129"/>
        <v>730.8</v>
      </c>
      <c r="X609" s="41">
        <f t="shared" si="128"/>
        <v>730.8</v>
      </c>
      <c r="Y609" s="41">
        <v>730.8</v>
      </c>
      <c r="Z609" s="41">
        <f t="shared" si="120"/>
        <v>9301841.6400000006</v>
      </c>
      <c r="AA609" s="41">
        <v>0</v>
      </c>
      <c r="AB609" s="41">
        <f t="shared" si="121"/>
        <v>0</v>
      </c>
      <c r="AC609" s="41">
        <f t="shared" si="109"/>
        <v>0</v>
      </c>
      <c r="AD609" s="41">
        <v>0</v>
      </c>
      <c r="AE609" s="41">
        <f t="shared" si="122"/>
        <v>0</v>
      </c>
      <c r="AF609" s="41">
        <v>0</v>
      </c>
      <c r="AG609" s="41">
        <f t="shared" si="123"/>
        <v>0</v>
      </c>
      <c r="AH609" s="41">
        <f t="shared" si="124"/>
        <v>0</v>
      </c>
      <c r="AI609" s="41">
        <v>0</v>
      </c>
      <c r="AJ609" s="41">
        <v>0</v>
      </c>
      <c r="AK609" s="41">
        <v>0</v>
      </c>
      <c r="AL609" s="41">
        <v>0</v>
      </c>
      <c r="AM609" s="41">
        <f t="shared" si="117"/>
        <v>9301841.6400000006</v>
      </c>
      <c r="AN609" s="41">
        <f t="shared" si="125"/>
        <v>609</v>
      </c>
      <c r="AO609" s="41">
        <f t="shared" si="126"/>
        <v>609</v>
      </c>
      <c r="AP609" s="40"/>
      <c r="AQ609" s="36">
        <v>45199</v>
      </c>
      <c r="AR609" s="36"/>
      <c r="AS609" s="36"/>
      <c r="AT609" s="36">
        <v>45214</v>
      </c>
      <c r="AU609" s="36"/>
      <c r="AV609" s="38"/>
      <c r="AW609" s="40" t="s">
        <v>49</v>
      </c>
    </row>
    <row r="610" spans="1:49" ht="45" customHeight="1" x14ac:dyDescent="0.3">
      <c r="A610" s="35" t="s">
        <v>3565</v>
      </c>
      <c r="B610" s="38">
        <v>45104</v>
      </c>
      <c r="C610" s="40">
        <v>1416</v>
      </c>
      <c r="D610" s="39" t="s">
        <v>3566</v>
      </c>
      <c r="E610" s="1" t="s">
        <v>3567</v>
      </c>
      <c r="F610" s="36">
        <v>45125</v>
      </c>
      <c r="G610" s="37" t="s">
        <v>3568</v>
      </c>
      <c r="H610" s="40" t="s">
        <v>186</v>
      </c>
      <c r="I610" s="40" t="s">
        <v>2861</v>
      </c>
      <c r="J610" s="57">
        <v>122427900</v>
      </c>
      <c r="K610" s="41">
        <v>122427900</v>
      </c>
      <c r="L610" s="30">
        <f t="shared" si="127"/>
        <v>122427900</v>
      </c>
      <c r="M610" s="30">
        <f t="shared" si="127"/>
        <v>122427900</v>
      </c>
      <c r="N610" s="40" t="s">
        <v>819</v>
      </c>
      <c r="O610" s="40" t="s">
        <v>820</v>
      </c>
      <c r="P610" s="40" t="s">
        <v>47</v>
      </c>
      <c r="Q610" s="44">
        <v>100</v>
      </c>
      <c r="R610" s="37">
        <v>0</v>
      </c>
      <c r="S610" s="37" t="s">
        <v>584</v>
      </c>
      <c r="T610" s="48">
        <v>15</v>
      </c>
      <c r="U610" s="30">
        <f>M610/W610</f>
        <v>194.33</v>
      </c>
      <c r="V610" s="41">
        <f t="shared" si="118"/>
        <v>2914.9500000000003</v>
      </c>
      <c r="W610" s="41">
        <f t="shared" si="129"/>
        <v>630000</v>
      </c>
      <c r="X610" s="41">
        <f t="shared" si="128"/>
        <v>630000</v>
      </c>
      <c r="Y610" s="41">
        <v>616245</v>
      </c>
      <c r="Z610" s="41">
        <f t="shared" si="120"/>
        <v>119754890.85000001</v>
      </c>
      <c r="AA610" s="41">
        <v>13755</v>
      </c>
      <c r="AB610" s="41">
        <f t="shared" si="121"/>
        <v>2673009.1500000004</v>
      </c>
      <c r="AC610" s="41">
        <f t="shared" si="109"/>
        <v>0</v>
      </c>
      <c r="AD610" s="41">
        <v>0</v>
      </c>
      <c r="AE610" s="41">
        <f t="shared" si="122"/>
        <v>0</v>
      </c>
      <c r="AF610" s="41">
        <v>0</v>
      </c>
      <c r="AG610" s="41">
        <f t="shared" si="123"/>
        <v>0</v>
      </c>
      <c r="AH610" s="41">
        <f t="shared" si="124"/>
        <v>0</v>
      </c>
      <c r="AI610" s="41">
        <v>0</v>
      </c>
      <c r="AJ610" s="41">
        <v>0</v>
      </c>
      <c r="AK610" s="41">
        <v>0</v>
      </c>
      <c r="AL610" s="41">
        <v>0</v>
      </c>
      <c r="AM610" s="41">
        <f t="shared" si="117"/>
        <v>119754890.85000001</v>
      </c>
      <c r="AN610" s="41">
        <f t="shared" si="125"/>
        <v>42000</v>
      </c>
      <c r="AO610" s="41">
        <f t="shared" si="126"/>
        <v>42000</v>
      </c>
      <c r="AP610" s="40"/>
      <c r="AQ610" s="36">
        <v>45199</v>
      </c>
      <c r="AR610" s="36"/>
      <c r="AS610" s="36"/>
      <c r="AT610" s="36">
        <v>45214</v>
      </c>
      <c r="AU610" s="36"/>
      <c r="AV610" s="38"/>
      <c r="AW610" s="40" t="s">
        <v>49</v>
      </c>
    </row>
    <row r="611" spans="1:49" ht="48" customHeight="1" x14ac:dyDescent="0.3">
      <c r="A611" s="35" t="s">
        <v>3569</v>
      </c>
      <c r="B611" s="38">
        <v>45104</v>
      </c>
      <c r="C611" s="40">
        <v>545</v>
      </c>
      <c r="D611" s="39" t="s">
        <v>3570</v>
      </c>
      <c r="E611" s="1" t="s">
        <v>3571</v>
      </c>
      <c r="F611" s="36">
        <v>45125</v>
      </c>
      <c r="G611" s="37" t="s">
        <v>3572</v>
      </c>
      <c r="H611" s="40" t="s">
        <v>177</v>
      </c>
      <c r="I611" s="40" t="s">
        <v>3573</v>
      </c>
      <c r="J611" s="57">
        <v>113160180.84</v>
      </c>
      <c r="K611" s="41">
        <v>113160180.84</v>
      </c>
      <c r="L611" s="30">
        <v>124495090.44</v>
      </c>
      <c r="M611" s="30">
        <f t="shared" si="127"/>
        <v>124495090.44</v>
      </c>
      <c r="N611" s="40" t="s">
        <v>3574</v>
      </c>
      <c r="O611" s="40" t="s">
        <v>3575</v>
      </c>
      <c r="P611" s="40" t="s">
        <v>199</v>
      </c>
      <c r="Q611" s="44">
        <v>0</v>
      </c>
      <c r="R611" s="37">
        <v>100</v>
      </c>
      <c r="S611" s="37" t="s">
        <v>1964</v>
      </c>
      <c r="T611" s="48">
        <v>84</v>
      </c>
      <c r="U611" s="30">
        <f>M611/W611</f>
        <v>2248.9899999999998</v>
      </c>
      <c r="V611" s="41">
        <f t="shared" si="118"/>
        <v>188915.15999999997</v>
      </c>
      <c r="W611" s="41">
        <f t="shared" si="129"/>
        <v>55356</v>
      </c>
      <c r="X611" s="41">
        <f>50316+2856+1344+840</f>
        <v>55356</v>
      </c>
      <c r="Y611" s="41">
        <v>0</v>
      </c>
      <c r="Z611" s="41">
        <f t="shared" si="120"/>
        <v>0</v>
      </c>
      <c r="AA611" s="41">
        <v>0</v>
      </c>
      <c r="AB611" s="41">
        <f t="shared" si="121"/>
        <v>0</v>
      </c>
      <c r="AC611" s="41">
        <f t="shared" ref="AC611:AC670" si="130">AD611+AF611</f>
        <v>0</v>
      </c>
      <c r="AD611" s="41">
        <v>0</v>
      </c>
      <c r="AE611" s="41">
        <f t="shared" si="122"/>
        <v>0</v>
      </c>
      <c r="AF611" s="41">
        <v>0</v>
      </c>
      <c r="AG611" s="41">
        <f t="shared" si="123"/>
        <v>0</v>
      </c>
      <c r="AH611" s="41">
        <f t="shared" si="124"/>
        <v>0</v>
      </c>
      <c r="AI611" s="41">
        <v>0</v>
      </c>
      <c r="AJ611" s="41">
        <v>0</v>
      </c>
      <c r="AK611" s="41">
        <v>0</v>
      </c>
      <c r="AL611" s="41">
        <v>0</v>
      </c>
      <c r="AM611" s="41">
        <f t="shared" si="117"/>
        <v>0</v>
      </c>
      <c r="AN611" s="41">
        <f t="shared" si="125"/>
        <v>659</v>
      </c>
      <c r="AO611" s="41">
        <f t="shared" si="126"/>
        <v>659</v>
      </c>
      <c r="AP611" s="40" t="s">
        <v>1353</v>
      </c>
      <c r="AQ611" s="36">
        <v>45158</v>
      </c>
      <c r="AR611" s="36"/>
      <c r="AS611" s="36"/>
      <c r="AT611" s="36">
        <v>45174</v>
      </c>
      <c r="AU611" s="36"/>
      <c r="AV611" s="38"/>
      <c r="AW611" s="40" t="s">
        <v>49</v>
      </c>
    </row>
    <row r="612" spans="1:49" ht="48" customHeight="1" x14ac:dyDescent="0.3">
      <c r="A612" s="35" t="s">
        <v>3576</v>
      </c>
      <c r="B612" s="38">
        <v>45104</v>
      </c>
      <c r="C612" s="40">
        <v>1416</v>
      </c>
      <c r="D612" s="39"/>
      <c r="E612" s="1" t="s">
        <v>3577</v>
      </c>
      <c r="F612" s="36">
        <v>45132</v>
      </c>
      <c r="G612" s="37" t="s">
        <v>3578</v>
      </c>
      <c r="H612" s="40" t="s">
        <v>224</v>
      </c>
      <c r="I612" s="40" t="s">
        <v>3124</v>
      </c>
      <c r="J612" s="57">
        <v>445774032.99000001</v>
      </c>
      <c r="K612" s="41">
        <v>445774032.99000001</v>
      </c>
      <c r="L612" s="30">
        <f t="shared" si="127"/>
        <v>445774032.99000001</v>
      </c>
      <c r="M612" s="30">
        <f t="shared" si="127"/>
        <v>445774032.99000001</v>
      </c>
      <c r="N612" s="40" t="s">
        <v>731</v>
      </c>
      <c r="O612" s="40" t="s">
        <v>3579</v>
      </c>
      <c r="P612" s="40" t="s">
        <v>218</v>
      </c>
      <c r="Q612" s="44">
        <v>0</v>
      </c>
      <c r="R612" s="37">
        <v>100</v>
      </c>
      <c r="S612" s="37" t="s">
        <v>219</v>
      </c>
      <c r="T612" s="48">
        <v>3</v>
      </c>
      <c r="U612" s="30">
        <f>M612/W612</f>
        <v>63582.090000000004</v>
      </c>
      <c r="V612" s="41">
        <f t="shared" si="118"/>
        <v>190746.27000000002</v>
      </c>
      <c r="W612" s="41">
        <f t="shared" si="129"/>
        <v>7011</v>
      </c>
      <c r="X612" s="41">
        <f t="shared" si="128"/>
        <v>7011</v>
      </c>
      <c r="Y612" s="41">
        <v>7011</v>
      </c>
      <c r="Z612" s="41">
        <f t="shared" si="120"/>
        <v>445774032.99000001</v>
      </c>
      <c r="AA612" s="41">
        <v>0</v>
      </c>
      <c r="AB612" s="41">
        <f t="shared" si="121"/>
        <v>0</v>
      </c>
      <c r="AC612" s="41">
        <f t="shared" si="130"/>
        <v>0</v>
      </c>
      <c r="AD612" s="41">
        <v>0</v>
      </c>
      <c r="AE612" s="41">
        <f t="shared" si="122"/>
        <v>0</v>
      </c>
      <c r="AF612" s="41">
        <v>0</v>
      </c>
      <c r="AG612" s="41">
        <f t="shared" si="123"/>
        <v>0</v>
      </c>
      <c r="AH612" s="41">
        <f t="shared" si="124"/>
        <v>0</v>
      </c>
      <c r="AI612" s="41">
        <v>0</v>
      </c>
      <c r="AJ612" s="41">
        <v>0</v>
      </c>
      <c r="AK612" s="41">
        <v>0</v>
      </c>
      <c r="AL612" s="41">
        <v>0</v>
      </c>
      <c r="AM612" s="41">
        <f t="shared" si="117"/>
        <v>445774032.99000001</v>
      </c>
      <c r="AN612" s="41">
        <f t="shared" si="125"/>
        <v>2337</v>
      </c>
      <c r="AO612" s="41">
        <f t="shared" si="126"/>
        <v>2337</v>
      </c>
      <c r="AP612" s="40"/>
      <c r="AQ612" s="36">
        <v>45231</v>
      </c>
      <c r="AR612" s="36"/>
      <c r="AS612" s="36"/>
      <c r="AT612" s="36">
        <v>45245</v>
      </c>
      <c r="AU612" s="36"/>
      <c r="AV612" s="38"/>
      <c r="AW612" s="40" t="s">
        <v>49</v>
      </c>
    </row>
    <row r="613" spans="1:49" ht="48" customHeight="1" x14ac:dyDescent="0.3">
      <c r="A613" s="35" t="s">
        <v>3580</v>
      </c>
      <c r="B613" s="38">
        <v>45104</v>
      </c>
      <c r="C613" s="40">
        <v>1416</v>
      </c>
      <c r="D613" s="39"/>
      <c r="E613" s="1" t="s">
        <v>3581</v>
      </c>
      <c r="F613" s="36">
        <v>45132</v>
      </c>
      <c r="G613" s="37" t="s">
        <v>3582</v>
      </c>
      <c r="H613" s="40" t="s">
        <v>353</v>
      </c>
      <c r="I613" s="40" t="s">
        <v>3583</v>
      </c>
      <c r="J613" s="57">
        <v>381727618.36000001</v>
      </c>
      <c r="K613" s="41">
        <v>381727618.36000001</v>
      </c>
      <c r="L613" s="30">
        <f t="shared" si="127"/>
        <v>381727618.36000001</v>
      </c>
      <c r="M613" s="30">
        <f t="shared" si="127"/>
        <v>381727618.36000001</v>
      </c>
      <c r="N613" s="40" t="s">
        <v>355</v>
      </c>
      <c r="O613" s="40" t="s">
        <v>1005</v>
      </c>
      <c r="P613" s="40" t="s">
        <v>357</v>
      </c>
      <c r="Q613" s="44">
        <v>0</v>
      </c>
      <c r="R613" s="37">
        <v>100</v>
      </c>
      <c r="S613" s="37" t="s">
        <v>219</v>
      </c>
      <c r="T613" s="67">
        <v>0.4</v>
      </c>
      <c r="U613" s="30">
        <f>M613/W613</f>
        <v>263842.7</v>
      </c>
      <c r="V613" s="41">
        <f t="shared" si="118"/>
        <v>105537.08000000002</v>
      </c>
      <c r="W613" s="41">
        <f t="shared" si="129"/>
        <v>1446.8</v>
      </c>
      <c r="X613" s="41">
        <f t="shared" si="128"/>
        <v>1333.6</v>
      </c>
      <c r="Y613" s="41">
        <v>1304.8</v>
      </c>
      <c r="Z613" s="41">
        <f t="shared" si="120"/>
        <v>344261954.95999998</v>
      </c>
      <c r="AA613" s="41">
        <v>28.8</v>
      </c>
      <c r="AB613" s="41">
        <f t="shared" si="121"/>
        <v>7598669.7600000007</v>
      </c>
      <c r="AC613" s="41">
        <f t="shared" si="130"/>
        <v>113.2</v>
      </c>
      <c r="AD613" s="41">
        <v>113.2</v>
      </c>
      <c r="AE613" s="41">
        <f t="shared" si="122"/>
        <v>29866993.640000001</v>
      </c>
      <c r="AF613" s="41">
        <v>0</v>
      </c>
      <c r="AG613" s="41">
        <f t="shared" si="123"/>
        <v>0</v>
      </c>
      <c r="AH613" s="41">
        <f t="shared" si="124"/>
        <v>0</v>
      </c>
      <c r="AI613" s="41">
        <v>0</v>
      </c>
      <c r="AJ613" s="41">
        <v>0</v>
      </c>
      <c r="AK613" s="41">
        <v>0</v>
      </c>
      <c r="AL613" s="41">
        <v>0</v>
      </c>
      <c r="AM613" s="41">
        <f t="shared" si="117"/>
        <v>374128948.59999996</v>
      </c>
      <c r="AN613" s="41">
        <f t="shared" si="125"/>
        <v>3616.9999999999995</v>
      </c>
      <c r="AO613" s="41">
        <f t="shared" si="126"/>
        <v>3617</v>
      </c>
      <c r="AP613" s="40"/>
      <c r="AQ613" s="36">
        <v>45170</v>
      </c>
      <c r="AR613" s="36">
        <v>45261</v>
      </c>
      <c r="AS613" s="36"/>
      <c r="AT613" s="36">
        <v>45184</v>
      </c>
      <c r="AU613" s="36">
        <v>45275</v>
      </c>
      <c r="AV613" s="38"/>
      <c r="AW613" s="40" t="s">
        <v>49</v>
      </c>
    </row>
    <row r="614" spans="1:49" ht="48" customHeight="1" x14ac:dyDescent="0.3">
      <c r="A614" s="35" t="s">
        <v>3584</v>
      </c>
      <c r="B614" s="38">
        <v>45104</v>
      </c>
      <c r="C614" s="40">
        <v>545</v>
      </c>
      <c r="D614" s="39" t="s">
        <v>3585</v>
      </c>
      <c r="E614" s="1" t="s">
        <v>3586</v>
      </c>
      <c r="F614" s="36">
        <v>45125</v>
      </c>
      <c r="G614" s="37" t="s">
        <v>3587</v>
      </c>
      <c r="H614" s="40" t="s">
        <v>177</v>
      </c>
      <c r="I614" s="40" t="s">
        <v>3588</v>
      </c>
      <c r="J614" s="57">
        <v>202168659</v>
      </c>
      <c r="K614" s="41">
        <v>202168659</v>
      </c>
      <c r="L614" s="30">
        <f t="shared" si="127"/>
        <v>202168659</v>
      </c>
      <c r="M614" s="30">
        <f t="shared" si="127"/>
        <v>202168659</v>
      </c>
      <c r="N614" s="40" t="s">
        <v>3574</v>
      </c>
      <c r="O614" s="40" t="s">
        <v>3589</v>
      </c>
      <c r="P614" s="40" t="s">
        <v>1032</v>
      </c>
      <c r="Q614" s="44">
        <v>0</v>
      </c>
      <c r="R614" s="37">
        <v>100</v>
      </c>
      <c r="S614" s="37" t="s">
        <v>1964</v>
      </c>
      <c r="T614" s="48">
        <v>28</v>
      </c>
      <c r="U614" s="30">
        <f>M614/W614</f>
        <v>1428.35</v>
      </c>
      <c r="V614" s="41">
        <f t="shared" si="118"/>
        <v>39993.799999999996</v>
      </c>
      <c r="W614" s="41">
        <f t="shared" si="129"/>
        <v>141540</v>
      </c>
      <c r="X614" s="41">
        <v>85540</v>
      </c>
      <c r="Y614" s="41">
        <v>0</v>
      </c>
      <c r="Z614" s="41">
        <f t="shared" si="120"/>
        <v>0</v>
      </c>
      <c r="AA614" s="41">
        <v>0</v>
      </c>
      <c r="AB614" s="41">
        <f t="shared" si="121"/>
        <v>0</v>
      </c>
      <c r="AC614" s="41">
        <v>56000</v>
      </c>
      <c r="AD614" s="41">
        <v>0</v>
      </c>
      <c r="AE614" s="41">
        <f t="shared" si="122"/>
        <v>0</v>
      </c>
      <c r="AF614" s="41">
        <v>0</v>
      </c>
      <c r="AG614" s="41">
        <f t="shared" si="123"/>
        <v>0</v>
      </c>
      <c r="AH614" s="41">
        <f t="shared" si="124"/>
        <v>0</v>
      </c>
      <c r="AI614" s="41">
        <v>0</v>
      </c>
      <c r="AJ614" s="41">
        <v>0</v>
      </c>
      <c r="AK614" s="41">
        <v>0</v>
      </c>
      <c r="AL614" s="41">
        <v>0</v>
      </c>
      <c r="AM614" s="41">
        <f t="shared" si="117"/>
        <v>0</v>
      </c>
      <c r="AN614" s="41">
        <f t="shared" si="125"/>
        <v>5055</v>
      </c>
      <c r="AO614" s="41">
        <f t="shared" si="126"/>
        <v>5055</v>
      </c>
      <c r="AP614" s="40"/>
      <c r="AQ614" s="36">
        <v>45139</v>
      </c>
      <c r="AR614" s="36">
        <v>45261</v>
      </c>
      <c r="AS614" s="36"/>
      <c r="AT614" s="36">
        <v>45153</v>
      </c>
      <c r="AU614" s="36">
        <v>45275</v>
      </c>
      <c r="AV614" s="38"/>
      <c r="AW614" s="40" t="s">
        <v>49</v>
      </c>
    </row>
    <row r="615" spans="1:49" ht="48" customHeight="1" x14ac:dyDescent="0.3">
      <c r="A615" s="35" t="s">
        <v>3590</v>
      </c>
      <c r="B615" s="38">
        <v>45105</v>
      </c>
      <c r="C615" s="40">
        <v>1416</v>
      </c>
      <c r="D615" s="39" t="s">
        <v>3591</v>
      </c>
      <c r="E615" s="1" t="s">
        <v>3592</v>
      </c>
      <c r="F615" s="36">
        <v>45127</v>
      </c>
      <c r="G615" s="37" t="s">
        <v>3593</v>
      </c>
      <c r="H615" s="40" t="s">
        <v>186</v>
      </c>
      <c r="I615" s="40" t="s">
        <v>2727</v>
      </c>
      <c r="J615" s="57">
        <v>2684700</v>
      </c>
      <c r="K615" s="41">
        <v>2684700</v>
      </c>
      <c r="L615" s="30">
        <f t="shared" si="127"/>
        <v>2684700</v>
      </c>
      <c r="M615" s="30">
        <f t="shared" si="127"/>
        <v>2684700</v>
      </c>
      <c r="N615" s="40" t="s">
        <v>671</v>
      </c>
      <c r="O615" s="40" t="s">
        <v>3594</v>
      </c>
      <c r="P615" s="40" t="s">
        <v>47</v>
      </c>
      <c r="Q615" s="44">
        <v>100</v>
      </c>
      <c r="R615" s="37">
        <v>0</v>
      </c>
      <c r="S615" s="37" t="s">
        <v>229</v>
      </c>
      <c r="T615" s="48">
        <v>1000</v>
      </c>
      <c r="U615" s="30">
        <f>M615/W615</f>
        <v>7.85</v>
      </c>
      <c r="V615" s="41">
        <f t="shared" si="118"/>
        <v>7850</v>
      </c>
      <c r="W615" s="41">
        <f t="shared" si="129"/>
        <v>342000</v>
      </c>
      <c r="X615" s="41">
        <f t="shared" si="128"/>
        <v>342000</v>
      </c>
      <c r="Y615" s="41">
        <v>342000</v>
      </c>
      <c r="Z615" s="41">
        <f t="shared" si="120"/>
        <v>2684700</v>
      </c>
      <c r="AA615" s="41">
        <v>0</v>
      </c>
      <c r="AB615" s="41">
        <f t="shared" si="121"/>
        <v>0</v>
      </c>
      <c r="AC615" s="41">
        <f t="shared" si="130"/>
        <v>0</v>
      </c>
      <c r="AD615" s="41">
        <v>0</v>
      </c>
      <c r="AE615" s="41">
        <f t="shared" si="122"/>
        <v>0</v>
      </c>
      <c r="AF615" s="41">
        <v>0</v>
      </c>
      <c r="AG615" s="41">
        <f t="shared" si="123"/>
        <v>0</v>
      </c>
      <c r="AH615" s="41">
        <f t="shared" si="124"/>
        <v>0</v>
      </c>
      <c r="AI615" s="41">
        <v>0</v>
      </c>
      <c r="AJ615" s="41">
        <v>0</v>
      </c>
      <c r="AK615" s="41">
        <v>0</v>
      </c>
      <c r="AL615" s="41">
        <v>0</v>
      </c>
      <c r="AM615" s="41">
        <f t="shared" si="117"/>
        <v>2684700</v>
      </c>
      <c r="AN615" s="41">
        <f t="shared" si="125"/>
        <v>342</v>
      </c>
      <c r="AO615" s="41">
        <f t="shared" si="126"/>
        <v>342</v>
      </c>
      <c r="AP615" s="40"/>
      <c r="AQ615" s="36">
        <v>45200</v>
      </c>
      <c r="AR615" s="36"/>
      <c r="AS615" s="36"/>
      <c r="AT615" s="36">
        <v>45214</v>
      </c>
      <c r="AU615" s="36"/>
      <c r="AV615" s="38"/>
      <c r="AW615" s="40" t="s">
        <v>49</v>
      </c>
    </row>
    <row r="616" spans="1:49" ht="48" customHeight="1" x14ac:dyDescent="0.3">
      <c r="A616" s="35" t="s">
        <v>3595</v>
      </c>
      <c r="B616" s="38">
        <v>45106</v>
      </c>
      <c r="C616" s="40">
        <v>1416</v>
      </c>
      <c r="D616" s="39" t="s">
        <v>3596</v>
      </c>
      <c r="E616" s="1" t="s">
        <v>3597</v>
      </c>
      <c r="F616" s="36">
        <v>45126</v>
      </c>
      <c r="G616" s="37" t="s">
        <v>3598</v>
      </c>
      <c r="H616" s="40" t="s">
        <v>186</v>
      </c>
      <c r="I616" s="40" t="s">
        <v>3227</v>
      </c>
      <c r="J616" s="57">
        <v>60798873.07</v>
      </c>
      <c r="K616" s="41">
        <v>60494815.920000002</v>
      </c>
      <c r="L616" s="30">
        <f t="shared" si="127"/>
        <v>60494815.920000002</v>
      </c>
      <c r="M616" s="30">
        <f t="shared" si="127"/>
        <v>60494815.920000002</v>
      </c>
      <c r="N616" s="40" t="s">
        <v>590</v>
      </c>
      <c r="O616" s="40" t="s">
        <v>3599</v>
      </c>
      <c r="P616" s="40" t="s">
        <v>47</v>
      </c>
      <c r="Q616" s="44">
        <v>100</v>
      </c>
      <c r="R616" s="37">
        <v>0</v>
      </c>
      <c r="S616" s="37" t="s">
        <v>584</v>
      </c>
      <c r="T616" s="67">
        <v>2.4</v>
      </c>
      <c r="U616" s="30">
        <f>M616/W616</f>
        <v>13537.15</v>
      </c>
      <c r="V616" s="41">
        <f t="shared" si="118"/>
        <v>32489.159999999996</v>
      </c>
      <c r="W616" s="41">
        <f t="shared" si="129"/>
        <v>4468.8</v>
      </c>
      <c r="X616" s="41">
        <f t="shared" si="128"/>
        <v>4468.8</v>
      </c>
      <c r="Y616" s="41">
        <v>4468.8</v>
      </c>
      <c r="Z616" s="41">
        <f t="shared" si="120"/>
        <v>60494815.920000002</v>
      </c>
      <c r="AA616" s="41">
        <v>0</v>
      </c>
      <c r="AB616" s="41">
        <f t="shared" si="121"/>
        <v>0</v>
      </c>
      <c r="AC616" s="41">
        <f t="shared" si="130"/>
        <v>0</v>
      </c>
      <c r="AD616" s="41">
        <v>0</v>
      </c>
      <c r="AE616" s="41">
        <f t="shared" si="122"/>
        <v>0</v>
      </c>
      <c r="AF616" s="41">
        <v>0</v>
      </c>
      <c r="AG616" s="41">
        <f t="shared" si="123"/>
        <v>0</v>
      </c>
      <c r="AH616" s="41">
        <f t="shared" si="124"/>
        <v>0</v>
      </c>
      <c r="AI616" s="41">
        <v>0</v>
      </c>
      <c r="AJ616" s="41">
        <v>0</v>
      </c>
      <c r="AK616" s="41">
        <v>0</v>
      </c>
      <c r="AL616" s="41">
        <v>0</v>
      </c>
      <c r="AM616" s="41">
        <f t="shared" si="117"/>
        <v>60494815.920000002</v>
      </c>
      <c r="AN616" s="41">
        <f t="shared" si="125"/>
        <v>1862.0000000000002</v>
      </c>
      <c r="AO616" s="41">
        <f t="shared" si="126"/>
        <v>1862</v>
      </c>
      <c r="AP616" s="40"/>
      <c r="AQ616" s="36">
        <v>45199</v>
      </c>
      <c r="AR616" s="36"/>
      <c r="AS616" s="36"/>
      <c r="AT616" s="36">
        <v>45214</v>
      </c>
      <c r="AU616" s="36"/>
      <c r="AV616" s="38"/>
      <c r="AW616" s="40" t="s">
        <v>49</v>
      </c>
    </row>
    <row r="617" spans="1:49" ht="48" customHeight="1" x14ac:dyDescent="0.3">
      <c r="A617" s="35" t="s">
        <v>3600</v>
      </c>
      <c r="B617" s="38">
        <v>45106</v>
      </c>
      <c r="C617" s="40" t="s">
        <v>162</v>
      </c>
      <c r="D617" s="39" t="s">
        <v>459</v>
      </c>
      <c r="E617" s="1" t="s">
        <v>3601</v>
      </c>
      <c r="F617" s="36" t="s">
        <v>459</v>
      </c>
      <c r="G617" s="37" t="s">
        <v>459</v>
      </c>
      <c r="H617" s="40" t="s">
        <v>459</v>
      </c>
      <c r="I617" s="40" t="s">
        <v>2053</v>
      </c>
      <c r="J617" s="57">
        <v>30307.200000000001</v>
      </c>
      <c r="K617" s="41">
        <v>0</v>
      </c>
      <c r="L617" s="30">
        <f t="shared" si="127"/>
        <v>0</v>
      </c>
      <c r="M617" s="30">
        <f t="shared" si="127"/>
        <v>0</v>
      </c>
      <c r="N617" s="40"/>
      <c r="O617" s="40"/>
      <c r="P617" s="40"/>
      <c r="Q617" s="44"/>
      <c r="R617" s="37"/>
      <c r="S617" s="37"/>
      <c r="T617" s="48"/>
      <c r="U617" s="30" t="e">
        <f>M617/W617</f>
        <v>#DIV/0!</v>
      </c>
      <c r="V617" s="41" t="e">
        <f t="shared" si="118"/>
        <v>#DIV/0!</v>
      </c>
      <c r="W617" s="41">
        <f t="shared" si="129"/>
        <v>0</v>
      </c>
      <c r="X617" s="41">
        <f t="shared" si="128"/>
        <v>0</v>
      </c>
      <c r="Y617" s="41">
        <v>0</v>
      </c>
      <c r="Z617" s="41" t="e">
        <f t="shared" si="120"/>
        <v>#DIV/0!</v>
      </c>
      <c r="AA617" s="41">
        <v>0</v>
      </c>
      <c r="AB617" s="41" t="e">
        <f t="shared" si="121"/>
        <v>#DIV/0!</v>
      </c>
      <c r="AC617" s="41">
        <f t="shared" si="130"/>
        <v>0</v>
      </c>
      <c r="AD617" s="41">
        <v>0</v>
      </c>
      <c r="AE617" s="41" t="e">
        <f t="shared" si="122"/>
        <v>#DIV/0!</v>
      </c>
      <c r="AF617" s="41">
        <v>0</v>
      </c>
      <c r="AG617" s="41" t="e">
        <f t="shared" si="123"/>
        <v>#DIV/0!</v>
      </c>
      <c r="AH617" s="41">
        <f t="shared" si="124"/>
        <v>0</v>
      </c>
      <c r="AI617" s="41">
        <v>0</v>
      </c>
      <c r="AJ617" s="41">
        <v>0</v>
      </c>
      <c r="AK617" s="41">
        <v>0</v>
      </c>
      <c r="AL617" s="41">
        <v>0</v>
      </c>
      <c r="AM617" s="41" t="e">
        <f t="shared" si="117"/>
        <v>#DIV/0!</v>
      </c>
      <c r="AN617" s="41" t="e">
        <f t="shared" si="125"/>
        <v>#DIV/0!</v>
      </c>
      <c r="AO617" s="41" t="e">
        <f t="shared" si="126"/>
        <v>#DIV/0!</v>
      </c>
      <c r="AP617" s="40"/>
      <c r="AQ617" s="36">
        <v>45138</v>
      </c>
      <c r="AR617" s="36"/>
      <c r="AS617" s="36"/>
      <c r="AT617" s="36"/>
      <c r="AU617" s="36"/>
      <c r="AV617" s="38"/>
      <c r="AW617" s="40"/>
    </row>
    <row r="618" spans="1:49" ht="48" customHeight="1" x14ac:dyDescent="0.3">
      <c r="A618" s="35" t="s">
        <v>3602</v>
      </c>
      <c r="B618" s="38">
        <v>45106</v>
      </c>
      <c r="C618" s="40">
        <v>1416</v>
      </c>
      <c r="D618" s="39" t="s">
        <v>3603</v>
      </c>
      <c r="E618" s="1" t="s">
        <v>3604</v>
      </c>
      <c r="F618" s="36">
        <v>45128</v>
      </c>
      <c r="G618" s="37" t="s">
        <v>3605</v>
      </c>
      <c r="H618" s="40" t="s">
        <v>224</v>
      </c>
      <c r="I618" s="40" t="s">
        <v>843</v>
      </c>
      <c r="J618" s="57">
        <v>47944624</v>
      </c>
      <c r="K618" s="41">
        <v>47944624</v>
      </c>
      <c r="L618" s="30">
        <f t="shared" si="127"/>
        <v>47944624</v>
      </c>
      <c r="M618" s="30">
        <f t="shared" si="127"/>
        <v>47944624</v>
      </c>
      <c r="N618" s="40" t="s">
        <v>3606</v>
      </c>
      <c r="O618" s="40" t="s">
        <v>3607</v>
      </c>
      <c r="P618" s="40" t="s">
        <v>263</v>
      </c>
      <c r="Q618" s="44">
        <v>0</v>
      </c>
      <c r="R618" s="37">
        <v>100</v>
      </c>
      <c r="S618" s="37" t="s">
        <v>229</v>
      </c>
      <c r="T618" s="48">
        <v>800</v>
      </c>
      <c r="U618" s="30">
        <f>M618/W618</f>
        <v>25.33</v>
      </c>
      <c r="V618" s="41">
        <f t="shared" si="118"/>
        <v>20264</v>
      </c>
      <c r="W618" s="41">
        <f t="shared" si="129"/>
        <v>1892800</v>
      </c>
      <c r="X618" s="41">
        <f t="shared" si="128"/>
        <v>1892800</v>
      </c>
      <c r="Y618" s="41">
        <v>1892800</v>
      </c>
      <c r="Z618" s="41">
        <f t="shared" si="120"/>
        <v>47944624</v>
      </c>
      <c r="AA618" s="41">
        <v>0</v>
      </c>
      <c r="AB618" s="41">
        <f t="shared" si="121"/>
        <v>0</v>
      </c>
      <c r="AC618" s="41">
        <f t="shared" si="130"/>
        <v>0</v>
      </c>
      <c r="AD618" s="41">
        <v>0</v>
      </c>
      <c r="AE618" s="41">
        <f t="shared" si="122"/>
        <v>0</v>
      </c>
      <c r="AF618" s="41">
        <v>0</v>
      </c>
      <c r="AG618" s="41">
        <f t="shared" si="123"/>
        <v>0</v>
      </c>
      <c r="AH618" s="41">
        <f t="shared" si="124"/>
        <v>0</v>
      </c>
      <c r="AI618" s="41">
        <v>0</v>
      </c>
      <c r="AJ618" s="41">
        <v>0</v>
      </c>
      <c r="AK618" s="41">
        <v>0</v>
      </c>
      <c r="AL618" s="41">
        <v>0</v>
      </c>
      <c r="AM618" s="41">
        <f t="shared" si="117"/>
        <v>47944624</v>
      </c>
      <c r="AN618" s="41">
        <f t="shared" si="125"/>
        <v>2366</v>
      </c>
      <c r="AO618" s="41">
        <f t="shared" si="126"/>
        <v>2366</v>
      </c>
      <c r="AP618" s="40"/>
      <c r="AQ618" s="36">
        <v>45280</v>
      </c>
      <c r="AR618" s="36"/>
      <c r="AS618" s="36"/>
      <c r="AT618" s="36">
        <v>45285</v>
      </c>
      <c r="AU618" s="36"/>
      <c r="AV618" s="38"/>
      <c r="AW618" s="40" t="s">
        <v>49</v>
      </c>
    </row>
    <row r="619" spans="1:49" ht="48" customHeight="1" x14ac:dyDescent="0.3">
      <c r="A619" s="35" t="s">
        <v>3608</v>
      </c>
      <c r="B619" s="38">
        <v>45106</v>
      </c>
      <c r="C619" s="40">
        <v>1416</v>
      </c>
      <c r="D619" s="39" t="s">
        <v>3609</v>
      </c>
      <c r="E619" s="1" t="s">
        <v>3610</v>
      </c>
      <c r="F619" s="36">
        <v>45128</v>
      </c>
      <c r="G619" s="37" t="s">
        <v>3611</v>
      </c>
      <c r="H619" s="40" t="s">
        <v>3612</v>
      </c>
      <c r="I619" s="40" t="s">
        <v>3191</v>
      </c>
      <c r="J619" s="57">
        <v>65606106.240000002</v>
      </c>
      <c r="K619" s="41">
        <v>65606106.240000002</v>
      </c>
      <c r="L619" s="30">
        <f t="shared" si="127"/>
        <v>65606106.240000002</v>
      </c>
      <c r="M619" s="30">
        <f t="shared" si="127"/>
        <v>65606106.240000002</v>
      </c>
      <c r="N619" s="40" t="s">
        <v>3192</v>
      </c>
      <c r="O619" s="40" t="s">
        <v>3193</v>
      </c>
      <c r="P619" s="40" t="s">
        <v>583</v>
      </c>
      <c r="Q619" s="44">
        <v>0</v>
      </c>
      <c r="R619" s="37">
        <v>100</v>
      </c>
      <c r="S619" s="37" t="s">
        <v>584</v>
      </c>
      <c r="T619" s="67">
        <v>4.8</v>
      </c>
      <c r="U619" s="30">
        <f>M619/W619</f>
        <v>13399.94</v>
      </c>
      <c r="V619" s="41">
        <f t="shared" si="118"/>
        <v>64319.712</v>
      </c>
      <c r="W619" s="41">
        <f t="shared" si="129"/>
        <v>4896</v>
      </c>
      <c r="X619" s="41">
        <f t="shared" si="128"/>
        <v>4896</v>
      </c>
      <c r="Y619" s="41">
        <v>4896</v>
      </c>
      <c r="Z619" s="41">
        <f t="shared" si="120"/>
        <v>65606106.240000002</v>
      </c>
      <c r="AA619" s="41">
        <v>0</v>
      </c>
      <c r="AB619" s="41">
        <f t="shared" si="121"/>
        <v>0</v>
      </c>
      <c r="AC619" s="41">
        <f t="shared" si="130"/>
        <v>0</v>
      </c>
      <c r="AD619" s="41">
        <v>0</v>
      </c>
      <c r="AE619" s="41">
        <f t="shared" si="122"/>
        <v>0</v>
      </c>
      <c r="AF619" s="41">
        <v>0</v>
      </c>
      <c r="AG619" s="41">
        <f t="shared" si="123"/>
        <v>0</v>
      </c>
      <c r="AH619" s="41">
        <f t="shared" si="124"/>
        <v>0</v>
      </c>
      <c r="AI619" s="41">
        <v>0</v>
      </c>
      <c r="AJ619" s="41">
        <v>0</v>
      </c>
      <c r="AK619" s="41">
        <v>0</v>
      </c>
      <c r="AL619" s="41">
        <v>0</v>
      </c>
      <c r="AM619" s="41">
        <f t="shared" si="117"/>
        <v>65606106.240000002</v>
      </c>
      <c r="AN619" s="41">
        <f t="shared" si="125"/>
        <v>1020</v>
      </c>
      <c r="AO619" s="41">
        <f t="shared" si="126"/>
        <v>1020</v>
      </c>
      <c r="AP619" s="40"/>
      <c r="AQ619" s="36">
        <v>45199</v>
      </c>
      <c r="AR619" s="36"/>
      <c r="AS619" s="36"/>
      <c r="AT619" s="36">
        <v>45214</v>
      </c>
      <c r="AU619" s="36"/>
      <c r="AV619" s="38"/>
      <c r="AW619" s="40" t="s">
        <v>49</v>
      </c>
    </row>
    <row r="620" spans="1:49" ht="48" customHeight="1" x14ac:dyDescent="0.3">
      <c r="A620" s="35" t="s">
        <v>3613</v>
      </c>
      <c r="B620" s="38">
        <v>45106</v>
      </c>
      <c r="C620" s="40">
        <v>1416</v>
      </c>
      <c r="D620" s="39" t="s">
        <v>3614</v>
      </c>
      <c r="E620" s="1" t="s">
        <v>3615</v>
      </c>
      <c r="F620" s="36">
        <v>45125</v>
      </c>
      <c r="G620" s="37" t="s">
        <v>3616</v>
      </c>
      <c r="H620" s="40" t="s">
        <v>353</v>
      </c>
      <c r="I620" s="40" t="s">
        <v>2912</v>
      </c>
      <c r="J620" s="57">
        <v>56990046.960000001</v>
      </c>
      <c r="K620" s="41">
        <v>56990046.960000001</v>
      </c>
      <c r="L620" s="30">
        <f t="shared" si="127"/>
        <v>56990046.960000001</v>
      </c>
      <c r="M620" s="30">
        <f t="shared" si="127"/>
        <v>56990046.960000001</v>
      </c>
      <c r="N620" s="40" t="s">
        <v>355</v>
      </c>
      <c r="O620" s="40" t="s">
        <v>946</v>
      </c>
      <c r="P620" s="40" t="s">
        <v>357</v>
      </c>
      <c r="Q620" s="44">
        <v>0</v>
      </c>
      <c r="R620" s="37">
        <v>100</v>
      </c>
      <c r="S620" s="37" t="s">
        <v>219</v>
      </c>
      <c r="T620" s="48">
        <v>1</v>
      </c>
      <c r="U620" s="30">
        <f>M620/W620</f>
        <v>263842.81</v>
      </c>
      <c r="V620" s="41">
        <f t="shared" si="118"/>
        <v>263842.81</v>
      </c>
      <c r="W620" s="41">
        <f t="shared" si="129"/>
        <v>216</v>
      </c>
      <c r="X620" s="41">
        <f t="shared" si="128"/>
        <v>216</v>
      </c>
      <c r="Y620" s="41">
        <v>216</v>
      </c>
      <c r="Z620" s="41">
        <f t="shared" si="120"/>
        <v>56990046.960000001</v>
      </c>
      <c r="AA620" s="41">
        <v>0</v>
      </c>
      <c r="AB620" s="41">
        <f t="shared" si="121"/>
        <v>0</v>
      </c>
      <c r="AC620" s="41">
        <f t="shared" si="130"/>
        <v>0</v>
      </c>
      <c r="AD620" s="41">
        <v>0</v>
      </c>
      <c r="AE620" s="41">
        <f t="shared" si="122"/>
        <v>0</v>
      </c>
      <c r="AF620" s="41">
        <v>0</v>
      </c>
      <c r="AG620" s="41">
        <f t="shared" si="123"/>
        <v>0</v>
      </c>
      <c r="AH620" s="41">
        <f t="shared" si="124"/>
        <v>0</v>
      </c>
      <c r="AI620" s="41">
        <v>0</v>
      </c>
      <c r="AJ620" s="41">
        <v>0</v>
      </c>
      <c r="AK620" s="41">
        <v>0</v>
      </c>
      <c r="AL620" s="41">
        <v>0</v>
      </c>
      <c r="AM620" s="41">
        <f t="shared" si="117"/>
        <v>56990046.960000001</v>
      </c>
      <c r="AN620" s="41">
        <f t="shared" si="125"/>
        <v>216</v>
      </c>
      <c r="AO620" s="41">
        <f t="shared" si="126"/>
        <v>216</v>
      </c>
      <c r="AP620" s="40"/>
      <c r="AQ620" s="36">
        <v>45170</v>
      </c>
      <c r="AR620" s="36"/>
      <c r="AS620" s="36"/>
      <c r="AT620" s="36">
        <v>45184</v>
      </c>
      <c r="AU620" s="36"/>
      <c r="AV620" s="38"/>
      <c r="AW620" s="40" t="s">
        <v>49</v>
      </c>
    </row>
    <row r="621" spans="1:49" ht="48" customHeight="1" x14ac:dyDescent="0.3">
      <c r="A621" s="35" t="s">
        <v>3617</v>
      </c>
      <c r="B621" s="38">
        <v>45106</v>
      </c>
      <c r="C621" s="40" t="s">
        <v>2077</v>
      </c>
      <c r="D621" s="39" t="s">
        <v>3618</v>
      </c>
      <c r="E621" s="1" t="s">
        <v>3619</v>
      </c>
      <c r="F621" s="36">
        <v>45125</v>
      </c>
      <c r="G621" s="37" t="s">
        <v>3620</v>
      </c>
      <c r="H621" s="40" t="s">
        <v>571</v>
      </c>
      <c r="I621" s="40" t="s">
        <v>3621</v>
      </c>
      <c r="J621" s="57">
        <v>33303600</v>
      </c>
      <c r="K621" s="41">
        <v>33303600</v>
      </c>
      <c r="L621" s="30">
        <f t="shared" si="127"/>
        <v>33303600</v>
      </c>
      <c r="M621" s="30">
        <f t="shared" si="127"/>
        <v>33303600</v>
      </c>
      <c r="N621" s="40" t="s">
        <v>3622</v>
      </c>
      <c r="O621" s="40" t="s">
        <v>3623</v>
      </c>
      <c r="P621" s="40" t="s">
        <v>47</v>
      </c>
      <c r="Q621" s="44">
        <v>100</v>
      </c>
      <c r="R621" s="37">
        <v>0</v>
      </c>
      <c r="S621" s="37" t="s">
        <v>1964</v>
      </c>
      <c r="T621" s="48">
        <v>100</v>
      </c>
      <c r="U621" s="30">
        <f>M621/W621</f>
        <v>396</v>
      </c>
      <c r="V621" s="41">
        <f t="shared" si="118"/>
        <v>39600</v>
      </c>
      <c r="W621" s="41">
        <f t="shared" si="129"/>
        <v>84100</v>
      </c>
      <c r="X621" s="41">
        <v>84100</v>
      </c>
      <c r="Y621" s="41">
        <v>0</v>
      </c>
      <c r="Z621" s="41">
        <f t="shared" si="120"/>
        <v>0</v>
      </c>
      <c r="AA621" s="41">
        <v>0</v>
      </c>
      <c r="AB621" s="41">
        <f t="shared" si="121"/>
        <v>0</v>
      </c>
      <c r="AC621" s="41">
        <f t="shared" si="130"/>
        <v>0</v>
      </c>
      <c r="AD621" s="41">
        <v>0</v>
      </c>
      <c r="AE621" s="41">
        <f t="shared" si="122"/>
        <v>0</v>
      </c>
      <c r="AF621" s="41">
        <v>0</v>
      </c>
      <c r="AG621" s="41">
        <f t="shared" si="123"/>
        <v>0</v>
      </c>
      <c r="AH621" s="41">
        <f t="shared" si="124"/>
        <v>0</v>
      </c>
      <c r="AI621" s="41">
        <v>0</v>
      </c>
      <c r="AJ621" s="41">
        <v>0</v>
      </c>
      <c r="AK621" s="41">
        <v>0</v>
      </c>
      <c r="AL621" s="41">
        <v>0</v>
      </c>
      <c r="AM621" s="41">
        <f t="shared" si="117"/>
        <v>0</v>
      </c>
      <c r="AN621" s="41">
        <f t="shared" si="125"/>
        <v>841</v>
      </c>
      <c r="AO621" s="41">
        <f t="shared" si="126"/>
        <v>841</v>
      </c>
      <c r="AP621" s="40"/>
      <c r="AQ621" s="36">
        <v>45153</v>
      </c>
      <c r="AR621" s="36"/>
      <c r="AS621" s="36"/>
      <c r="AT621" s="36">
        <v>45168</v>
      </c>
      <c r="AU621" s="36"/>
      <c r="AV621" s="38"/>
      <c r="AW621" s="40" t="s">
        <v>49</v>
      </c>
    </row>
    <row r="622" spans="1:49" ht="48" customHeight="1" x14ac:dyDescent="0.3">
      <c r="A622" s="35" t="s">
        <v>3624</v>
      </c>
      <c r="B622" s="38">
        <v>45106</v>
      </c>
      <c r="C622" s="40">
        <v>1416</v>
      </c>
      <c r="D622" s="39" t="s">
        <v>3625</v>
      </c>
      <c r="E622" s="1" t="s">
        <v>3626</v>
      </c>
      <c r="F622" s="36">
        <v>45125</v>
      </c>
      <c r="G622" s="37" t="s">
        <v>3627</v>
      </c>
      <c r="H622" s="40" t="s">
        <v>224</v>
      </c>
      <c r="I622" s="40" t="s">
        <v>2822</v>
      </c>
      <c r="J622" s="57">
        <v>8065728</v>
      </c>
      <c r="K622" s="41">
        <v>8065728</v>
      </c>
      <c r="L622" s="30">
        <f t="shared" si="127"/>
        <v>8065728</v>
      </c>
      <c r="M622" s="30">
        <f t="shared" si="127"/>
        <v>8065728</v>
      </c>
      <c r="N622" s="40" t="s">
        <v>3628</v>
      </c>
      <c r="O622" s="40" t="s">
        <v>3629</v>
      </c>
      <c r="P622" s="40" t="s">
        <v>263</v>
      </c>
      <c r="Q622" s="44">
        <v>0</v>
      </c>
      <c r="R622" s="37">
        <v>100</v>
      </c>
      <c r="S622" s="37" t="s">
        <v>229</v>
      </c>
      <c r="T622" s="48">
        <v>400</v>
      </c>
      <c r="U622" s="30">
        <f>M622/W622</f>
        <v>29.48</v>
      </c>
      <c r="V622" s="41">
        <f t="shared" si="118"/>
        <v>11792</v>
      </c>
      <c r="W622" s="41">
        <f t="shared" si="129"/>
        <v>273600</v>
      </c>
      <c r="X622" s="41">
        <f t="shared" si="128"/>
        <v>273600</v>
      </c>
      <c r="Y622" s="41">
        <v>273600</v>
      </c>
      <c r="Z622" s="41">
        <f t="shared" si="120"/>
        <v>8065728</v>
      </c>
      <c r="AA622" s="41">
        <v>0</v>
      </c>
      <c r="AB622" s="41">
        <f t="shared" si="121"/>
        <v>0</v>
      </c>
      <c r="AC622" s="41">
        <f t="shared" si="130"/>
        <v>0</v>
      </c>
      <c r="AD622" s="41">
        <v>0</v>
      </c>
      <c r="AE622" s="41">
        <f t="shared" si="122"/>
        <v>0</v>
      </c>
      <c r="AF622" s="41">
        <v>0</v>
      </c>
      <c r="AG622" s="41">
        <f t="shared" si="123"/>
        <v>0</v>
      </c>
      <c r="AH622" s="41">
        <f t="shared" si="124"/>
        <v>0</v>
      </c>
      <c r="AI622" s="41">
        <v>0</v>
      </c>
      <c r="AJ622" s="41">
        <v>0</v>
      </c>
      <c r="AK622" s="41">
        <v>0</v>
      </c>
      <c r="AL622" s="41">
        <v>0</v>
      </c>
      <c r="AM622" s="41">
        <f t="shared" si="117"/>
        <v>8065728</v>
      </c>
      <c r="AN622" s="41">
        <f t="shared" si="125"/>
        <v>684</v>
      </c>
      <c r="AO622" s="41">
        <f t="shared" si="126"/>
        <v>684</v>
      </c>
      <c r="AP622" s="40"/>
      <c r="AQ622" s="36">
        <v>45148</v>
      </c>
      <c r="AR622" s="36"/>
      <c r="AS622" s="36"/>
      <c r="AT622" s="36">
        <v>45163</v>
      </c>
      <c r="AU622" s="36"/>
      <c r="AV622" s="38"/>
      <c r="AW622" s="40" t="s">
        <v>87</v>
      </c>
    </row>
    <row r="623" spans="1:49" ht="48" customHeight="1" x14ac:dyDescent="0.3">
      <c r="A623" s="35" t="s">
        <v>3630</v>
      </c>
      <c r="B623" s="38">
        <v>45106</v>
      </c>
      <c r="C623" s="40">
        <v>545</v>
      </c>
      <c r="D623" s="39" t="s">
        <v>3631</v>
      </c>
      <c r="E623" s="1" t="s">
        <v>3632</v>
      </c>
      <c r="F623" s="36">
        <v>45128</v>
      </c>
      <c r="G623" s="37" t="s">
        <v>3633</v>
      </c>
      <c r="H623" s="40" t="s">
        <v>3499</v>
      </c>
      <c r="I623" s="40" t="s">
        <v>3167</v>
      </c>
      <c r="J623" s="57">
        <v>71461353.599999994</v>
      </c>
      <c r="K623" s="41">
        <v>71461353.599999994</v>
      </c>
      <c r="L623" s="30">
        <f t="shared" si="127"/>
        <v>71461353.599999994</v>
      </c>
      <c r="M623" s="30">
        <f t="shared" si="127"/>
        <v>71461353.599999994</v>
      </c>
      <c r="N623" s="40" t="s">
        <v>3634</v>
      </c>
      <c r="O623" s="40" t="s">
        <v>3635</v>
      </c>
      <c r="P623" s="40" t="s">
        <v>3636</v>
      </c>
      <c r="Q623" s="44">
        <v>0</v>
      </c>
      <c r="R623" s="37">
        <v>100</v>
      </c>
      <c r="S623" s="37" t="s">
        <v>1964</v>
      </c>
      <c r="T623" s="48">
        <v>60</v>
      </c>
      <c r="U623" s="30">
        <f>M623/W623</f>
        <v>6508.32</v>
      </c>
      <c r="V623" s="41">
        <f t="shared" si="118"/>
        <v>390499.19999999995</v>
      </c>
      <c r="W623" s="41">
        <f t="shared" si="129"/>
        <v>10980</v>
      </c>
      <c r="X623" s="41">
        <v>10980</v>
      </c>
      <c r="Y623" s="41">
        <v>0</v>
      </c>
      <c r="Z623" s="41">
        <f t="shared" si="120"/>
        <v>0</v>
      </c>
      <c r="AA623" s="41">
        <v>0</v>
      </c>
      <c r="AB623" s="41">
        <f t="shared" si="121"/>
        <v>0</v>
      </c>
      <c r="AC623" s="41">
        <f t="shared" si="130"/>
        <v>0</v>
      </c>
      <c r="AD623" s="41">
        <v>0</v>
      </c>
      <c r="AE623" s="41">
        <f t="shared" si="122"/>
        <v>0</v>
      </c>
      <c r="AF623" s="41">
        <v>0</v>
      </c>
      <c r="AG623" s="41">
        <f t="shared" si="123"/>
        <v>0</v>
      </c>
      <c r="AH623" s="41">
        <f t="shared" si="124"/>
        <v>0</v>
      </c>
      <c r="AI623" s="41">
        <v>0</v>
      </c>
      <c r="AJ623" s="41">
        <v>0</v>
      </c>
      <c r="AK623" s="41">
        <v>0</v>
      </c>
      <c r="AL623" s="41">
        <v>0</v>
      </c>
      <c r="AM623" s="41">
        <f t="shared" si="117"/>
        <v>0</v>
      </c>
      <c r="AN623" s="41">
        <f t="shared" si="125"/>
        <v>183</v>
      </c>
      <c r="AO623" s="41">
        <f t="shared" si="126"/>
        <v>183</v>
      </c>
      <c r="AP623" s="40"/>
      <c r="AQ623" s="36">
        <v>45200</v>
      </c>
      <c r="AR623" s="36"/>
      <c r="AS623" s="36"/>
      <c r="AT623" s="36">
        <v>45214</v>
      </c>
      <c r="AU623" s="36"/>
      <c r="AV623" s="38"/>
      <c r="AW623" s="40" t="s">
        <v>49</v>
      </c>
    </row>
    <row r="624" spans="1:49" ht="48" customHeight="1" x14ac:dyDescent="0.3">
      <c r="A624" s="35" t="s">
        <v>3637</v>
      </c>
      <c r="B624" s="38">
        <v>45106</v>
      </c>
      <c r="C624" s="40" t="s">
        <v>1245</v>
      </c>
      <c r="D624" s="39" t="s">
        <v>3638</v>
      </c>
      <c r="E624" s="1" t="s">
        <v>3639</v>
      </c>
      <c r="F624" s="36">
        <v>45128</v>
      </c>
      <c r="G624" s="37" t="s">
        <v>3640</v>
      </c>
      <c r="H624" s="40" t="s">
        <v>571</v>
      </c>
      <c r="I624" s="40" t="s">
        <v>3641</v>
      </c>
      <c r="J624" s="57">
        <v>125683314.90000001</v>
      </c>
      <c r="K624" s="41">
        <v>32949894.829999998</v>
      </c>
      <c r="L624" s="30">
        <v>36553691.200000003</v>
      </c>
      <c r="M624" s="30">
        <f t="shared" si="127"/>
        <v>36553691.200000003</v>
      </c>
      <c r="N624" s="40" t="s">
        <v>3642</v>
      </c>
      <c r="O624" s="40" t="s">
        <v>3643</v>
      </c>
      <c r="P624" s="40" t="s">
        <v>47</v>
      </c>
      <c r="Q624" s="44">
        <v>100</v>
      </c>
      <c r="R624" s="37">
        <v>0</v>
      </c>
      <c r="S624" s="37" t="s">
        <v>1964</v>
      </c>
      <c r="T624" s="48">
        <v>30</v>
      </c>
      <c r="U624" s="30">
        <f>M624/W624</f>
        <v>4.8100000000000005</v>
      </c>
      <c r="V624" s="41">
        <f t="shared" si="118"/>
        <v>144.30000000000001</v>
      </c>
      <c r="W624" s="41">
        <f t="shared" si="129"/>
        <v>7599520</v>
      </c>
      <c r="X624" s="41">
        <f>6841770+757750</f>
        <v>7599520</v>
      </c>
      <c r="Y624" s="41">
        <v>0</v>
      </c>
      <c r="Z624" s="41">
        <f t="shared" si="120"/>
        <v>0</v>
      </c>
      <c r="AA624" s="41">
        <v>0</v>
      </c>
      <c r="AB624" s="41">
        <f t="shared" si="121"/>
        <v>0</v>
      </c>
      <c r="AC624" s="41">
        <f t="shared" si="130"/>
        <v>0</v>
      </c>
      <c r="AD624" s="41">
        <v>0</v>
      </c>
      <c r="AE624" s="41">
        <f t="shared" si="122"/>
        <v>0</v>
      </c>
      <c r="AF624" s="41">
        <v>0</v>
      </c>
      <c r="AG624" s="41">
        <f t="shared" si="123"/>
        <v>0</v>
      </c>
      <c r="AH624" s="41">
        <f t="shared" si="124"/>
        <v>0</v>
      </c>
      <c r="AI624" s="41">
        <v>0</v>
      </c>
      <c r="AJ624" s="41">
        <v>0</v>
      </c>
      <c r="AK624" s="41">
        <v>0</v>
      </c>
      <c r="AL624" s="41">
        <v>0</v>
      </c>
      <c r="AM624" s="41">
        <f t="shared" si="117"/>
        <v>0</v>
      </c>
      <c r="AN624" s="41">
        <f t="shared" si="125"/>
        <v>253317.33333333334</v>
      </c>
      <c r="AO624" s="41">
        <f t="shared" si="126"/>
        <v>253318</v>
      </c>
      <c r="AP624" s="40"/>
      <c r="AQ624" s="36">
        <v>45214</v>
      </c>
      <c r="AR624" s="36"/>
      <c r="AS624" s="36"/>
      <c r="AT624" s="36">
        <v>45229</v>
      </c>
      <c r="AU624" s="36"/>
      <c r="AV624" s="38"/>
      <c r="AW624" s="40" t="s">
        <v>49</v>
      </c>
    </row>
    <row r="625" spans="1:49" s="34" customFormat="1" ht="48" customHeight="1" x14ac:dyDescent="0.3">
      <c r="A625" s="35" t="s">
        <v>3644</v>
      </c>
      <c r="B625" s="38">
        <v>45106</v>
      </c>
      <c r="C625" s="40" t="s">
        <v>2077</v>
      </c>
      <c r="D625" s="39" t="s">
        <v>3645</v>
      </c>
      <c r="E625" s="1" t="s">
        <v>3646</v>
      </c>
      <c r="F625" s="36">
        <v>45128</v>
      </c>
      <c r="G625" s="37" t="s">
        <v>3647</v>
      </c>
      <c r="H625" s="40" t="s">
        <v>3648</v>
      </c>
      <c r="I625" s="40" t="s">
        <v>2244</v>
      </c>
      <c r="J625" s="57">
        <v>213220.8</v>
      </c>
      <c r="K625" s="41">
        <v>211068</v>
      </c>
      <c r="L625" s="30">
        <v>213210.25</v>
      </c>
      <c r="M625" s="30">
        <f t="shared" si="127"/>
        <v>213210.25</v>
      </c>
      <c r="N625" s="40" t="s">
        <v>3649</v>
      </c>
      <c r="O625" s="40" t="s">
        <v>3650</v>
      </c>
      <c r="P625" s="40" t="s">
        <v>47</v>
      </c>
      <c r="Q625" s="44">
        <v>100</v>
      </c>
      <c r="R625" s="37">
        <v>0</v>
      </c>
      <c r="S625" s="37" t="s">
        <v>1964</v>
      </c>
      <c r="T625" s="48">
        <v>5</v>
      </c>
      <c r="U625" s="30">
        <f>M625/W625</f>
        <v>22.55</v>
      </c>
      <c r="V625" s="41">
        <f t="shared" si="118"/>
        <v>112.75</v>
      </c>
      <c r="W625" s="41">
        <f t="shared" si="129"/>
        <v>9455</v>
      </c>
      <c r="X625" s="41">
        <f>9360+95</f>
        <v>9455</v>
      </c>
      <c r="Y625" s="41">
        <v>0</v>
      </c>
      <c r="Z625" s="41">
        <f t="shared" si="120"/>
        <v>0</v>
      </c>
      <c r="AA625" s="41">
        <v>0</v>
      </c>
      <c r="AB625" s="41">
        <f t="shared" si="121"/>
        <v>0</v>
      </c>
      <c r="AC625" s="41">
        <f t="shared" si="130"/>
        <v>0</v>
      </c>
      <c r="AD625" s="41">
        <v>0</v>
      </c>
      <c r="AE625" s="41">
        <f t="shared" si="122"/>
        <v>0</v>
      </c>
      <c r="AF625" s="41">
        <v>0</v>
      </c>
      <c r="AG625" s="41">
        <f t="shared" si="123"/>
        <v>0</v>
      </c>
      <c r="AH625" s="41">
        <f t="shared" si="124"/>
        <v>0</v>
      </c>
      <c r="AI625" s="41">
        <v>0</v>
      </c>
      <c r="AJ625" s="41">
        <v>0</v>
      </c>
      <c r="AK625" s="41">
        <v>0</v>
      </c>
      <c r="AL625" s="41">
        <v>0</v>
      </c>
      <c r="AM625" s="41">
        <f t="shared" si="117"/>
        <v>0</v>
      </c>
      <c r="AN625" s="41">
        <f t="shared" si="125"/>
        <v>1891</v>
      </c>
      <c r="AO625" s="41">
        <f t="shared" si="126"/>
        <v>1891</v>
      </c>
      <c r="AP625" s="40"/>
      <c r="AQ625" s="36">
        <v>45153</v>
      </c>
      <c r="AR625" s="36"/>
      <c r="AS625" s="36"/>
      <c r="AT625" s="36">
        <v>45168</v>
      </c>
      <c r="AU625" s="36"/>
      <c r="AV625" s="38"/>
      <c r="AW625" s="40" t="s">
        <v>49</v>
      </c>
    </row>
    <row r="626" spans="1:49" s="34" customFormat="1" ht="48" customHeight="1" x14ac:dyDescent="0.3">
      <c r="A626" s="35" t="s">
        <v>3651</v>
      </c>
      <c r="B626" s="38">
        <v>45106</v>
      </c>
      <c r="C626" s="40">
        <v>1416</v>
      </c>
      <c r="D626" s="39"/>
      <c r="E626" s="1" t="s">
        <v>3652</v>
      </c>
      <c r="F626" s="36">
        <v>45128</v>
      </c>
      <c r="G626" s="37" t="s">
        <v>3653</v>
      </c>
      <c r="H626" s="40" t="s">
        <v>878</v>
      </c>
      <c r="I626" s="40" t="s">
        <v>3654</v>
      </c>
      <c r="J626" s="57">
        <v>1301150.3999999999</v>
      </c>
      <c r="K626" s="41">
        <v>1301150.3999999999</v>
      </c>
      <c r="L626" s="30">
        <f t="shared" si="127"/>
        <v>1301150.3999999999</v>
      </c>
      <c r="M626" s="30">
        <f t="shared" si="127"/>
        <v>1301150.3999999999</v>
      </c>
      <c r="N626" s="40" t="s">
        <v>880</v>
      </c>
      <c r="O626" s="40" t="s">
        <v>881</v>
      </c>
      <c r="P626" s="40" t="s">
        <v>583</v>
      </c>
      <c r="Q626" s="44">
        <v>0</v>
      </c>
      <c r="R626" s="37">
        <v>100</v>
      </c>
      <c r="S626" s="37" t="s">
        <v>882</v>
      </c>
      <c r="T626" s="48">
        <v>120</v>
      </c>
      <c r="U626" s="30">
        <f>M626/W626</f>
        <v>142.66999999999999</v>
      </c>
      <c r="V626" s="41">
        <f t="shared" si="118"/>
        <v>17120.399999999998</v>
      </c>
      <c r="W626" s="41">
        <f t="shared" si="129"/>
        <v>9120</v>
      </c>
      <c r="X626" s="41">
        <v>9120</v>
      </c>
      <c r="Y626" s="41">
        <v>0</v>
      </c>
      <c r="Z626" s="41">
        <f t="shared" si="120"/>
        <v>0</v>
      </c>
      <c r="AA626" s="41">
        <v>0</v>
      </c>
      <c r="AB626" s="41">
        <f t="shared" si="121"/>
        <v>0</v>
      </c>
      <c r="AC626" s="41">
        <f t="shared" si="130"/>
        <v>0</v>
      </c>
      <c r="AD626" s="41">
        <v>0</v>
      </c>
      <c r="AE626" s="41">
        <f t="shared" si="122"/>
        <v>0</v>
      </c>
      <c r="AF626" s="41">
        <v>0</v>
      </c>
      <c r="AG626" s="41">
        <f t="shared" si="123"/>
        <v>0</v>
      </c>
      <c r="AH626" s="41">
        <f t="shared" si="124"/>
        <v>0</v>
      </c>
      <c r="AI626" s="41">
        <v>0</v>
      </c>
      <c r="AJ626" s="41">
        <v>0</v>
      </c>
      <c r="AK626" s="41">
        <v>0</v>
      </c>
      <c r="AL626" s="41">
        <v>0</v>
      </c>
      <c r="AM626" s="41">
        <f t="shared" si="117"/>
        <v>0</v>
      </c>
      <c r="AN626" s="41">
        <f t="shared" si="125"/>
        <v>76</v>
      </c>
      <c r="AO626" s="41">
        <f t="shared" si="126"/>
        <v>76</v>
      </c>
      <c r="AP626" s="40"/>
      <c r="AQ626" s="36">
        <v>45170</v>
      </c>
      <c r="AR626" s="36"/>
      <c r="AS626" s="36"/>
      <c r="AT626" s="36">
        <v>45184</v>
      </c>
      <c r="AU626" s="36"/>
      <c r="AV626" s="38"/>
      <c r="AW626" s="40" t="s">
        <v>49</v>
      </c>
    </row>
    <row r="627" spans="1:49" s="34" customFormat="1" ht="48" customHeight="1" x14ac:dyDescent="0.3">
      <c r="A627" s="35" t="s">
        <v>3655</v>
      </c>
      <c r="B627" s="38">
        <v>45106</v>
      </c>
      <c r="C627" s="40" t="s">
        <v>162</v>
      </c>
      <c r="D627" s="39" t="s">
        <v>3656</v>
      </c>
      <c r="E627" s="1" t="s">
        <v>3657</v>
      </c>
      <c r="F627" s="36">
        <v>45128</v>
      </c>
      <c r="G627" s="37" t="s">
        <v>3658</v>
      </c>
      <c r="H627" s="40" t="s">
        <v>186</v>
      </c>
      <c r="I627" s="40" t="s">
        <v>3659</v>
      </c>
      <c r="J627" s="57">
        <v>1379365.68</v>
      </c>
      <c r="K627" s="41">
        <v>1379365.68</v>
      </c>
      <c r="L627" s="30">
        <f t="shared" si="127"/>
        <v>1379365.68</v>
      </c>
      <c r="M627" s="30">
        <f t="shared" si="127"/>
        <v>1379365.68</v>
      </c>
      <c r="N627" s="40" t="s">
        <v>3660</v>
      </c>
      <c r="O627" s="40" t="s">
        <v>3661</v>
      </c>
      <c r="P627" s="40" t="s">
        <v>47</v>
      </c>
      <c r="Q627" s="44">
        <v>100</v>
      </c>
      <c r="R627" s="37">
        <v>0</v>
      </c>
      <c r="S627" s="37" t="s">
        <v>1964</v>
      </c>
      <c r="T627" s="48">
        <v>28</v>
      </c>
      <c r="U627" s="30">
        <f>M627/W627</f>
        <v>1492.82</v>
      </c>
      <c r="V627" s="41">
        <f t="shared" si="118"/>
        <v>41798.959999999999</v>
      </c>
      <c r="W627" s="41">
        <f t="shared" si="129"/>
        <v>924</v>
      </c>
      <c r="X627" s="41">
        <v>924</v>
      </c>
      <c r="Y627" s="41">
        <v>0</v>
      </c>
      <c r="Z627" s="41">
        <f t="shared" si="120"/>
        <v>0</v>
      </c>
      <c r="AA627" s="41">
        <v>0</v>
      </c>
      <c r="AB627" s="41">
        <f t="shared" si="121"/>
        <v>0</v>
      </c>
      <c r="AC627" s="41">
        <f t="shared" si="130"/>
        <v>0</v>
      </c>
      <c r="AD627" s="41">
        <v>0</v>
      </c>
      <c r="AE627" s="41">
        <f t="shared" si="122"/>
        <v>0</v>
      </c>
      <c r="AF627" s="41">
        <v>0</v>
      </c>
      <c r="AG627" s="41">
        <f t="shared" si="123"/>
        <v>0</v>
      </c>
      <c r="AH627" s="41">
        <f t="shared" si="124"/>
        <v>0</v>
      </c>
      <c r="AI627" s="41">
        <v>0</v>
      </c>
      <c r="AJ627" s="41">
        <v>0</v>
      </c>
      <c r="AK627" s="41">
        <v>0</v>
      </c>
      <c r="AL627" s="41">
        <v>0</v>
      </c>
      <c r="AM627" s="41">
        <f t="shared" si="117"/>
        <v>0</v>
      </c>
      <c r="AN627" s="41">
        <f t="shared" si="125"/>
        <v>33</v>
      </c>
      <c r="AO627" s="41">
        <f t="shared" si="126"/>
        <v>33</v>
      </c>
      <c r="AP627" s="40"/>
      <c r="AQ627" s="36">
        <v>45169</v>
      </c>
      <c r="AR627" s="36"/>
      <c r="AS627" s="36"/>
      <c r="AT627" s="36">
        <v>45184</v>
      </c>
      <c r="AU627" s="36"/>
      <c r="AV627" s="38"/>
      <c r="AW627" s="40" t="s">
        <v>49</v>
      </c>
    </row>
    <row r="628" spans="1:49" s="34" customFormat="1" ht="48" customHeight="1" x14ac:dyDescent="0.3">
      <c r="A628" s="35" t="s">
        <v>3662</v>
      </c>
      <c r="B628" s="38">
        <v>45106</v>
      </c>
      <c r="C628" s="40" t="s">
        <v>162</v>
      </c>
      <c r="D628" s="39" t="s">
        <v>3663</v>
      </c>
      <c r="E628" s="1" t="s">
        <v>3664</v>
      </c>
      <c r="F628" s="36">
        <v>45128</v>
      </c>
      <c r="G628" s="37" t="s">
        <v>3665</v>
      </c>
      <c r="H628" s="40" t="s">
        <v>186</v>
      </c>
      <c r="I628" s="40" t="s">
        <v>3357</v>
      </c>
      <c r="J628" s="57">
        <v>48855101.68</v>
      </c>
      <c r="K628" s="41">
        <v>48855101.68</v>
      </c>
      <c r="L628" s="30">
        <f t="shared" si="127"/>
        <v>48855101.68</v>
      </c>
      <c r="M628" s="30">
        <f t="shared" si="127"/>
        <v>48855101.68</v>
      </c>
      <c r="N628" s="40" t="s">
        <v>3465</v>
      </c>
      <c r="O628" s="40" t="s">
        <v>3466</v>
      </c>
      <c r="P628" s="40" t="s">
        <v>199</v>
      </c>
      <c r="Q628" s="44">
        <v>0</v>
      </c>
      <c r="R628" s="37">
        <v>100</v>
      </c>
      <c r="S628" s="37" t="s">
        <v>1964</v>
      </c>
      <c r="T628" s="48">
        <v>28</v>
      </c>
      <c r="U628" s="30">
        <f>M628/W628</f>
        <v>4428.49</v>
      </c>
      <c r="V628" s="41">
        <f t="shared" si="118"/>
        <v>123997.72</v>
      </c>
      <c r="W628" s="41">
        <f t="shared" si="129"/>
        <v>11032</v>
      </c>
      <c r="X628" s="41">
        <v>11032</v>
      </c>
      <c r="Y628" s="41">
        <v>0</v>
      </c>
      <c r="Z628" s="41">
        <f t="shared" si="120"/>
        <v>0</v>
      </c>
      <c r="AA628" s="41">
        <v>0</v>
      </c>
      <c r="AB628" s="41">
        <f t="shared" si="121"/>
        <v>0</v>
      </c>
      <c r="AC628" s="41">
        <f t="shared" si="130"/>
        <v>0</v>
      </c>
      <c r="AD628" s="41">
        <v>0</v>
      </c>
      <c r="AE628" s="41">
        <f t="shared" si="122"/>
        <v>0</v>
      </c>
      <c r="AF628" s="41">
        <v>0</v>
      </c>
      <c r="AG628" s="41">
        <f t="shared" si="123"/>
        <v>0</v>
      </c>
      <c r="AH628" s="41">
        <f t="shared" si="124"/>
        <v>0</v>
      </c>
      <c r="AI628" s="41">
        <v>0</v>
      </c>
      <c r="AJ628" s="41">
        <v>0</v>
      </c>
      <c r="AK628" s="41">
        <v>0</v>
      </c>
      <c r="AL628" s="41">
        <v>0</v>
      </c>
      <c r="AM628" s="41">
        <f t="shared" si="117"/>
        <v>0</v>
      </c>
      <c r="AN628" s="41">
        <f t="shared" si="125"/>
        <v>394</v>
      </c>
      <c r="AO628" s="41">
        <f t="shared" si="126"/>
        <v>394</v>
      </c>
      <c r="AP628" s="40"/>
      <c r="AQ628" s="36">
        <v>45199</v>
      </c>
      <c r="AR628" s="36"/>
      <c r="AS628" s="36"/>
      <c r="AT628" s="36">
        <v>45214</v>
      </c>
      <c r="AU628" s="36"/>
      <c r="AV628" s="38"/>
      <c r="AW628" s="40" t="s">
        <v>49</v>
      </c>
    </row>
    <row r="629" spans="1:49" s="34" customFormat="1" ht="48" customHeight="1" x14ac:dyDescent="0.3">
      <c r="A629" s="35" t="s">
        <v>3666</v>
      </c>
      <c r="B629" s="38">
        <v>45106</v>
      </c>
      <c r="C629" s="40">
        <v>1416</v>
      </c>
      <c r="D629" s="39" t="s">
        <v>3667</v>
      </c>
      <c r="E629" s="1" t="s">
        <v>3668</v>
      </c>
      <c r="F629" s="36">
        <v>45125</v>
      </c>
      <c r="G629" s="37" t="s">
        <v>3669</v>
      </c>
      <c r="H629" s="40" t="s">
        <v>186</v>
      </c>
      <c r="I629" s="40" t="s">
        <v>795</v>
      </c>
      <c r="J629" s="57">
        <v>187522450.5</v>
      </c>
      <c r="K629" s="41">
        <v>187522450.5</v>
      </c>
      <c r="L629" s="30">
        <f t="shared" si="127"/>
        <v>187522450.5</v>
      </c>
      <c r="M629" s="30">
        <f t="shared" si="127"/>
        <v>187522450.5</v>
      </c>
      <c r="N629" s="40" t="s">
        <v>796</v>
      </c>
      <c r="O629" s="40" t="s">
        <v>3670</v>
      </c>
      <c r="P629" s="40" t="s">
        <v>47</v>
      </c>
      <c r="Q629" s="44">
        <v>100</v>
      </c>
      <c r="R629" s="37">
        <v>0</v>
      </c>
      <c r="S629" s="37" t="s">
        <v>219</v>
      </c>
      <c r="T629" s="48">
        <v>15</v>
      </c>
      <c r="U629" s="30">
        <f>M629/W629</f>
        <v>401.59</v>
      </c>
      <c r="V629" s="41">
        <f t="shared" si="118"/>
        <v>6023.8499999999995</v>
      </c>
      <c r="W629" s="41">
        <f t="shared" si="129"/>
        <v>466950</v>
      </c>
      <c r="X629" s="41">
        <f t="shared" si="128"/>
        <v>466950</v>
      </c>
      <c r="Y629" s="41">
        <v>466950</v>
      </c>
      <c r="Z629" s="41">
        <f t="shared" si="120"/>
        <v>187522450.5</v>
      </c>
      <c r="AA629" s="41">
        <v>0</v>
      </c>
      <c r="AB629" s="41">
        <f t="shared" si="121"/>
        <v>0</v>
      </c>
      <c r="AC629" s="41">
        <f t="shared" si="130"/>
        <v>0</v>
      </c>
      <c r="AD629" s="41">
        <v>0</v>
      </c>
      <c r="AE629" s="41">
        <f t="shared" si="122"/>
        <v>0</v>
      </c>
      <c r="AF629" s="41">
        <v>0</v>
      </c>
      <c r="AG629" s="41">
        <f t="shared" si="123"/>
        <v>0</v>
      </c>
      <c r="AH629" s="41">
        <f t="shared" si="124"/>
        <v>0</v>
      </c>
      <c r="AI629" s="41">
        <v>0</v>
      </c>
      <c r="AJ629" s="41">
        <v>0</v>
      </c>
      <c r="AK629" s="41">
        <v>0</v>
      </c>
      <c r="AL629" s="41">
        <v>0</v>
      </c>
      <c r="AM629" s="41">
        <f t="shared" si="117"/>
        <v>187522450.5</v>
      </c>
      <c r="AN629" s="41">
        <f t="shared" si="125"/>
        <v>31130</v>
      </c>
      <c r="AO629" s="41">
        <f t="shared" si="126"/>
        <v>31130</v>
      </c>
      <c r="AP629" s="40"/>
      <c r="AQ629" s="36">
        <v>45171</v>
      </c>
      <c r="AR629" s="36"/>
      <c r="AS629" s="36"/>
      <c r="AT629" s="36">
        <v>45186</v>
      </c>
      <c r="AU629" s="36"/>
      <c r="AV629" s="38"/>
      <c r="AW629" s="40" t="s">
        <v>49</v>
      </c>
    </row>
    <row r="630" spans="1:49" s="34" customFormat="1" ht="48" customHeight="1" x14ac:dyDescent="0.3">
      <c r="A630" s="35" t="s">
        <v>3671</v>
      </c>
      <c r="B630" s="38">
        <v>45107</v>
      </c>
      <c r="C630" s="40" t="s">
        <v>162</v>
      </c>
      <c r="D630" s="39" t="s">
        <v>3672</v>
      </c>
      <c r="E630" s="1" t="s">
        <v>3673</v>
      </c>
      <c r="F630" s="36">
        <v>45128</v>
      </c>
      <c r="G630" s="37" t="s">
        <v>3674</v>
      </c>
      <c r="H630" s="40" t="s">
        <v>3675</v>
      </c>
      <c r="I630" s="40" t="s">
        <v>3573</v>
      </c>
      <c r="J630" s="57">
        <v>15868591.199999999</v>
      </c>
      <c r="K630" s="41">
        <v>15868591.199999999</v>
      </c>
      <c r="L630" s="30">
        <f t="shared" si="127"/>
        <v>15868591.199999999</v>
      </c>
      <c r="M630" s="30">
        <f t="shared" si="127"/>
        <v>15868591.199999999</v>
      </c>
      <c r="N630" s="40" t="s">
        <v>3574</v>
      </c>
      <c r="O630" s="40" t="s">
        <v>3575</v>
      </c>
      <c r="P630" s="40" t="s">
        <v>199</v>
      </c>
      <c r="Q630" s="44">
        <v>0</v>
      </c>
      <c r="R630" s="37">
        <v>100</v>
      </c>
      <c r="S630" s="37" t="s">
        <v>1964</v>
      </c>
      <c r="T630" s="48">
        <v>84</v>
      </c>
      <c r="U630" s="30">
        <f>M630/W630</f>
        <v>2248.9499999999998</v>
      </c>
      <c r="V630" s="41">
        <f t="shared" si="118"/>
        <v>188911.8</v>
      </c>
      <c r="W630" s="41">
        <f t="shared" si="129"/>
        <v>7056</v>
      </c>
      <c r="X630" s="41">
        <v>7056</v>
      </c>
      <c r="Y630" s="41">
        <v>0</v>
      </c>
      <c r="Z630" s="41">
        <f t="shared" si="120"/>
        <v>0</v>
      </c>
      <c r="AA630" s="41">
        <v>0</v>
      </c>
      <c r="AB630" s="41">
        <f t="shared" si="121"/>
        <v>0</v>
      </c>
      <c r="AC630" s="41">
        <f t="shared" si="130"/>
        <v>0</v>
      </c>
      <c r="AD630" s="41">
        <v>0</v>
      </c>
      <c r="AE630" s="41">
        <f t="shared" si="122"/>
        <v>0</v>
      </c>
      <c r="AF630" s="41">
        <v>0</v>
      </c>
      <c r="AG630" s="41">
        <f t="shared" si="123"/>
        <v>0</v>
      </c>
      <c r="AH630" s="41">
        <f t="shared" si="124"/>
        <v>0</v>
      </c>
      <c r="AI630" s="41">
        <v>0</v>
      </c>
      <c r="AJ630" s="41">
        <v>0</v>
      </c>
      <c r="AK630" s="41">
        <v>0</v>
      </c>
      <c r="AL630" s="41">
        <v>0</v>
      </c>
      <c r="AM630" s="41">
        <f t="shared" si="117"/>
        <v>0</v>
      </c>
      <c r="AN630" s="41">
        <f t="shared" si="125"/>
        <v>84</v>
      </c>
      <c r="AO630" s="41">
        <f t="shared" si="126"/>
        <v>84</v>
      </c>
      <c r="AP630" s="40"/>
      <c r="AQ630" s="36">
        <v>45153</v>
      </c>
      <c r="AR630" s="36"/>
      <c r="AS630" s="36"/>
      <c r="AT630" s="36">
        <v>45168</v>
      </c>
      <c r="AU630" s="36"/>
      <c r="AV630" s="38"/>
      <c r="AW630" s="40" t="s">
        <v>49</v>
      </c>
    </row>
    <row r="631" spans="1:49" s="34" customFormat="1" ht="48" customHeight="1" x14ac:dyDescent="0.3">
      <c r="A631" s="35" t="s">
        <v>3676</v>
      </c>
      <c r="B631" s="38">
        <v>45107</v>
      </c>
      <c r="C631" s="40">
        <v>545</v>
      </c>
      <c r="D631" s="39" t="s">
        <v>3677</v>
      </c>
      <c r="E631" s="1" t="s">
        <v>3678</v>
      </c>
      <c r="F631" s="36">
        <v>45128</v>
      </c>
      <c r="G631" s="37" t="s">
        <v>3679</v>
      </c>
      <c r="H631" s="40" t="s">
        <v>878</v>
      </c>
      <c r="I631" s="40" t="s">
        <v>3680</v>
      </c>
      <c r="J631" s="57">
        <v>2984447.4</v>
      </c>
      <c r="K631" s="41">
        <v>2984447.4</v>
      </c>
      <c r="L631" s="30">
        <v>3493987.2</v>
      </c>
      <c r="M631" s="30">
        <f t="shared" si="127"/>
        <v>3493987.2</v>
      </c>
      <c r="N631" s="40" t="s">
        <v>1536</v>
      </c>
      <c r="O631" s="40" t="s">
        <v>1537</v>
      </c>
      <c r="P631" s="40" t="s">
        <v>348</v>
      </c>
      <c r="Q631" s="44">
        <v>0</v>
      </c>
      <c r="R631" s="37">
        <v>100</v>
      </c>
      <c r="S631" s="37" t="s">
        <v>1964</v>
      </c>
      <c r="T631" s="48">
        <v>30</v>
      </c>
      <c r="U631" s="30">
        <f>M631/W631</f>
        <v>2426.38</v>
      </c>
      <c r="V631" s="41">
        <f t="shared" si="118"/>
        <v>72791.400000000009</v>
      </c>
      <c r="W631" s="41">
        <f t="shared" si="129"/>
        <v>1440</v>
      </c>
      <c r="X631" s="41">
        <f>1230+210</f>
        <v>1440</v>
      </c>
      <c r="Y631" s="41">
        <v>0</v>
      </c>
      <c r="Z631" s="41">
        <f t="shared" si="120"/>
        <v>0</v>
      </c>
      <c r="AA631" s="41">
        <v>0</v>
      </c>
      <c r="AB631" s="41">
        <f t="shared" si="121"/>
        <v>0</v>
      </c>
      <c r="AC631" s="41">
        <f t="shared" si="130"/>
        <v>0</v>
      </c>
      <c r="AD631" s="41">
        <v>0</v>
      </c>
      <c r="AE631" s="41">
        <f t="shared" si="122"/>
        <v>0</v>
      </c>
      <c r="AF631" s="41">
        <v>0</v>
      </c>
      <c r="AG631" s="41">
        <f t="shared" si="123"/>
        <v>0</v>
      </c>
      <c r="AH631" s="41">
        <f t="shared" si="124"/>
        <v>0</v>
      </c>
      <c r="AI631" s="41">
        <v>0</v>
      </c>
      <c r="AJ631" s="41">
        <v>0</v>
      </c>
      <c r="AK631" s="41">
        <v>0</v>
      </c>
      <c r="AL631" s="41">
        <v>0</v>
      </c>
      <c r="AM631" s="41">
        <f t="shared" si="117"/>
        <v>0</v>
      </c>
      <c r="AN631" s="41">
        <f t="shared" si="125"/>
        <v>48</v>
      </c>
      <c r="AO631" s="41">
        <f t="shared" si="126"/>
        <v>48</v>
      </c>
      <c r="AP631" s="40"/>
      <c r="AQ631" s="36">
        <v>45153</v>
      </c>
      <c r="AR631" s="36"/>
      <c r="AS631" s="36"/>
      <c r="AT631" s="36">
        <v>45168</v>
      </c>
      <c r="AU631" s="36"/>
      <c r="AV631" s="38"/>
      <c r="AW631" s="40" t="s">
        <v>49</v>
      </c>
    </row>
    <row r="632" spans="1:49" s="34" customFormat="1" ht="48" customHeight="1" x14ac:dyDescent="0.3">
      <c r="A632" s="35" t="s">
        <v>3681</v>
      </c>
      <c r="B632" s="38">
        <v>45107</v>
      </c>
      <c r="C632" s="40">
        <v>545</v>
      </c>
      <c r="D632" s="39" t="s">
        <v>3682</v>
      </c>
      <c r="E632" s="1" t="s">
        <v>3683</v>
      </c>
      <c r="F632" s="36">
        <v>45128</v>
      </c>
      <c r="G632" s="37" t="s">
        <v>3684</v>
      </c>
      <c r="H632" s="40" t="s">
        <v>802</v>
      </c>
      <c r="I632" s="40" t="s">
        <v>3685</v>
      </c>
      <c r="J632" s="57">
        <v>10753393</v>
      </c>
      <c r="K632" s="41">
        <v>10753393</v>
      </c>
      <c r="L632" s="30">
        <f t="shared" si="127"/>
        <v>10753393</v>
      </c>
      <c r="M632" s="30">
        <f t="shared" si="127"/>
        <v>10753393</v>
      </c>
      <c r="N632" s="40" t="s">
        <v>1351</v>
      </c>
      <c r="O632" s="40" t="s">
        <v>1352</v>
      </c>
      <c r="P632" s="40" t="s">
        <v>199</v>
      </c>
      <c r="Q632" s="44">
        <v>0</v>
      </c>
      <c r="R632" s="37">
        <v>100</v>
      </c>
      <c r="S632" s="37" t="s">
        <v>584</v>
      </c>
      <c r="T632" s="48">
        <v>50</v>
      </c>
      <c r="U632" s="30">
        <f>M632/W632</f>
        <v>1004.99</v>
      </c>
      <c r="V632" s="41">
        <f t="shared" si="118"/>
        <v>50249.5</v>
      </c>
      <c r="W632" s="41">
        <f t="shared" si="129"/>
        <v>10700</v>
      </c>
      <c r="X632" s="41">
        <v>10700</v>
      </c>
      <c r="Y632" s="41">
        <v>0</v>
      </c>
      <c r="Z632" s="41">
        <f t="shared" si="120"/>
        <v>0</v>
      </c>
      <c r="AA632" s="41">
        <v>0</v>
      </c>
      <c r="AB632" s="41">
        <f t="shared" si="121"/>
        <v>0</v>
      </c>
      <c r="AC632" s="41">
        <f t="shared" si="130"/>
        <v>0</v>
      </c>
      <c r="AD632" s="41">
        <v>0</v>
      </c>
      <c r="AE632" s="41">
        <f t="shared" si="122"/>
        <v>0</v>
      </c>
      <c r="AF632" s="41">
        <v>0</v>
      </c>
      <c r="AG632" s="41">
        <f t="shared" si="123"/>
        <v>0</v>
      </c>
      <c r="AH632" s="41">
        <f t="shared" si="124"/>
        <v>0</v>
      </c>
      <c r="AI632" s="41">
        <v>0</v>
      </c>
      <c r="AJ632" s="41">
        <v>0</v>
      </c>
      <c r="AK632" s="41">
        <v>0</v>
      </c>
      <c r="AL632" s="41">
        <v>0</v>
      </c>
      <c r="AM632" s="41">
        <f t="shared" si="117"/>
        <v>0</v>
      </c>
      <c r="AN632" s="41">
        <f t="shared" si="125"/>
        <v>214</v>
      </c>
      <c r="AO632" s="41">
        <f t="shared" si="126"/>
        <v>214</v>
      </c>
      <c r="AP632" s="40"/>
      <c r="AQ632" s="36">
        <v>45139</v>
      </c>
      <c r="AR632" s="36"/>
      <c r="AS632" s="36"/>
      <c r="AT632" s="36">
        <v>45153</v>
      </c>
      <c r="AU632" s="36"/>
      <c r="AV632" s="38"/>
      <c r="AW632" s="40" t="s">
        <v>49</v>
      </c>
    </row>
    <row r="633" spans="1:49" s="34" customFormat="1" ht="48" customHeight="1" x14ac:dyDescent="0.3">
      <c r="A633" s="35" t="s">
        <v>3686</v>
      </c>
      <c r="B633" s="38">
        <v>45107</v>
      </c>
      <c r="C633" s="40">
        <v>1416</v>
      </c>
      <c r="D633" s="39" t="s">
        <v>3687</v>
      </c>
      <c r="E633" s="1" t="s">
        <v>3688</v>
      </c>
      <c r="F633" s="36">
        <v>45128</v>
      </c>
      <c r="G633" s="37" t="s">
        <v>3689</v>
      </c>
      <c r="H633" s="40" t="s">
        <v>186</v>
      </c>
      <c r="I633" s="40" t="s">
        <v>473</v>
      </c>
      <c r="J633" s="57">
        <v>146923062</v>
      </c>
      <c r="K633" s="41">
        <v>146923062</v>
      </c>
      <c r="L633" s="30">
        <f t="shared" si="127"/>
        <v>146923062</v>
      </c>
      <c r="M633" s="30">
        <f t="shared" si="127"/>
        <v>146923062</v>
      </c>
      <c r="N633" s="40" t="s">
        <v>2937</v>
      </c>
      <c r="O633" s="40" t="s">
        <v>475</v>
      </c>
      <c r="P633" s="40" t="s">
        <v>190</v>
      </c>
      <c r="Q633" s="44">
        <v>0</v>
      </c>
      <c r="R633" s="37">
        <v>100</v>
      </c>
      <c r="S633" s="37" t="s">
        <v>1964</v>
      </c>
      <c r="T633" s="48">
        <v>1</v>
      </c>
      <c r="U633" s="30">
        <f>M633/W633</f>
        <v>85800</v>
      </c>
      <c r="V633" s="41">
        <f t="shared" si="118"/>
        <v>85800</v>
      </c>
      <c r="W633" s="41">
        <f t="shared" si="129"/>
        <v>1712.39</v>
      </c>
      <c r="X633" s="41">
        <f t="shared" si="128"/>
        <v>1712.39</v>
      </c>
      <c r="Y633" s="41">
        <v>0</v>
      </c>
      <c r="Z633" s="41">
        <f t="shared" si="120"/>
        <v>0</v>
      </c>
      <c r="AA633" s="41">
        <v>1712.39</v>
      </c>
      <c r="AB633" s="41">
        <f t="shared" si="121"/>
        <v>146923062</v>
      </c>
      <c r="AC633" s="41">
        <f t="shared" si="130"/>
        <v>0</v>
      </c>
      <c r="AD633" s="41">
        <v>0</v>
      </c>
      <c r="AE633" s="41">
        <f t="shared" si="122"/>
        <v>0</v>
      </c>
      <c r="AF633" s="41">
        <v>0</v>
      </c>
      <c r="AG633" s="41">
        <f t="shared" si="123"/>
        <v>0</v>
      </c>
      <c r="AH633" s="41">
        <f t="shared" si="124"/>
        <v>0</v>
      </c>
      <c r="AI633" s="41">
        <v>0</v>
      </c>
      <c r="AJ633" s="41">
        <v>0</v>
      </c>
      <c r="AK633" s="41">
        <v>0</v>
      </c>
      <c r="AL633" s="41">
        <v>0</v>
      </c>
      <c r="AM633" s="41">
        <f t="shared" si="117"/>
        <v>0</v>
      </c>
      <c r="AN633" s="41">
        <f t="shared" si="125"/>
        <v>1712.39</v>
      </c>
      <c r="AO633" s="41">
        <f t="shared" si="126"/>
        <v>1713</v>
      </c>
      <c r="AP633" s="40"/>
      <c r="AQ633" s="36">
        <v>45170</v>
      </c>
      <c r="AR633" s="36"/>
      <c r="AS633" s="36"/>
      <c r="AT633" s="36">
        <v>45184</v>
      </c>
      <c r="AU633" s="36"/>
      <c r="AV633" s="38"/>
      <c r="AW633" s="40" t="s">
        <v>49</v>
      </c>
    </row>
    <row r="634" spans="1:49" s="34" customFormat="1" ht="48" customHeight="1" x14ac:dyDescent="0.3">
      <c r="A634" s="35" t="s">
        <v>3690</v>
      </c>
      <c r="B634" s="38">
        <v>45107</v>
      </c>
      <c r="C634" s="40">
        <v>1416</v>
      </c>
      <c r="D634" s="39" t="s">
        <v>3691</v>
      </c>
      <c r="E634" s="1" t="s">
        <v>3692</v>
      </c>
      <c r="F634" s="36">
        <v>45128</v>
      </c>
      <c r="G634" s="37" t="s">
        <v>3693</v>
      </c>
      <c r="H634" s="40" t="s">
        <v>693</v>
      </c>
      <c r="I634" s="40" t="s">
        <v>3694</v>
      </c>
      <c r="J634" s="57">
        <v>264835358.40000001</v>
      </c>
      <c r="K634" s="41">
        <v>264835358.40000001</v>
      </c>
      <c r="L634" s="30">
        <f t="shared" si="127"/>
        <v>264835358.40000001</v>
      </c>
      <c r="M634" s="30">
        <f t="shared" si="127"/>
        <v>264835358.40000001</v>
      </c>
      <c r="N634" s="40" t="s">
        <v>695</v>
      </c>
      <c r="O634" s="40" t="s">
        <v>696</v>
      </c>
      <c r="P634" s="40" t="s">
        <v>697</v>
      </c>
      <c r="Q634" s="44">
        <v>0</v>
      </c>
      <c r="R634" s="37">
        <v>100</v>
      </c>
      <c r="S634" s="37" t="s">
        <v>219</v>
      </c>
      <c r="T634" s="48">
        <v>3</v>
      </c>
      <c r="U634" s="30">
        <f>M634/W634</f>
        <v>50773.65</v>
      </c>
      <c r="V634" s="41">
        <f t="shared" si="118"/>
        <v>152320.95000000001</v>
      </c>
      <c r="W634" s="41">
        <f t="shared" si="129"/>
        <v>5216</v>
      </c>
      <c r="X634" s="41">
        <v>5216</v>
      </c>
      <c r="Y634" s="41">
        <v>0</v>
      </c>
      <c r="Z634" s="41">
        <f t="shared" si="120"/>
        <v>0</v>
      </c>
      <c r="AA634" s="41">
        <v>0</v>
      </c>
      <c r="AB634" s="41">
        <f t="shared" si="121"/>
        <v>0</v>
      </c>
      <c r="AC634" s="41">
        <f t="shared" si="130"/>
        <v>0</v>
      </c>
      <c r="AD634" s="41">
        <v>0</v>
      </c>
      <c r="AE634" s="41">
        <f t="shared" si="122"/>
        <v>0</v>
      </c>
      <c r="AF634" s="41">
        <v>0</v>
      </c>
      <c r="AG634" s="41">
        <f t="shared" si="123"/>
        <v>0</v>
      </c>
      <c r="AH634" s="41">
        <f t="shared" si="124"/>
        <v>0</v>
      </c>
      <c r="AI634" s="41">
        <v>0</v>
      </c>
      <c r="AJ634" s="41">
        <v>0</v>
      </c>
      <c r="AK634" s="41">
        <v>0</v>
      </c>
      <c r="AL634" s="41">
        <v>0</v>
      </c>
      <c r="AM634" s="41">
        <f t="shared" si="117"/>
        <v>0</v>
      </c>
      <c r="AN634" s="41">
        <f t="shared" si="125"/>
        <v>1738.6666666666667</v>
      </c>
      <c r="AO634" s="41">
        <f t="shared" si="126"/>
        <v>1739</v>
      </c>
      <c r="AP634" s="40"/>
      <c r="AQ634" s="36">
        <v>45170</v>
      </c>
      <c r="AR634" s="36"/>
      <c r="AS634" s="36"/>
      <c r="AT634" s="36">
        <v>45184</v>
      </c>
      <c r="AU634" s="36"/>
      <c r="AV634" s="38"/>
      <c r="AW634" s="40" t="s">
        <v>49</v>
      </c>
    </row>
    <row r="635" spans="1:49" s="34" customFormat="1" ht="48" customHeight="1" x14ac:dyDescent="0.3">
      <c r="A635" s="35" t="s">
        <v>3695</v>
      </c>
      <c r="B635" s="38">
        <v>45107</v>
      </c>
      <c r="C635" s="40">
        <v>1416</v>
      </c>
      <c r="D635" s="39" t="s">
        <v>3696</v>
      </c>
      <c r="E635" s="1" t="s">
        <v>3697</v>
      </c>
      <c r="F635" s="36">
        <v>45128</v>
      </c>
      <c r="G635" s="37" t="s">
        <v>3698</v>
      </c>
      <c r="H635" s="40" t="s">
        <v>224</v>
      </c>
      <c r="I635" s="40" t="s">
        <v>3699</v>
      </c>
      <c r="J635" s="57">
        <v>43038288</v>
      </c>
      <c r="K635" s="41">
        <v>43038288</v>
      </c>
      <c r="L635" s="30">
        <f t="shared" si="127"/>
        <v>43038288</v>
      </c>
      <c r="M635" s="30">
        <f t="shared" si="127"/>
        <v>43038288</v>
      </c>
      <c r="N635" s="40" t="s">
        <v>642</v>
      </c>
      <c r="O635" s="40" t="s">
        <v>643</v>
      </c>
      <c r="P635" s="40" t="s">
        <v>218</v>
      </c>
      <c r="Q635" s="44">
        <v>0</v>
      </c>
      <c r="R635" s="37">
        <v>100</v>
      </c>
      <c r="S635" s="37" t="s">
        <v>3700</v>
      </c>
      <c r="T635" s="48">
        <v>400</v>
      </c>
      <c r="U635" s="30">
        <f>M635/W635</f>
        <v>175.81</v>
      </c>
      <c r="V635" s="41">
        <f t="shared" si="118"/>
        <v>70324</v>
      </c>
      <c r="W635" s="41">
        <f t="shared" si="129"/>
        <v>244800</v>
      </c>
      <c r="X635" s="41">
        <v>244800</v>
      </c>
      <c r="Y635" s="41">
        <v>0</v>
      </c>
      <c r="Z635" s="41">
        <f t="shared" si="120"/>
        <v>0</v>
      </c>
      <c r="AA635" s="41">
        <v>0</v>
      </c>
      <c r="AB635" s="41">
        <f t="shared" si="121"/>
        <v>0</v>
      </c>
      <c r="AC635" s="41">
        <f t="shared" si="130"/>
        <v>0</v>
      </c>
      <c r="AD635" s="41">
        <v>0</v>
      </c>
      <c r="AE635" s="41">
        <f t="shared" si="122"/>
        <v>0</v>
      </c>
      <c r="AF635" s="41">
        <v>0</v>
      </c>
      <c r="AG635" s="41">
        <f t="shared" si="123"/>
        <v>0</v>
      </c>
      <c r="AH635" s="41">
        <f t="shared" si="124"/>
        <v>0</v>
      </c>
      <c r="AI635" s="41">
        <v>0</v>
      </c>
      <c r="AJ635" s="41">
        <v>0</v>
      </c>
      <c r="AK635" s="41">
        <v>0</v>
      </c>
      <c r="AL635" s="41">
        <v>0</v>
      </c>
      <c r="AM635" s="41">
        <f t="shared" ref="AM635:AM698" si="131">Z635+AE635+AJ635</f>
        <v>0</v>
      </c>
      <c r="AN635" s="41">
        <f t="shared" si="125"/>
        <v>612</v>
      </c>
      <c r="AO635" s="41">
        <f t="shared" si="126"/>
        <v>612</v>
      </c>
      <c r="AP635" s="40"/>
      <c r="AQ635" s="36">
        <v>45153</v>
      </c>
      <c r="AR635" s="36"/>
      <c r="AS635" s="36"/>
      <c r="AT635" s="36">
        <v>45168</v>
      </c>
      <c r="AU635" s="36"/>
      <c r="AV635" s="38"/>
      <c r="AW635" s="40" t="s">
        <v>49</v>
      </c>
    </row>
    <row r="636" spans="1:49" s="34" customFormat="1" ht="48" customHeight="1" x14ac:dyDescent="0.3">
      <c r="A636" s="35" t="s">
        <v>3701</v>
      </c>
      <c r="B636" s="38">
        <v>45107</v>
      </c>
      <c r="C636" s="40">
        <v>1416</v>
      </c>
      <c r="D636" s="39" t="s">
        <v>3702</v>
      </c>
      <c r="E636" s="1" t="s">
        <v>3703</v>
      </c>
      <c r="F636" s="36">
        <v>45128</v>
      </c>
      <c r="G636" s="37" t="s">
        <v>3704</v>
      </c>
      <c r="H636" s="40" t="s">
        <v>344</v>
      </c>
      <c r="I636" s="40" t="s">
        <v>3233</v>
      </c>
      <c r="J636" s="57">
        <v>176142367.59999999</v>
      </c>
      <c r="K636" s="41">
        <v>176137890.59999999</v>
      </c>
      <c r="L636" s="30">
        <f t="shared" si="127"/>
        <v>176137890.59999999</v>
      </c>
      <c r="M636" s="30">
        <f t="shared" si="127"/>
        <v>176137890.59999999</v>
      </c>
      <c r="N636" s="40" t="s">
        <v>3068</v>
      </c>
      <c r="O636" s="40" t="s">
        <v>396</v>
      </c>
      <c r="P636" s="40" t="s">
        <v>348</v>
      </c>
      <c r="Q636" s="44">
        <v>0</v>
      </c>
      <c r="R636" s="37">
        <v>100</v>
      </c>
      <c r="S636" s="37" t="s">
        <v>219</v>
      </c>
      <c r="T636" s="48">
        <v>20</v>
      </c>
      <c r="U636" s="30">
        <f>M636/W636</f>
        <v>2919.0899999999997</v>
      </c>
      <c r="V636" s="41">
        <f t="shared" ref="V636:V699" si="132">U636*T636</f>
        <v>58381.799999999996</v>
      </c>
      <c r="W636" s="41">
        <f t="shared" si="129"/>
        <v>60340</v>
      </c>
      <c r="X636" s="41">
        <f t="shared" si="128"/>
        <v>60340</v>
      </c>
      <c r="Y636" s="41">
        <v>0</v>
      </c>
      <c r="Z636" s="41">
        <f t="shared" si="120"/>
        <v>0</v>
      </c>
      <c r="AA636" s="41">
        <v>60340</v>
      </c>
      <c r="AB636" s="41">
        <f t="shared" si="121"/>
        <v>176137890.59999999</v>
      </c>
      <c r="AC636" s="41">
        <f t="shared" si="130"/>
        <v>0</v>
      </c>
      <c r="AD636" s="41">
        <v>0</v>
      </c>
      <c r="AE636" s="41">
        <f t="shared" si="122"/>
        <v>0</v>
      </c>
      <c r="AF636" s="41">
        <v>0</v>
      </c>
      <c r="AG636" s="41">
        <f t="shared" si="123"/>
        <v>0</v>
      </c>
      <c r="AH636" s="41">
        <f t="shared" si="124"/>
        <v>0</v>
      </c>
      <c r="AI636" s="41">
        <v>0</v>
      </c>
      <c r="AJ636" s="41">
        <v>0</v>
      </c>
      <c r="AK636" s="41">
        <v>0</v>
      </c>
      <c r="AL636" s="41">
        <v>0</v>
      </c>
      <c r="AM636" s="41">
        <f t="shared" si="131"/>
        <v>0</v>
      </c>
      <c r="AN636" s="41">
        <f t="shared" si="125"/>
        <v>3017</v>
      </c>
      <c r="AO636" s="41">
        <f t="shared" si="126"/>
        <v>3017</v>
      </c>
      <c r="AP636" s="40"/>
      <c r="AQ636" s="36">
        <v>45170</v>
      </c>
      <c r="AR636" s="36"/>
      <c r="AS636" s="36"/>
      <c r="AT636" s="36">
        <v>45184</v>
      </c>
      <c r="AU636" s="36"/>
      <c r="AV636" s="38"/>
      <c r="AW636" s="40" t="s">
        <v>49</v>
      </c>
    </row>
    <row r="637" spans="1:49" s="34" customFormat="1" ht="48" customHeight="1" x14ac:dyDescent="0.3">
      <c r="A637" s="35" t="s">
        <v>3705</v>
      </c>
      <c r="B637" s="38">
        <v>45107</v>
      </c>
      <c r="C637" s="40">
        <v>1416</v>
      </c>
      <c r="D637" s="39"/>
      <c r="E637" s="1" t="s">
        <v>3706</v>
      </c>
      <c r="F637" s="36">
        <v>45135</v>
      </c>
      <c r="G637" s="37" t="s">
        <v>3707</v>
      </c>
      <c r="H637" s="40" t="s">
        <v>177</v>
      </c>
      <c r="I637" s="40" t="s">
        <v>3289</v>
      </c>
      <c r="J637" s="57">
        <v>655478205.48000002</v>
      </c>
      <c r="K637" s="41">
        <v>609594675.48000002</v>
      </c>
      <c r="L637" s="30">
        <v>655445475.72000003</v>
      </c>
      <c r="M637" s="30">
        <f t="shared" si="127"/>
        <v>655445475.72000003</v>
      </c>
      <c r="N637" s="40" t="s">
        <v>3708</v>
      </c>
      <c r="O637" s="40" t="s">
        <v>3709</v>
      </c>
      <c r="P637" s="40" t="s">
        <v>47</v>
      </c>
      <c r="Q637" s="44">
        <v>100</v>
      </c>
      <c r="R637" s="37">
        <v>0</v>
      </c>
      <c r="S637" s="37" t="s">
        <v>1964</v>
      </c>
      <c r="T637" s="48">
        <v>21</v>
      </c>
      <c r="U637" s="30">
        <f>M637/W637</f>
        <v>13152.84</v>
      </c>
      <c r="V637" s="41">
        <f t="shared" si="132"/>
        <v>276209.64</v>
      </c>
      <c r="W637" s="41">
        <f t="shared" si="129"/>
        <v>49833</v>
      </c>
      <c r="X637" s="41">
        <f t="shared" si="128"/>
        <v>49833</v>
      </c>
      <c r="Y637" s="41">
        <v>0</v>
      </c>
      <c r="Z637" s="41">
        <f t="shared" si="120"/>
        <v>0</v>
      </c>
      <c r="AA637" s="41">
        <f>46347+3486</f>
        <v>49833</v>
      </c>
      <c r="AB637" s="41">
        <f t="shared" si="121"/>
        <v>655445475.72000003</v>
      </c>
      <c r="AC637" s="41">
        <f t="shared" si="130"/>
        <v>0</v>
      </c>
      <c r="AD637" s="41">
        <v>0</v>
      </c>
      <c r="AE637" s="41">
        <f t="shared" si="122"/>
        <v>0</v>
      </c>
      <c r="AF637" s="41">
        <v>0</v>
      </c>
      <c r="AG637" s="41">
        <f t="shared" si="123"/>
        <v>0</v>
      </c>
      <c r="AH637" s="41">
        <f t="shared" si="124"/>
        <v>0</v>
      </c>
      <c r="AI637" s="41">
        <v>0</v>
      </c>
      <c r="AJ637" s="41">
        <v>0</v>
      </c>
      <c r="AK637" s="41">
        <v>0</v>
      </c>
      <c r="AL637" s="41">
        <v>0</v>
      </c>
      <c r="AM637" s="41">
        <f t="shared" si="131"/>
        <v>0</v>
      </c>
      <c r="AN637" s="41">
        <f t="shared" si="125"/>
        <v>2373</v>
      </c>
      <c r="AO637" s="41">
        <f t="shared" si="126"/>
        <v>2373</v>
      </c>
      <c r="AP637" s="40"/>
      <c r="AQ637" s="36">
        <v>45170</v>
      </c>
      <c r="AR637" s="36"/>
      <c r="AS637" s="36"/>
      <c r="AT637" s="36">
        <v>45184</v>
      </c>
      <c r="AU637" s="36"/>
      <c r="AV637" s="38"/>
      <c r="AW637" s="40" t="s">
        <v>49</v>
      </c>
    </row>
    <row r="638" spans="1:49" s="34" customFormat="1" ht="48" customHeight="1" x14ac:dyDescent="0.3">
      <c r="A638" s="35" t="s">
        <v>3710</v>
      </c>
      <c r="B638" s="38">
        <v>45107</v>
      </c>
      <c r="C638" s="40">
        <v>1416</v>
      </c>
      <c r="D638" s="39" t="s">
        <v>3711</v>
      </c>
      <c r="E638" s="1" t="s">
        <v>3712</v>
      </c>
      <c r="F638" s="36">
        <v>45128</v>
      </c>
      <c r="G638" s="37" t="s">
        <v>3713</v>
      </c>
      <c r="H638" s="40" t="s">
        <v>802</v>
      </c>
      <c r="I638" s="40" t="s">
        <v>2765</v>
      </c>
      <c r="J638" s="57">
        <v>36968569.5</v>
      </c>
      <c r="K638" s="41">
        <v>36968569.5</v>
      </c>
      <c r="L638" s="30">
        <f t="shared" si="127"/>
        <v>36968569.5</v>
      </c>
      <c r="M638" s="30">
        <f t="shared" si="127"/>
        <v>36968569.5</v>
      </c>
      <c r="N638" s="40" t="s">
        <v>804</v>
      </c>
      <c r="O638" s="40" t="s">
        <v>805</v>
      </c>
      <c r="P638" s="40" t="s">
        <v>218</v>
      </c>
      <c r="Q638" s="44">
        <v>0</v>
      </c>
      <c r="R638" s="37">
        <v>100</v>
      </c>
      <c r="S638" s="37" t="s">
        <v>219</v>
      </c>
      <c r="T638" s="48">
        <v>5</v>
      </c>
      <c r="U638" s="30">
        <f>M638/W638</f>
        <v>7950.23</v>
      </c>
      <c r="V638" s="41">
        <f t="shared" si="132"/>
        <v>39751.149999999994</v>
      </c>
      <c r="W638" s="41">
        <f t="shared" si="129"/>
        <v>4650</v>
      </c>
      <c r="X638" s="41">
        <f t="shared" si="128"/>
        <v>4650</v>
      </c>
      <c r="Y638" s="41">
        <v>4650</v>
      </c>
      <c r="Z638" s="41">
        <f t="shared" si="120"/>
        <v>36968569.5</v>
      </c>
      <c r="AA638" s="41">
        <v>0</v>
      </c>
      <c r="AB638" s="41">
        <f t="shared" si="121"/>
        <v>0</v>
      </c>
      <c r="AC638" s="41">
        <f t="shared" si="130"/>
        <v>0</v>
      </c>
      <c r="AD638" s="41">
        <v>0</v>
      </c>
      <c r="AE638" s="41">
        <f t="shared" si="122"/>
        <v>0</v>
      </c>
      <c r="AF638" s="41">
        <v>0</v>
      </c>
      <c r="AG638" s="41">
        <f t="shared" si="123"/>
        <v>0</v>
      </c>
      <c r="AH638" s="41">
        <f t="shared" si="124"/>
        <v>0</v>
      </c>
      <c r="AI638" s="41">
        <v>0</v>
      </c>
      <c r="AJ638" s="41">
        <v>0</v>
      </c>
      <c r="AK638" s="41">
        <v>0</v>
      </c>
      <c r="AL638" s="41">
        <v>0</v>
      </c>
      <c r="AM638" s="41">
        <f t="shared" si="131"/>
        <v>36968569.5</v>
      </c>
      <c r="AN638" s="41">
        <f t="shared" si="125"/>
        <v>930</v>
      </c>
      <c r="AO638" s="41">
        <f t="shared" si="126"/>
        <v>930</v>
      </c>
      <c r="AP638" s="40"/>
      <c r="AQ638" s="36">
        <v>45245</v>
      </c>
      <c r="AR638" s="36"/>
      <c r="AS638" s="36"/>
      <c r="AT638" s="36">
        <v>45260</v>
      </c>
      <c r="AU638" s="36"/>
      <c r="AV638" s="38"/>
      <c r="AW638" s="40" t="s">
        <v>49</v>
      </c>
    </row>
    <row r="639" spans="1:49" s="34" customFormat="1" ht="48" customHeight="1" x14ac:dyDescent="0.3">
      <c r="A639" s="35" t="s">
        <v>3714</v>
      </c>
      <c r="B639" s="38">
        <v>45107</v>
      </c>
      <c r="C639" s="40">
        <v>1416</v>
      </c>
      <c r="D639" s="39" t="s">
        <v>3715</v>
      </c>
      <c r="E639" s="1" t="s">
        <v>3716</v>
      </c>
      <c r="F639" s="36">
        <v>45128</v>
      </c>
      <c r="G639" s="37" t="s">
        <v>3717</v>
      </c>
      <c r="H639" s="40" t="s">
        <v>224</v>
      </c>
      <c r="I639" s="40" t="s">
        <v>2781</v>
      </c>
      <c r="J639" s="57">
        <v>121578660.72</v>
      </c>
      <c r="K639" s="41">
        <v>121578660.72</v>
      </c>
      <c r="L639" s="30">
        <f t="shared" si="127"/>
        <v>121578660.72</v>
      </c>
      <c r="M639" s="30">
        <f t="shared" si="127"/>
        <v>121578660.72</v>
      </c>
      <c r="N639" s="40" t="s">
        <v>3718</v>
      </c>
      <c r="O639" s="40" t="s">
        <v>3719</v>
      </c>
      <c r="P639" s="40" t="s">
        <v>218</v>
      </c>
      <c r="Q639" s="44">
        <v>0</v>
      </c>
      <c r="R639" s="37">
        <v>100</v>
      </c>
      <c r="S639" s="37" t="s">
        <v>219</v>
      </c>
      <c r="T639" s="48">
        <v>5</v>
      </c>
      <c r="U639" s="30">
        <f>M639/W639</f>
        <v>18607.079999999998</v>
      </c>
      <c r="V639" s="41">
        <f t="shared" si="132"/>
        <v>93035.4</v>
      </c>
      <c r="W639" s="41">
        <f t="shared" si="129"/>
        <v>6534</v>
      </c>
      <c r="X639" s="41">
        <f t="shared" si="128"/>
        <v>6534</v>
      </c>
      <c r="Y639" s="41">
        <v>6534</v>
      </c>
      <c r="Z639" s="41">
        <f t="shared" si="120"/>
        <v>121578660.71999998</v>
      </c>
      <c r="AA639" s="41">
        <v>0</v>
      </c>
      <c r="AB639" s="41">
        <f t="shared" si="121"/>
        <v>0</v>
      </c>
      <c r="AC639" s="41">
        <f t="shared" si="130"/>
        <v>0</v>
      </c>
      <c r="AD639" s="41">
        <v>0</v>
      </c>
      <c r="AE639" s="41">
        <f t="shared" si="122"/>
        <v>0</v>
      </c>
      <c r="AF639" s="41">
        <v>0</v>
      </c>
      <c r="AG639" s="41">
        <f t="shared" si="123"/>
        <v>0</v>
      </c>
      <c r="AH639" s="41">
        <f t="shared" si="124"/>
        <v>0</v>
      </c>
      <c r="AI639" s="41">
        <v>0</v>
      </c>
      <c r="AJ639" s="41">
        <v>0</v>
      </c>
      <c r="AK639" s="41">
        <v>0</v>
      </c>
      <c r="AL639" s="41">
        <v>0</v>
      </c>
      <c r="AM639" s="41">
        <f t="shared" si="131"/>
        <v>121578660.71999998</v>
      </c>
      <c r="AN639" s="41">
        <f t="shared" si="125"/>
        <v>1306.8</v>
      </c>
      <c r="AO639" s="41">
        <f t="shared" si="126"/>
        <v>1307</v>
      </c>
      <c r="AP639" s="40"/>
      <c r="AQ639" s="36">
        <v>45261</v>
      </c>
      <c r="AR639" s="36"/>
      <c r="AS639" s="36"/>
      <c r="AT639" s="36">
        <v>45275</v>
      </c>
      <c r="AU639" s="36"/>
      <c r="AV639" s="38"/>
      <c r="AW639" s="40" t="s">
        <v>49</v>
      </c>
    </row>
    <row r="640" spans="1:49" s="34" customFormat="1" ht="48" customHeight="1" x14ac:dyDescent="0.3">
      <c r="A640" s="35" t="s">
        <v>3720</v>
      </c>
      <c r="B640" s="38">
        <v>45107</v>
      </c>
      <c r="C640" s="40" t="s">
        <v>2077</v>
      </c>
      <c r="D640" s="39" t="s">
        <v>459</v>
      </c>
      <c r="E640" s="1" t="s">
        <v>3721</v>
      </c>
      <c r="F640" s="36" t="s">
        <v>459</v>
      </c>
      <c r="G640" s="37" t="s">
        <v>459</v>
      </c>
      <c r="H640" s="40" t="s">
        <v>459</v>
      </c>
      <c r="I640" s="40" t="s">
        <v>2527</v>
      </c>
      <c r="J640" s="57">
        <v>12866.73</v>
      </c>
      <c r="K640" s="41">
        <v>0</v>
      </c>
      <c r="L640" s="30">
        <f t="shared" si="127"/>
        <v>0</v>
      </c>
      <c r="M640" s="30">
        <f t="shared" si="127"/>
        <v>0</v>
      </c>
      <c r="N640" s="40"/>
      <c r="O640" s="40"/>
      <c r="P640" s="40"/>
      <c r="Q640" s="44"/>
      <c r="R640" s="37"/>
      <c r="S640" s="37"/>
      <c r="T640" s="48"/>
      <c r="U640" s="30" t="e">
        <f>M640/W640</f>
        <v>#DIV/0!</v>
      </c>
      <c r="V640" s="41" t="e">
        <f t="shared" si="132"/>
        <v>#DIV/0!</v>
      </c>
      <c r="W640" s="41">
        <f t="shared" si="129"/>
        <v>0</v>
      </c>
      <c r="X640" s="41">
        <f t="shared" si="128"/>
        <v>0</v>
      </c>
      <c r="Y640" s="41">
        <v>0</v>
      </c>
      <c r="Z640" s="41" t="e">
        <f t="shared" si="120"/>
        <v>#DIV/0!</v>
      </c>
      <c r="AA640" s="41">
        <v>0</v>
      </c>
      <c r="AB640" s="41" t="e">
        <f t="shared" si="121"/>
        <v>#DIV/0!</v>
      </c>
      <c r="AC640" s="41">
        <f t="shared" si="130"/>
        <v>0</v>
      </c>
      <c r="AD640" s="41">
        <v>0</v>
      </c>
      <c r="AE640" s="41" t="e">
        <f t="shared" si="122"/>
        <v>#DIV/0!</v>
      </c>
      <c r="AF640" s="41">
        <v>0</v>
      </c>
      <c r="AG640" s="41" t="e">
        <f t="shared" si="123"/>
        <v>#DIV/0!</v>
      </c>
      <c r="AH640" s="41">
        <f t="shared" si="124"/>
        <v>0</v>
      </c>
      <c r="AI640" s="41">
        <v>0</v>
      </c>
      <c r="AJ640" s="41">
        <v>0</v>
      </c>
      <c r="AK640" s="41">
        <v>0</v>
      </c>
      <c r="AL640" s="41">
        <v>0</v>
      </c>
      <c r="AM640" s="41" t="e">
        <f t="shared" si="131"/>
        <v>#DIV/0!</v>
      </c>
      <c r="AN640" s="41" t="e">
        <f t="shared" si="125"/>
        <v>#DIV/0!</v>
      </c>
      <c r="AO640" s="41" t="e">
        <f t="shared" si="126"/>
        <v>#DIV/0!</v>
      </c>
      <c r="AP640" s="40"/>
      <c r="AQ640" s="36">
        <v>45153</v>
      </c>
      <c r="AR640" s="36"/>
      <c r="AS640" s="36"/>
      <c r="AT640" s="36"/>
      <c r="AU640" s="36"/>
      <c r="AV640" s="38"/>
      <c r="AW640" s="40"/>
    </row>
    <row r="641" spans="1:49" ht="48" customHeight="1" x14ac:dyDescent="0.3">
      <c r="A641" s="35" t="s">
        <v>3722</v>
      </c>
      <c r="B641" s="38">
        <v>45107</v>
      </c>
      <c r="C641" s="40">
        <v>1416</v>
      </c>
      <c r="D641" s="39"/>
      <c r="E641" s="1" t="s">
        <v>3723</v>
      </c>
      <c r="F641" s="36">
        <v>45135</v>
      </c>
      <c r="G641" s="37" t="s">
        <v>3724</v>
      </c>
      <c r="H641" s="40" t="s">
        <v>3725</v>
      </c>
      <c r="I641" s="40" t="s">
        <v>811</v>
      </c>
      <c r="J641" s="57">
        <v>755013540.39999998</v>
      </c>
      <c r="K641" s="41">
        <v>755013540.39999998</v>
      </c>
      <c r="L641" s="30">
        <f t="shared" si="127"/>
        <v>755013540.39999998</v>
      </c>
      <c r="M641" s="30">
        <f t="shared" si="127"/>
        <v>755013540.39999998</v>
      </c>
      <c r="N641" s="40" t="s">
        <v>812</v>
      </c>
      <c r="O641" s="40" t="s">
        <v>2811</v>
      </c>
      <c r="P641" s="40" t="s">
        <v>47</v>
      </c>
      <c r="Q641" s="44">
        <v>100</v>
      </c>
      <c r="R641" s="37">
        <v>0</v>
      </c>
      <c r="S641" s="37" t="s">
        <v>219</v>
      </c>
      <c r="T641" s="48">
        <v>30</v>
      </c>
      <c r="U641" s="30">
        <f>M641/W641</f>
        <v>9102.7999999999993</v>
      </c>
      <c r="V641" s="41">
        <f t="shared" si="132"/>
        <v>273084</v>
      </c>
      <c r="W641" s="41">
        <f t="shared" si="129"/>
        <v>82943</v>
      </c>
      <c r="X641" s="41">
        <f t="shared" si="128"/>
        <v>82943</v>
      </c>
      <c r="Y641" s="41">
        <v>82943</v>
      </c>
      <c r="Z641" s="41">
        <f t="shared" ref="Z641:Z704" si="133">Y641*U641</f>
        <v>755013540.39999998</v>
      </c>
      <c r="AA641" s="41">
        <v>0</v>
      </c>
      <c r="AB641" s="41">
        <f t="shared" ref="AB641:AB704" si="134">AA641*U641</f>
        <v>0</v>
      </c>
      <c r="AC641" s="41">
        <f t="shared" si="130"/>
        <v>0</v>
      </c>
      <c r="AD641" s="41">
        <v>0</v>
      </c>
      <c r="AE641" s="41">
        <f t="shared" ref="AE641:AE704" si="135">AD641*U641</f>
        <v>0</v>
      </c>
      <c r="AF641" s="41">
        <v>0</v>
      </c>
      <c r="AG641" s="41">
        <f t="shared" ref="AG641:AG704" si="136">AF641*U641</f>
        <v>0</v>
      </c>
      <c r="AH641" s="41">
        <f t="shared" ref="AH641:AH704" si="137">AI641+AK641</f>
        <v>0</v>
      </c>
      <c r="AI641" s="41">
        <v>0</v>
      </c>
      <c r="AJ641" s="41">
        <v>0</v>
      </c>
      <c r="AK641" s="41">
        <v>0</v>
      </c>
      <c r="AL641" s="41">
        <v>0</v>
      </c>
      <c r="AM641" s="41">
        <f t="shared" si="131"/>
        <v>755013540.39999998</v>
      </c>
      <c r="AN641" s="41">
        <f t="shared" ref="AN641:AN704" si="138">W641/T641</f>
        <v>2764.7666666666669</v>
      </c>
      <c r="AO641" s="41">
        <f t="shared" ref="AO641:AO704" si="139">_xlfn.CEILING.MATH(AN641)</f>
        <v>2765</v>
      </c>
      <c r="AP641" s="40"/>
      <c r="AQ641" s="36">
        <v>45245</v>
      </c>
      <c r="AR641" s="36"/>
      <c r="AS641" s="36"/>
      <c r="AT641" s="36">
        <v>45260</v>
      </c>
      <c r="AU641" s="36"/>
      <c r="AV641" s="38"/>
      <c r="AW641" s="40" t="s">
        <v>49</v>
      </c>
    </row>
    <row r="642" spans="1:49" ht="48" customHeight="1" x14ac:dyDescent="0.3">
      <c r="A642" s="35" t="s">
        <v>3726</v>
      </c>
      <c r="B642" s="38">
        <v>45107</v>
      </c>
      <c r="C642" s="40">
        <v>1416</v>
      </c>
      <c r="D642" s="39"/>
      <c r="E642" s="1" t="s">
        <v>3727</v>
      </c>
      <c r="F642" s="36">
        <v>45135</v>
      </c>
      <c r="G642" s="37" t="s">
        <v>3728</v>
      </c>
      <c r="H642" s="40" t="s">
        <v>186</v>
      </c>
      <c r="I642" s="40" t="s">
        <v>409</v>
      </c>
      <c r="J642" s="57">
        <v>431271120</v>
      </c>
      <c r="K642" s="41">
        <v>431271120</v>
      </c>
      <c r="L642" s="30">
        <f t="shared" si="127"/>
        <v>431271120</v>
      </c>
      <c r="M642" s="30">
        <f t="shared" si="127"/>
        <v>431271120</v>
      </c>
      <c r="N642" s="40" t="s">
        <v>3729</v>
      </c>
      <c r="O642" s="40" t="s">
        <v>3730</v>
      </c>
      <c r="P642" s="40" t="s">
        <v>543</v>
      </c>
      <c r="Q642" s="44">
        <v>0</v>
      </c>
      <c r="R642" s="37">
        <v>100</v>
      </c>
      <c r="S642" s="37" t="s">
        <v>229</v>
      </c>
      <c r="T642" s="48">
        <v>1000</v>
      </c>
      <c r="U642" s="30">
        <f>M642/W642</f>
        <v>12.39</v>
      </c>
      <c r="V642" s="41">
        <f t="shared" si="132"/>
        <v>12390</v>
      </c>
      <c r="W642" s="41">
        <f t="shared" si="129"/>
        <v>34808000</v>
      </c>
      <c r="X642" s="41">
        <f t="shared" si="128"/>
        <v>34808000</v>
      </c>
      <c r="Y642" s="41">
        <v>34808000</v>
      </c>
      <c r="Z642" s="41">
        <f t="shared" si="133"/>
        <v>431271120</v>
      </c>
      <c r="AA642" s="41">
        <v>0</v>
      </c>
      <c r="AB642" s="41">
        <f t="shared" si="134"/>
        <v>0</v>
      </c>
      <c r="AC642" s="41">
        <f t="shared" si="130"/>
        <v>0</v>
      </c>
      <c r="AD642" s="41">
        <v>0</v>
      </c>
      <c r="AE642" s="41">
        <f t="shared" si="135"/>
        <v>0</v>
      </c>
      <c r="AF642" s="41">
        <v>0</v>
      </c>
      <c r="AG642" s="41">
        <f t="shared" si="136"/>
        <v>0</v>
      </c>
      <c r="AH642" s="41">
        <f t="shared" si="137"/>
        <v>0</v>
      </c>
      <c r="AI642" s="41">
        <v>0</v>
      </c>
      <c r="AJ642" s="41">
        <v>0</v>
      </c>
      <c r="AK642" s="41">
        <v>0</v>
      </c>
      <c r="AL642" s="41">
        <v>0</v>
      </c>
      <c r="AM642" s="41">
        <f t="shared" si="131"/>
        <v>431271120</v>
      </c>
      <c r="AN642" s="41">
        <f t="shared" si="138"/>
        <v>34808</v>
      </c>
      <c r="AO642" s="41">
        <f t="shared" si="139"/>
        <v>34808</v>
      </c>
      <c r="AP642" s="40"/>
      <c r="AQ642" s="36">
        <v>45275</v>
      </c>
      <c r="AR642" s="36"/>
      <c r="AS642" s="36"/>
      <c r="AT642" s="36">
        <v>45285</v>
      </c>
      <c r="AU642" s="36"/>
      <c r="AV642" s="38"/>
      <c r="AW642" s="40" t="s">
        <v>49</v>
      </c>
    </row>
    <row r="643" spans="1:49" ht="48" customHeight="1" x14ac:dyDescent="0.3">
      <c r="A643" s="35" t="s">
        <v>3731</v>
      </c>
      <c r="B643" s="38">
        <v>45107</v>
      </c>
      <c r="C643" s="40">
        <v>1416</v>
      </c>
      <c r="D643" s="39"/>
      <c r="E643" s="1" t="s">
        <v>3732</v>
      </c>
      <c r="F643" s="36">
        <v>45133</v>
      </c>
      <c r="G643" s="37" t="s">
        <v>3733</v>
      </c>
      <c r="H643" s="40" t="s">
        <v>186</v>
      </c>
      <c r="I643" s="40" t="s">
        <v>418</v>
      </c>
      <c r="J643" s="57">
        <v>55478680</v>
      </c>
      <c r="K643" s="41">
        <v>55478680</v>
      </c>
      <c r="L643" s="30">
        <f t="shared" si="127"/>
        <v>55478680</v>
      </c>
      <c r="M643" s="30">
        <f t="shared" si="127"/>
        <v>55478680</v>
      </c>
      <c r="N643" s="40" t="s">
        <v>419</v>
      </c>
      <c r="O643" s="40" t="s">
        <v>420</v>
      </c>
      <c r="P643" s="40" t="s">
        <v>263</v>
      </c>
      <c r="Q643" s="44">
        <v>0</v>
      </c>
      <c r="R643" s="37">
        <v>100</v>
      </c>
      <c r="S643" s="37" t="s">
        <v>229</v>
      </c>
      <c r="T643" s="48">
        <v>500</v>
      </c>
      <c r="U643" s="30">
        <f>M643/W643</f>
        <v>13.04</v>
      </c>
      <c r="V643" s="41">
        <f t="shared" si="132"/>
        <v>6520</v>
      </c>
      <c r="W643" s="41">
        <f t="shared" si="129"/>
        <v>4254500</v>
      </c>
      <c r="X643" s="41">
        <f t="shared" si="128"/>
        <v>4254500</v>
      </c>
      <c r="Y643" s="41">
        <v>4254500</v>
      </c>
      <c r="Z643" s="41">
        <f t="shared" si="133"/>
        <v>55478680</v>
      </c>
      <c r="AA643" s="41">
        <v>0</v>
      </c>
      <c r="AB643" s="41">
        <f t="shared" si="134"/>
        <v>0</v>
      </c>
      <c r="AC643" s="41">
        <f t="shared" si="130"/>
        <v>0</v>
      </c>
      <c r="AD643" s="41">
        <v>0</v>
      </c>
      <c r="AE643" s="41">
        <f t="shared" si="135"/>
        <v>0</v>
      </c>
      <c r="AF643" s="41">
        <v>0</v>
      </c>
      <c r="AG643" s="41">
        <f t="shared" si="136"/>
        <v>0</v>
      </c>
      <c r="AH643" s="41">
        <f t="shared" si="137"/>
        <v>0</v>
      </c>
      <c r="AI643" s="41">
        <v>0</v>
      </c>
      <c r="AJ643" s="41">
        <v>0</v>
      </c>
      <c r="AK643" s="41">
        <v>0</v>
      </c>
      <c r="AL643" s="41">
        <v>0</v>
      </c>
      <c r="AM643" s="41">
        <f t="shared" si="131"/>
        <v>55478680</v>
      </c>
      <c r="AN643" s="41">
        <f t="shared" si="138"/>
        <v>8509</v>
      </c>
      <c r="AO643" s="41">
        <f t="shared" si="139"/>
        <v>8509</v>
      </c>
      <c r="AP643" s="40"/>
      <c r="AQ643" s="36">
        <v>45275</v>
      </c>
      <c r="AR643" s="36"/>
      <c r="AS643" s="36"/>
      <c r="AT643" s="36">
        <v>45285</v>
      </c>
      <c r="AU643" s="36"/>
      <c r="AV643" s="38"/>
      <c r="AW643" s="40" t="s">
        <v>49</v>
      </c>
    </row>
    <row r="644" spans="1:49" ht="48" customHeight="1" x14ac:dyDescent="0.3">
      <c r="A644" s="35" t="s">
        <v>3734</v>
      </c>
      <c r="B644" s="38">
        <v>45107</v>
      </c>
      <c r="C644" s="40">
        <v>1416</v>
      </c>
      <c r="D644" s="39"/>
      <c r="E644" s="1" t="s">
        <v>3735</v>
      </c>
      <c r="F644" s="36">
        <v>45133</v>
      </c>
      <c r="G644" s="37" t="s">
        <v>3736</v>
      </c>
      <c r="H644" s="40" t="s">
        <v>387</v>
      </c>
      <c r="I644" s="40" t="s">
        <v>3555</v>
      </c>
      <c r="J644" s="57">
        <v>12559361.49</v>
      </c>
      <c r="K644" s="41">
        <v>12559340.58</v>
      </c>
      <c r="L644" s="30">
        <f t="shared" si="127"/>
        <v>12559340.58</v>
      </c>
      <c r="M644" s="30">
        <f t="shared" si="127"/>
        <v>12559340.58</v>
      </c>
      <c r="N644" s="40" t="s">
        <v>442</v>
      </c>
      <c r="O644" s="40" t="s">
        <v>3737</v>
      </c>
      <c r="P644" s="40" t="s">
        <v>47</v>
      </c>
      <c r="Q644" s="44">
        <v>100</v>
      </c>
      <c r="R644" s="37">
        <v>0</v>
      </c>
      <c r="S644" s="37" t="s">
        <v>219</v>
      </c>
      <c r="T644" s="67">
        <v>1.5</v>
      </c>
      <c r="U644" s="30">
        <f>M644/W644</f>
        <v>6006.38</v>
      </c>
      <c r="V644" s="41">
        <f t="shared" si="132"/>
        <v>9009.57</v>
      </c>
      <c r="W644" s="41">
        <f t="shared" si="129"/>
        <v>2091</v>
      </c>
      <c r="X644" s="41">
        <f t="shared" si="128"/>
        <v>2091</v>
      </c>
      <c r="Y644" s="41">
        <v>2091</v>
      </c>
      <c r="Z644" s="41">
        <f t="shared" si="133"/>
        <v>12559340.58</v>
      </c>
      <c r="AA644" s="41">
        <v>0</v>
      </c>
      <c r="AB644" s="41">
        <f t="shared" si="134"/>
        <v>0</v>
      </c>
      <c r="AC644" s="41">
        <f t="shared" si="130"/>
        <v>0</v>
      </c>
      <c r="AD644" s="41">
        <v>0</v>
      </c>
      <c r="AE644" s="41">
        <f t="shared" si="135"/>
        <v>0</v>
      </c>
      <c r="AF644" s="41">
        <v>0</v>
      </c>
      <c r="AG644" s="41">
        <f t="shared" si="136"/>
        <v>0</v>
      </c>
      <c r="AH644" s="41">
        <f t="shared" si="137"/>
        <v>0</v>
      </c>
      <c r="AI644" s="41">
        <v>0</v>
      </c>
      <c r="AJ644" s="41">
        <v>0</v>
      </c>
      <c r="AK644" s="41">
        <v>0</v>
      </c>
      <c r="AL644" s="41">
        <v>0</v>
      </c>
      <c r="AM644" s="41">
        <f t="shared" si="131"/>
        <v>12559340.58</v>
      </c>
      <c r="AN644" s="41">
        <f t="shared" si="138"/>
        <v>1394</v>
      </c>
      <c r="AO644" s="41">
        <f t="shared" si="139"/>
        <v>1394</v>
      </c>
      <c r="AP644" s="40"/>
      <c r="AQ644" s="36">
        <v>45214</v>
      </c>
      <c r="AR644" s="36"/>
      <c r="AS644" s="36"/>
      <c r="AT644" s="36">
        <v>45229</v>
      </c>
      <c r="AU644" s="36"/>
      <c r="AV644" s="38"/>
      <c r="AW644" s="40" t="s">
        <v>49</v>
      </c>
    </row>
    <row r="645" spans="1:49" ht="48" customHeight="1" x14ac:dyDescent="0.3">
      <c r="A645" s="35" t="s">
        <v>3738</v>
      </c>
      <c r="B645" s="38">
        <v>45107</v>
      </c>
      <c r="C645" s="40" t="s">
        <v>2077</v>
      </c>
      <c r="D645" s="39" t="s">
        <v>3739</v>
      </c>
      <c r="E645" s="1" t="s">
        <v>3740</v>
      </c>
      <c r="F645" s="36">
        <v>45131</v>
      </c>
      <c r="G645" s="37" t="s">
        <v>3741</v>
      </c>
      <c r="H645" s="40" t="s">
        <v>186</v>
      </c>
      <c r="I645" s="40" t="s">
        <v>2483</v>
      </c>
      <c r="J645" s="57">
        <v>39632846.82</v>
      </c>
      <c r="K645" s="41">
        <v>39632846.82</v>
      </c>
      <c r="L645" s="30">
        <f t="shared" si="127"/>
        <v>39632846.82</v>
      </c>
      <c r="M645" s="30">
        <f t="shared" si="127"/>
        <v>39632846.82</v>
      </c>
      <c r="N645" s="40" t="s">
        <v>2484</v>
      </c>
      <c r="O645" s="40" t="s">
        <v>2485</v>
      </c>
      <c r="P645" s="40" t="s">
        <v>47</v>
      </c>
      <c r="Q645" s="44">
        <v>100</v>
      </c>
      <c r="R645" s="37">
        <v>0</v>
      </c>
      <c r="S645" s="37" t="s">
        <v>1964</v>
      </c>
      <c r="T645" s="48">
        <v>188</v>
      </c>
      <c r="U645" s="30">
        <f>M645/W645</f>
        <v>574.54999998187895</v>
      </c>
      <c r="V645" s="41">
        <f t="shared" si="132"/>
        <v>108015.39999659325</v>
      </c>
      <c r="W645" s="41">
        <f t="shared" si="129"/>
        <v>68980.675000000003</v>
      </c>
      <c r="X645" s="47">
        <v>68980.675000000003</v>
      </c>
      <c r="Y645" s="41">
        <v>0</v>
      </c>
      <c r="Z645" s="41">
        <f t="shared" si="133"/>
        <v>0</v>
      </c>
      <c r="AA645" s="41">
        <v>0</v>
      </c>
      <c r="AB645" s="41">
        <f t="shared" si="134"/>
        <v>0</v>
      </c>
      <c r="AC645" s="41">
        <f t="shared" si="130"/>
        <v>0</v>
      </c>
      <c r="AD645" s="41">
        <v>0</v>
      </c>
      <c r="AE645" s="41">
        <f t="shared" si="135"/>
        <v>0</v>
      </c>
      <c r="AF645" s="41">
        <v>0</v>
      </c>
      <c r="AG645" s="41">
        <f t="shared" si="136"/>
        <v>0</v>
      </c>
      <c r="AH645" s="41">
        <f t="shared" si="137"/>
        <v>0</v>
      </c>
      <c r="AI645" s="41">
        <v>0</v>
      </c>
      <c r="AJ645" s="41">
        <v>0</v>
      </c>
      <c r="AK645" s="41">
        <v>0</v>
      </c>
      <c r="AL645" s="41">
        <v>0</v>
      </c>
      <c r="AM645" s="41">
        <f t="shared" si="131"/>
        <v>0</v>
      </c>
      <c r="AN645" s="41">
        <f t="shared" si="138"/>
        <v>366.91848404255319</v>
      </c>
      <c r="AO645" s="41">
        <f t="shared" si="139"/>
        <v>367</v>
      </c>
      <c r="AP645" s="40"/>
      <c r="AQ645" s="36">
        <v>45153</v>
      </c>
      <c r="AR645" s="36"/>
      <c r="AS645" s="36"/>
      <c r="AT645" s="36">
        <v>45168</v>
      </c>
      <c r="AU645" s="36"/>
      <c r="AV645" s="38"/>
      <c r="AW645" s="40" t="s">
        <v>49</v>
      </c>
    </row>
    <row r="646" spans="1:49" ht="48" customHeight="1" x14ac:dyDescent="0.3">
      <c r="A646" s="35" t="s">
        <v>3742</v>
      </c>
      <c r="B646" s="38">
        <v>45107</v>
      </c>
      <c r="C646" s="40" t="s">
        <v>162</v>
      </c>
      <c r="D646" s="39"/>
      <c r="E646" s="1" t="s">
        <v>3743</v>
      </c>
      <c r="F646" s="36">
        <v>45135</v>
      </c>
      <c r="G646" s="37" t="s">
        <v>3744</v>
      </c>
      <c r="H646" s="40" t="s">
        <v>3745</v>
      </c>
      <c r="I646" s="40" t="s">
        <v>3448</v>
      </c>
      <c r="J646" s="57">
        <v>507946840.94</v>
      </c>
      <c r="K646" s="41">
        <v>507946840.94</v>
      </c>
      <c r="L646" s="30">
        <f t="shared" si="127"/>
        <v>507946840.94</v>
      </c>
      <c r="M646" s="30">
        <f t="shared" si="127"/>
        <v>507946840.94</v>
      </c>
      <c r="N646" s="40" t="s">
        <v>168</v>
      </c>
      <c r="O646" s="40" t="s">
        <v>3449</v>
      </c>
      <c r="P646" s="40" t="s">
        <v>47</v>
      </c>
      <c r="Q646" s="44">
        <v>100</v>
      </c>
      <c r="R646" s="37">
        <v>0</v>
      </c>
      <c r="S646" s="37" t="s">
        <v>1964</v>
      </c>
      <c r="T646" s="48">
        <v>30</v>
      </c>
      <c r="U646" s="30">
        <f>M646/W646</f>
        <v>204.82</v>
      </c>
      <c r="V646" s="41">
        <f t="shared" si="132"/>
        <v>6144.5999999999995</v>
      </c>
      <c r="W646" s="41">
        <f t="shared" si="129"/>
        <v>2479967</v>
      </c>
      <c r="X646" s="41">
        <v>2479967</v>
      </c>
      <c r="Y646" s="41">
        <v>0</v>
      </c>
      <c r="Z646" s="41">
        <f t="shared" si="133"/>
        <v>0</v>
      </c>
      <c r="AA646" s="41">
        <v>0</v>
      </c>
      <c r="AB646" s="41">
        <f t="shared" si="134"/>
        <v>0</v>
      </c>
      <c r="AC646" s="41">
        <f t="shared" si="130"/>
        <v>0</v>
      </c>
      <c r="AD646" s="41">
        <v>0</v>
      </c>
      <c r="AE646" s="41">
        <f t="shared" si="135"/>
        <v>0</v>
      </c>
      <c r="AF646" s="41">
        <v>0</v>
      </c>
      <c r="AG646" s="41">
        <f t="shared" si="136"/>
        <v>0</v>
      </c>
      <c r="AH646" s="41">
        <f t="shared" si="137"/>
        <v>0</v>
      </c>
      <c r="AI646" s="41">
        <v>0</v>
      </c>
      <c r="AJ646" s="41">
        <v>0</v>
      </c>
      <c r="AK646" s="41">
        <v>0</v>
      </c>
      <c r="AL646" s="41">
        <v>0</v>
      </c>
      <c r="AM646" s="41">
        <f t="shared" si="131"/>
        <v>0</v>
      </c>
      <c r="AN646" s="41">
        <f t="shared" si="138"/>
        <v>82665.566666666666</v>
      </c>
      <c r="AO646" s="41">
        <f t="shared" si="139"/>
        <v>82666</v>
      </c>
      <c r="AP646" s="40"/>
      <c r="AQ646" s="36">
        <v>45170</v>
      </c>
      <c r="AR646" s="36"/>
      <c r="AS646" s="36"/>
      <c r="AT646" s="36">
        <v>45122</v>
      </c>
      <c r="AU646" s="36"/>
      <c r="AV646" s="38"/>
      <c r="AW646" s="40" t="s">
        <v>49</v>
      </c>
    </row>
    <row r="647" spans="1:49" ht="48" customHeight="1" x14ac:dyDescent="0.3">
      <c r="A647" s="35" t="s">
        <v>3746</v>
      </c>
      <c r="B647" s="38">
        <v>45107</v>
      </c>
      <c r="C647" s="40">
        <v>1416</v>
      </c>
      <c r="D647" s="39"/>
      <c r="E647" s="1" t="s">
        <v>3747</v>
      </c>
      <c r="F647" s="36">
        <v>45135</v>
      </c>
      <c r="G647" s="37" t="s">
        <v>3748</v>
      </c>
      <c r="H647" s="40" t="s">
        <v>353</v>
      </c>
      <c r="I647" s="40" t="s">
        <v>3749</v>
      </c>
      <c r="J647" s="57">
        <v>335766220.01999998</v>
      </c>
      <c r="K647" s="41">
        <v>335766220.01999998</v>
      </c>
      <c r="L647" s="30">
        <f t="shared" si="127"/>
        <v>335766220.01999998</v>
      </c>
      <c r="M647" s="30">
        <f t="shared" si="127"/>
        <v>335766220.01999998</v>
      </c>
      <c r="N647" s="40" t="s">
        <v>355</v>
      </c>
      <c r="O647" s="40" t="s">
        <v>356</v>
      </c>
      <c r="P647" s="40" t="s">
        <v>357</v>
      </c>
      <c r="Q647" s="44">
        <v>0</v>
      </c>
      <c r="R647" s="37">
        <v>100</v>
      </c>
      <c r="S647" s="37" t="s">
        <v>219</v>
      </c>
      <c r="T647" s="67">
        <v>0.7</v>
      </c>
      <c r="U647" s="30">
        <f>M647/W647</f>
        <v>263842.7</v>
      </c>
      <c r="V647" s="41">
        <f t="shared" si="132"/>
        <v>184689.88999999998</v>
      </c>
      <c r="W647" s="41">
        <f t="shared" si="129"/>
        <v>1272.5999999999999</v>
      </c>
      <c r="X647" s="41">
        <f t="shared" si="128"/>
        <v>1272.5999999999999</v>
      </c>
      <c r="Y647" s="41">
        <v>1272.5999999999999</v>
      </c>
      <c r="Z647" s="41">
        <f t="shared" si="133"/>
        <v>335766220.01999998</v>
      </c>
      <c r="AA647" s="41">
        <v>0</v>
      </c>
      <c r="AB647" s="41">
        <f t="shared" si="134"/>
        <v>0</v>
      </c>
      <c r="AC647" s="41">
        <f t="shared" si="130"/>
        <v>0</v>
      </c>
      <c r="AD647" s="41">
        <v>0</v>
      </c>
      <c r="AE647" s="41">
        <f t="shared" si="135"/>
        <v>0</v>
      </c>
      <c r="AF647" s="41">
        <v>0</v>
      </c>
      <c r="AG647" s="41">
        <f t="shared" si="136"/>
        <v>0</v>
      </c>
      <c r="AH647" s="41">
        <f t="shared" si="137"/>
        <v>0</v>
      </c>
      <c r="AI647" s="41">
        <v>0</v>
      </c>
      <c r="AJ647" s="41">
        <v>0</v>
      </c>
      <c r="AK647" s="41">
        <v>0</v>
      </c>
      <c r="AL647" s="41">
        <v>0</v>
      </c>
      <c r="AM647" s="41">
        <f t="shared" si="131"/>
        <v>335766220.01999998</v>
      </c>
      <c r="AN647" s="41">
        <f t="shared" si="138"/>
        <v>1818</v>
      </c>
      <c r="AO647" s="41">
        <f t="shared" si="139"/>
        <v>1818</v>
      </c>
      <c r="AP647" s="40"/>
      <c r="AQ647" s="36">
        <v>45184</v>
      </c>
      <c r="AR647" s="36"/>
      <c r="AS647" s="36"/>
      <c r="AT647" s="36">
        <v>45199</v>
      </c>
      <c r="AU647" s="36"/>
      <c r="AV647" s="38"/>
      <c r="AW647" s="40" t="s">
        <v>49</v>
      </c>
    </row>
    <row r="648" spans="1:49" ht="48" customHeight="1" x14ac:dyDescent="0.3">
      <c r="A648" s="35" t="s">
        <v>3750</v>
      </c>
      <c r="B648" s="38">
        <v>45107</v>
      </c>
      <c r="C648" s="40" t="s">
        <v>162</v>
      </c>
      <c r="D648" s="39"/>
      <c r="E648" s="1" t="s">
        <v>3751</v>
      </c>
      <c r="F648" s="36">
        <v>45131</v>
      </c>
      <c r="G648" s="37" t="s">
        <v>3752</v>
      </c>
      <c r="H648" s="40" t="s">
        <v>571</v>
      </c>
      <c r="I648" s="40" t="s">
        <v>3422</v>
      </c>
      <c r="J648" s="57">
        <v>806708.58</v>
      </c>
      <c r="K648" s="41">
        <v>806708.58</v>
      </c>
      <c r="L648" s="30">
        <f t="shared" si="127"/>
        <v>806708.58</v>
      </c>
      <c r="M648" s="30">
        <f t="shared" si="127"/>
        <v>806708.58</v>
      </c>
      <c r="N648" s="40" t="s">
        <v>2240</v>
      </c>
      <c r="O648" s="40" t="s">
        <v>2241</v>
      </c>
      <c r="P648" s="40" t="s">
        <v>47</v>
      </c>
      <c r="Q648" s="44">
        <v>100</v>
      </c>
      <c r="R648" s="37">
        <v>0</v>
      </c>
      <c r="S648" s="37" t="s">
        <v>1964</v>
      </c>
      <c r="T648" s="48">
        <v>60</v>
      </c>
      <c r="U648" s="30">
        <f>M648/W648</f>
        <v>95.82</v>
      </c>
      <c r="V648" s="41">
        <f t="shared" si="132"/>
        <v>5749.2</v>
      </c>
      <c r="W648" s="41">
        <f t="shared" si="129"/>
        <v>8419</v>
      </c>
      <c r="X648" s="41">
        <v>8419</v>
      </c>
      <c r="Y648" s="41">
        <v>0</v>
      </c>
      <c r="Z648" s="41">
        <f t="shared" si="133"/>
        <v>0</v>
      </c>
      <c r="AA648" s="41">
        <v>0</v>
      </c>
      <c r="AB648" s="41">
        <f t="shared" si="134"/>
        <v>0</v>
      </c>
      <c r="AC648" s="41">
        <f t="shared" si="130"/>
        <v>0</v>
      </c>
      <c r="AD648" s="41">
        <v>0</v>
      </c>
      <c r="AE648" s="41">
        <f t="shared" si="135"/>
        <v>0</v>
      </c>
      <c r="AF648" s="41">
        <v>0</v>
      </c>
      <c r="AG648" s="41">
        <f t="shared" si="136"/>
        <v>0</v>
      </c>
      <c r="AH648" s="41">
        <f t="shared" si="137"/>
        <v>0</v>
      </c>
      <c r="AI648" s="41">
        <v>0</v>
      </c>
      <c r="AJ648" s="41">
        <v>0</v>
      </c>
      <c r="AK648" s="41">
        <v>0</v>
      </c>
      <c r="AL648" s="41">
        <v>0</v>
      </c>
      <c r="AM648" s="41">
        <f t="shared" si="131"/>
        <v>0</v>
      </c>
      <c r="AN648" s="41">
        <f t="shared" si="138"/>
        <v>140.31666666666666</v>
      </c>
      <c r="AO648" s="41">
        <f t="shared" si="139"/>
        <v>141</v>
      </c>
      <c r="AP648" s="40"/>
      <c r="AQ648" s="36">
        <v>45170</v>
      </c>
      <c r="AR648" s="36"/>
      <c r="AS648" s="36"/>
      <c r="AT648" s="36">
        <v>45184</v>
      </c>
      <c r="AU648" s="36"/>
      <c r="AV648" s="38"/>
      <c r="AW648" s="40" t="s">
        <v>49</v>
      </c>
    </row>
    <row r="649" spans="1:49" ht="48" customHeight="1" x14ac:dyDescent="0.3">
      <c r="A649" s="35" t="s">
        <v>3753</v>
      </c>
      <c r="B649" s="38">
        <v>45107</v>
      </c>
      <c r="C649" s="40">
        <v>545</v>
      </c>
      <c r="D649" s="39" t="s">
        <v>459</v>
      </c>
      <c r="E649" s="1" t="s">
        <v>3754</v>
      </c>
      <c r="F649" s="36" t="s">
        <v>459</v>
      </c>
      <c r="G649" s="37" t="s">
        <v>459</v>
      </c>
      <c r="H649" s="40" t="s">
        <v>459</v>
      </c>
      <c r="I649" s="40" t="s">
        <v>2554</v>
      </c>
      <c r="J649" s="57">
        <v>1383782.3999999999</v>
      </c>
      <c r="K649" s="41">
        <v>0</v>
      </c>
      <c r="L649" s="30">
        <f t="shared" si="127"/>
        <v>0</v>
      </c>
      <c r="M649" s="30">
        <f t="shared" si="127"/>
        <v>0</v>
      </c>
      <c r="N649" s="40"/>
      <c r="O649" s="40"/>
      <c r="P649" s="40"/>
      <c r="Q649" s="44"/>
      <c r="R649" s="37"/>
      <c r="S649" s="37"/>
      <c r="T649" s="48"/>
      <c r="U649" s="30" t="e">
        <f>M649/W649</f>
        <v>#DIV/0!</v>
      </c>
      <c r="V649" s="41" t="e">
        <f t="shared" si="132"/>
        <v>#DIV/0!</v>
      </c>
      <c r="W649" s="41">
        <f t="shared" si="129"/>
        <v>0</v>
      </c>
      <c r="X649" s="41">
        <f>Y649+AA649</f>
        <v>0</v>
      </c>
      <c r="Y649" s="41">
        <v>0</v>
      </c>
      <c r="Z649" s="41" t="e">
        <f t="shared" si="133"/>
        <v>#DIV/0!</v>
      </c>
      <c r="AA649" s="41">
        <v>0</v>
      </c>
      <c r="AB649" s="41" t="e">
        <f t="shared" si="134"/>
        <v>#DIV/0!</v>
      </c>
      <c r="AC649" s="41">
        <f t="shared" si="130"/>
        <v>0</v>
      </c>
      <c r="AD649" s="41">
        <v>0</v>
      </c>
      <c r="AE649" s="41" t="e">
        <f t="shared" si="135"/>
        <v>#DIV/0!</v>
      </c>
      <c r="AF649" s="41">
        <v>0</v>
      </c>
      <c r="AG649" s="41" t="e">
        <f t="shared" si="136"/>
        <v>#DIV/0!</v>
      </c>
      <c r="AH649" s="41">
        <f t="shared" si="137"/>
        <v>0</v>
      </c>
      <c r="AI649" s="41">
        <v>0</v>
      </c>
      <c r="AJ649" s="41">
        <v>0</v>
      </c>
      <c r="AK649" s="41">
        <v>0</v>
      </c>
      <c r="AL649" s="41">
        <v>0</v>
      </c>
      <c r="AM649" s="41" t="e">
        <f t="shared" si="131"/>
        <v>#DIV/0!</v>
      </c>
      <c r="AN649" s="41" t="e">
        <f t="shared" si="138"/>
        <v>#DIV/0!</v>
      </c>
      <c r="AO649" s="41" t="e">
        <f t="shared" si="139"/>
        <v>#DIV/0!</v>
      </c>
      <c r="AP649" s="40"/>
      <c r="AQ649" s="36">
        <v>45153</v>
      </c>
      <c r="AR649" s="36"/>
      <c r="AS649" s="36"/>
      <c r="AT649" s="36"/>
      <c r="AU649" s="36"/>
      <c r="AV649" s="38"/>
      <c r="AW649" s="40"/>
    </row>
    <row r="650" spans="1:49" ht="48" customHeight="1" x14ac:dyDescent="0.3">
      <c r="A650" s="35" t="s">
        <v>3755</v>
      </c>
      <c r="B650" s="38">
        <v>45107</v>
      </c>
      <c r="C650" s="40" t="s">
        <v>162</v>
      </c>
      <c r="D650" s="39"/>
      <c r="E650" s="1" t="s">
        <v>3756</v>
      </c>
      <c r="F650" s="36">
        <v>45131</v>
      </c>
      <c r="G650" s="37" t="s">
        <v>3757</v>
      </c>
      <c r="H650" s="40" t="s">
        <v>555</v>
      </c>
      <c r="I650" s="40" t="s">
        <v>1250</v>
      </c>
      <c r="J650" s="57">
        <v>21105</v>
      </c>
      <c r="K650" s="41">
        <v>16533</v>
      </c>
      <c r="L650" s="30">
        <f t="shared" si="127"/>
        <v>16533</v>
      </c>
      <c r="M650" s="30">
        <f t="shared" si="127"/>
        <v>16533</v>
      </c>
      <c r="N650" s="40" t="s">
        <v>2620</v>
      </c>
      <c r="O650" s="40" t="s">
        <v>3758</v>
      </c>
      <c r="P650" s="40" t="s">
        <v>2622</v>
      </c>
      <c r="Q650" s="44">
        <v>0</v>
      </c>
      <c r="R650" s="37">
        <v>100</v>
      </c>
      <c r="S650" s="37" t="s">
        <v>219</v>
      </c>
      <c r="T650" s="48">
        <v>100</v>
      </c>
      <c r="U650" s="30">
        <f>M650/W650</f>
        <v>18.37</v>
      </c>
      <c r="V650" s="41">
        <f t="shared" si="132"/>
        <v>1837</v>
      </c>
      <c r="W650" s="41">
        <f t="shared" si="129"/>
        <v>900</v>
      </c>
      <c r="X650" s="41">
        <v>900</v>
      </c>
      <c r="Y650" s="41">
        <v>0</v>
      </c>
      <c r="Z650" s="41">
        <f t="shared" si="133"/>
        <v>0</v>
      </c>
      <c r="AA650" s="41">
        <v>0</v>
      </c>
      <c r="AB650" s="41">
        <f t="shared" si="134"/>
        <v>0</v>
      </c>
      <c r="AC650" s="41">
        <f t="shared" si="130"/>
        <v>0</v>
      </c>
      <c r="AD650" s="41">
        <v>0</v>
      </c>
      <c r="AE650" s="41">
        <f t="shared" si="135"/>
        <v>0</v>
      </c>
      <c r="AF650" s="41">
        <v>0</v>
      </c>
      <c r="AG650" s="41">
        <f t="shared" si="136"/>
        <v>0</v>
      </c>
      <c r="AH650" s="41">
        <f t="shared" si="137"/>
        <v>0</v>
      </c>
      <c r="AI650" s="41">
        <v>0</v>
      </c>
      <c r="AJ650" s="41">
        <v>0</v>
      </c>
      <c r="AK650" s="41">
        <v>0</v>
      </c>
      <c r="AL650" s="41">
        <v>0</v>
      </c>
      <c r="AM650" s="41">
        <f t="shared" si="131"/>
        <v>0</v>
      </c>
      <c r="AN650" s="41">
        <f t="shared" si="138"/>
        <v>9</v>
      </c>
      <c r="AO650" s="41">
        <f t="shared" si="139"/>
        <v>9</v>
      </c>
      <c r="AP650" s="40"/>
      <c r="AQ650" s="36">
        <v>45153</v>
      </c>
      <c r="AR650" s="36"/>
      <c r="AS650" s="36"/>
      <c r="AT650" s="36">
        <v>45168</v>
      </c>
      <c r="AU650" s="36"/>
      <c r="AV650" s="38"/>
      <c r="AW650" s="40" t="s">
        <v>49</v>
      </c>
    </row>
    <row r="651" spans="1:49" ht="48" customHeight="1" x14ac:dyDescent="0.3">
      <c r="A651" s="35" t="s">
        <v>3759</v>
      </c>
      <c r="B651" s="38">
        <v>45107</v>
      </c>
      <c r="C651" s="40" t="s">
        <v>2077</v>
      </c>
      <c r="D651" s="39"/>
      <c r="E651" s="1" t="s">
        <v>3760</v>
      </c>
      <c r="F651" s="36">
        <v>45131</v>
      </c>
      <c r="G651" s="37" t="s">
        <v>3761</v>
      </c>
      <c r="H651" s="40" t="s">
        <v>971</v>
      </c>
      <c r="I651" s="40" t="s">
        <v>2349</v>
      </c>
      <c r="J651" s="57">
        <v>7194</v>
      </c>
      <c r="K651" s="41">
        <v>7194</v>
      </c>
      <c r="L651" s="30">
        <f t="shared" ref="L651:M675" si="140">K651</f>
        <v>7194</v>
      </c>
      <c r="M651" s="30">
        <f t="shared" si="140"/>
        <v>7194</v>
      </c>
      <c r="N651" s="40" t="s">
        <v>2518</v>
      </c>
      <c r="O651" s="40" t="s">
        <v>3762</v>
      </c>
      <c r="P651" s="40" t="s">
        <v>47</v>
      </c>
      <c r="Q651" s="44">
        <v>100</v>
      </c>
      <c r="R651" s="37">
        <v>0</v>
      </c>
      <c r="S651" s="37" t="s">
        <v>1964</v>
      </c>
      <c r="T651" s="48">
        <v>10</v>
      </c>
      <c r="U651" s="30">
        <f>M651/W651</f>
        <v>4.3600000000000003</v>
      </c>
      <c r="V651" s="41">
        <f t="shared" si="132"/>
        <v>43.6</v>
      </c>
      <c r="W651" s="41">
        <f t="shared" si="129"/>
        <v>1650</v>
      </c>
      <c r="X651" s="41">
        <v>1650</v>
      </c>
      <c r="Y651" s="41">
        <v>0</v>
      </c>
      <c r="Z651" s="41">
        <f t="shared" si="133"/>
        <v>0</v>
      </c>
      <c r="AA651" s="41">
        <v>0</v>
      </c>
      <c r="AB651" s="41">
        <f t="shared" si="134"/>
        <v>0</v>
      </c>
      <c r="AC651" s="41">
        <f t="shared" si="130"/>
        <v>0</v>
      </c>
      <c r="AD651" s="41">
        <v>0</v>
      </c>
      <c r="AE651" s="41">
        <f t="shared" si="135"/>
        <v>0</v>
      </c>
      <c r="AF651" s="41">
        <v>0</v>
      </c>
      <c r="AG651" s="41">
        <f t="shared" si="136"/>
        <v>0</v>
      </c>
      <c r="AH651" s="41">
        <f t="shared" si="137"/>
        <v>0</v>
      </c>
      <c r="AI651" s="41">
        <v>0</v>
      </c>
      <c r="AJ651" s="41">
        <v>0</v>
      </c>
      <c r="AK651" s="41">
        <v>0</v>
      </c>
      <c r="AL651" s="41">
        <v>0</v>
      </c>
      <c r="AM651" s="41">
        <f t="shared" si="131"/>
        <v>0</v>
      </c>
      <c r="AN651" s="41">
        <f t="shared" si="138"/>
        <v>165</v>
      </c>
      <c r="AO651" s="41">
        <f t="shared" si="139"/>
        <v>165</v>
      </c>
      <c r="AP651" s="40"/>
      <c r="AQ651" s="36">
        <v>45153</v>
      </c>
      <c r="AR651" s="36"/>
      <c r="AS651" s="36"/>
      <c r="AT651" s="36">
        <v>45168</v>
      </c>
      <c r="AU651" s="36"/>
      <c r="AV651" s="38"/>
      <c r="AW651" s="40" t="s">
        <v>49</v>
      </c>
    </row>
    <row r="652" spans="1:49" ht="48" customHeight="1" x14ac:dyDescent="0.3">
      <c r="A652" s="35" t="s">
        <v>3763</v>
      </c>
      <c r="B652" s="38">
        <v>45107</v>
      </c>
      <c r="C652" s="40" t="s">
        <v>162</v>
      </c>
      <c r="D652" s="39" t="s">
        <v>459</v>
      </c>
      <c r="E652" s="1" t="s">
        <v>3764</v>
      </c>
      <c r="F652" s="36" t="s">
        <v>459</v>
      </c>
      <c r="G652" s="37" t="s">
        <v>459</v>
      </c>
      <c r="H652" s="40" t="s">
        <v>459</v>
      </c>
      <c r="I652" s="40" t="s">
        <v>3765</v>
      </c>
      <c r="J652" s="57">
        <v>35791.800000000003</v>
      </c>
      <c r="K652" s="41">
        <v>0</v>
      </c>
      <c r="L652" s="30">
        <f t="shared" si="140"/>
        <v>0</v>
      </c>
      <c r="M652" s="30">
        <f t="shared" si="140"/>
        <v>0</v>
      </c>
      <c r="N652" s="40"/>
      <c r="O652" s="40"/>
      <c r="P652" s="40"/>
      <c r="Q652" s="44"/>
      <c r="R652" s="37"/>
      <c r="S652" s="37"/>
      <c r="T652" s="48"/>
      <c r="U652" s="30" t="e">
        <f>M652/W652</f>
        <v>#DIV/0!</v>
      </c>
      <c r="V652" s="41" t="e">
        <f t="shared" si="132"/>
        <v>#DIV/0!</v>
      </c>
      <c r="W652" s="41">
        <f t="shared" si="129"/>
        <v>0</v>
      </c>
      <c r="X652" s="41">
        <f>Y652+AA652</f>
        <v>0</v>
      </c>
      <c r="Y652" s="41">
        <v>0</v>
      </c>
      <c r="Z652" s="41" t="e">
        <f t="shared" si="133"/>
        <v>#DIV/0!</v>
      </c>
      <c r="AA652" s="41">
        <v>0</v>
      </c>
      <c r="AB652" s="41" t="e">
        <f t="shared" si="134"/>
        <v>#DIV/0!</v>
      </c>
      <c r="AC652" s="41">
        <f t="shared" si="130"/>
        <v>0</v>
      </c>
      <c r="AD652" s="41">
        <v>0</v>
      </c>
      <c r="AE652" s="41" t="e">
        <f t="shared" si="135"/>
        <v>#DIV/0!</v>
      </c>
      <c r="AF652" s="41">
        <v>0</v>
      </c>
      <c r="AG652" s="41" t="e">
        <f t="shared" si="136"/>
        <v>#DIV/0!</v>
      </c>
      <c r="AH652" s="41">
        <f t="shared" si="137"/>
        <v>0</v>
      </c>
      <c r="AI652" s="41">
        <v>0</v>
      </c>
      <c r="AJ652" s="41">
        <v>0</v>
      </c>
      <c r="AK652" s="41">
        <v>0</v>
      </c>
      <c r="AL652" s="41">
        <v>0</v>
      </c>
      <c r="AM652" s="41" t="e">
        <f t="shared" si="131"/>
        <v>#DIV/0!</v>
      </c>
      <c r="AN652" s="41" t="e">
        <f t="shared" si="138"/>
        <v>#DIV/0!</v>
      </c>
      <c r="AO652" s="41" t="e">
        <f t="shared" si="139"/>
        <v>#DIV/0!</v>
      </c>
      <c r="AP652" s="40"/>
      <c r="AQ652" s="36">
        <v>45153</v>
      </c>
      <c r="AR652" s="36"/>
      <c r="AS652" s="36"/>
      <c r="AT652" s="36"/>
      <c r="AU652" s="36"/>
      <c r="AV652" s="38"/>
      <c r="AW652" s="40"/>
    </row>
    <row r="653" spans="1:49" ht="48" customHeight="1" x14ac:dyDescent="0.3">
      <c r="A653" s="35" t="s">
        <v>3766</v>
      </c>
      <c r="B653" s="38">
        <v>45107</v>
      </c>
      <c r="C653" s="40" t="s">
        <v>2077</v>
      </c>
      <c r="D653" s="39"/>
      <c r="E653" s="1" t="s">
        <v>3767</v>
      </c>
      <c r="F653" s="36">
        <v>45133</v>
      </c>
      <c r="G653" s="37" t="s">
        <v>3768</v>
      </c>
      <c r="H653" s="40" t="s">
        <v>2089</v>
      </c>
      <c r="I653" s="40" t="s">
        <v>3769</v>
      </c>
      <c r="J653" s="57">
        <v>262200</v>
      </c>
      <c r="K653" s="41">
        <v>262200</v>
      </c>
      <c r="L653" s="30">
        <f t="shared" si="140"/>
        <v>262200</v>
      </c>
      <c r="M653" s="30">
        <f t="shared" si="140"/>
        <v>262200</v>
      </c>
      <c r="N653" s="40" t="s">
        <v>3770</v>
      </c>
      <c r="O653" s="40" t="s">
        <v>3771</v>
      </c>
      <c r="P653" s="40" t="s">
        <v>47</v>
      </c>
      <c r="Q653" s="44">
        <v>100</v>
      </c>
      <c r="R653" s="37">
        <v>0</v>
      </c>
      <c r="S653" s="37" t="s">
        <v>1489</v>
      </c>
      <c r="T653" s="41">
        <v>0.75</v>
      </c>
      <c r="U653" s="30">
        <f>M653/W653</f>
        <v>190</v>
      </c>
      <c r="V653" s="41">
        <f t="shared" si="132"/>
        <v>142.5</v>
      </c>
      <c r="W653" s="41">
        <f t="shared" si="129"/>
        <v>1380</v>
      </c>
      <c r="X653" s="41">
        <v>1380</v>
      </c>
      <c r="Y653" s="41">
        <v>0</v>
      </c>
      <c r="Z653" s="41">
        <f t="shared" si="133"/>
        <v>0</v>
      </c>
      <c r="AA653" s="41">
        <v>0</v>
      </c>
      <c r="AB653" s="41">
        <f t="shared" si="134"/>
        <v>0</v>
      </c>
      <c r="AC653" s="41">
        <f t="shared" si="130"/>
        <v>0</v>
      </c>
      <c r="AD653" s="41">
        <v>0</v>
      </c>
      <c r="AE653" s="41">
        <f t="shared" si="135"/>
        <v>0</v>
      </c>
      <c r="AF653" s="41">
        <v>0</v>
      </c>
      <c r="AG653" s="41">
        <f t="shared" si="136"/>
        <v>0</v>
      </c>
      <c r="AH653" s="41">
        <f t="shared" si="137"/>
        <v>0</v>
      </c>
      <c r="AI653" s="41">
        <v>0</v>
      </c>
      <c r="AJ653" s="41">
        <v>0</v>
      </c>
      <c r="AK653" s="41">
        <v>0</v>
      </c>
      <c r="AL653" s="41">
        <v>0</v>
      </c>
      <c r="AM653" s="41">
        <f t="shared" si="131"/>
        <v>0</v>
      </c>
      <c r="AN653" s="41">
        <f t="shared" si="138"/>
        <v>1840</v>
      </c>
      <c r="AO653" s="41">
        <f t="shared" si="139"/>
        <v>1840</v>
      </c>
      <c r="AP653" s="40"/>
      <c r="AQ653" s="36">
        <v>45153</v>
      </c>
      <c r="AR653" s="36"/>
      <c r="AS653" s="36"/>
      <c r="AT653" s="36">
        <v>45168</v>
      </c>
      <c r="AU653" s="36"/>
      <c r="AV653" s="38"/>
      <c r="AW653" s="40" t="s">
        <v>49</v>
      </c>
    </row>
    <row r="654" spans="1:49" ht="48" customHeight="1" x14ac:dyDescent="0.3">
      <c r="A654" s="35" t="s">
        <v>3772</v>
      </c>
      <c r="B654" s="38">
        <v>45107</v>
      </c>
      <c r="C654" s="40">
        <v>545</v>
      </c>
      <c r="D654" s="39"/>
      <c r="E654" s="1" t="s">
        <v>3773</v>
      </c>
      <c r="F654" s="36">
        <v>45131</v>
      </c>
      <c r="G654" s="37" t="s">
        <v>3774</v>
      </c>
      <c r="H654" s="40" t="s">
        <v>224</v>
      </c>
      <c r="I654" s="40" t="s">
        <v>1270</v>
      </c>
      <c r="J654" s="57">
        <v>35612121.600000001</v>
      </c>
      <c r="K654" s="41">
        <v>35612121.600000001</v>
      </c>
      <c r="L654" s="30">
        <f t="shared" si="140"/>
        <v>35612121.600000001</v>
      </c>
      <c r="M654" s="30">
        <f t="shared" si="140"/>
        <v>35612121.600000001</v>
      </c>
      <c r="N654" s="40" t="s">
        <v>1271</v>
      </c>
      <c r="O654" s="40" t="s">
        <v>1272</v>
      </c>
      <c r="P654" s="40" t="s">
        <v>199</v>
      </c>
      <c r="Q654" s="44">
        <v>0</v>
      </c>
      <c r="R654" s="37">
        <v>100</v>
      </c>
      <c r="S654" s="37" t="s">
        <v>219</v>
      </c>
      <c r="T654" s="48">
        <v>12</v>
      </c>
      <c r="U654" s="30">
        <f>M654/W654</f>
        <v>247306.40000000002</v>
      </c>
      <c r="V654" s="41">
        <f t="shared" si="132"/>
        <v>2967676.8000000003</v>
      </c>
      <c r="W654" s="41">
        <f t="shared" si="129"/>
        <v>144</v>
      </c>
      <c r="X654" s="41">
        <v>144</v>
      </c>
      <c r="Y654" s="41">
        <v>0</v>
      </c>
      <c r="Z654" s="41">
        <f t="shared" si="133"/>
        <v>0</v>
      </c>
      <c r="AA654" s="41">
        <v>0</v>
      </c>
      <c r="AB654" s="41">
        <f t="shared" si="134"/>
        <v>0</v>
      </c>
      <c r="AC654" s="41">
        <f t="shared" si="130"/>
        <v>0</v>
      </c>
      <c r="AD654" s="41">
        <v>0</v>
      </c>
      <c r="AE654" s="41">
        <f t="shared" si="135"/>
        <v>0</v>
      </c>
      <c r="AF654" s="41">
        <v>0</v>
      </c>
      <c r="AG654" s="41">
        <f t="shared" si="136"/>
        <v>0</v>
      </c>
      <c r="AH654" s="41">
        <f t="shared" si="137"/>
        <v>0</v>
      </c>
      <c r="AI654" s="41">
        <v>0</v>
      </c>
      <c r="AJ654" s="41">
        <v>0</v>
      </c>
      <c r="AK654" s="41">
        <v>0</v>
      </c>
      <c r="AL654" s="41">
        <v>0</v>
      </c>
      <c r="AM654" s="41">
        <f t="shared" si="131"/>
        <v>0</v>
      </c>
      <c r="AN654" s="41">
        <f t="shared" si="138"/>
        <v>12</v>
      </c>
      <c r="AO654" s="41">
        <f t="shared" si="139"/>
        <v>12</v>
      </c>
      <c r="AP654" s="40"/>
      <c r="AQ654" s="36">
        <v>45158</v>
      </c>
      <c r="AR654" s="36"/>
      <c r="AS654" s="36"/>
      <c r="AT654" s="36">
        <v>45174</v>
      </c>
      <c r="AU654" s="36"/>
      <c r="AV654" s="38"/>
      <c r="AW654" s="40" t="s">
        <v>87</v>
      </c>
    </row>
    <row r="655" spans="1:49" ht="48" customHeight="1" x14ac:dyDescent="0.3">
      <c r="A655" s="35" t="s">
        <v>3775</v>
      </c>
      <c r="B655" s="38">
        <v>45107</v>
      </c>
      <c r="C655" s="40">
        <v>545</v>
      </c>
      <c r="D655" s="39"/>
      <c r="E655" s="1" t="s">
        <v>3776</v>
      </c>
      <c r="F655" s="36">
        <v>45131</v>
      </c>
      <c r="G655" s="37" t="s">
        <v>3777</v>
      </c>
      <c r="H655" s="40" t="s">
        <v>878</v>
      </c>
      <c r="I655" s="40" t="s">
        <v>1486</v>
      </c>
      <c r="J655" s="57">
        <v>33308237</v>
      </c>
      <c r="K655" s="41">
        <v>33308237</v>
      </c>
      <c r="L655" s="30">
        <f t="shared" si="140"/>
        <v>33308237</v>
      </c>
      <c r="M655" s="30">
        <f t="shared" si="140"/>
        <v>33308237</v>
      </c>
      <c r="N655" s="40" t="s">
        <v>1487</v>
      </c>
      <c r="O655" s="40" t="s">
        <v>1488</v>
      </c>
      <c r="P655" s="40" t="s">
        <v>348</v>
      </c>
      <c r="Q655" s="44">
        <v>0</v>
      </c>
      <c r="R655" s="37">
        <v>100</v>
      </c>
      <c r="S655" s="37" t="s">
        <v>1489</v>
      </c>
      <c r="T655" s="48">
        <v>2</v>
      </c>
      <c r="U655" s="30">
        <f>M655/W655</f>
        <v>333082.37</v>
      </c>
      <c r="V655" s="41">
        <f t="shared" si="132"/>
        <v>666164.74</v>
      </c>
      <c r="W655" s="41">
        <f t="shared" si="129"/>
        <v>100</v>
      </c>
      <c r="X655" s="41">
        <v>100</v>
      </c>
      <c r="Y655" s="41">
        <v>0</v>
      </c>
      <c r="Z655" s="41">
        <f t="shared" si="133"/>
        <v>0</v>
      </c>
      <c r="AA655" s="41">
        <v>0</v>
      </c>
      <c r="AB655" s="41">
        <f t="shared" si="134"/>
        <v>0</v>
      </c>
      <c r="AC655" s="41">
        <f t="shared" si="130"/>
        <v>0</v>
      </c>
      <c r="AD655" s="41">
        <v>0</v>
      </c>
      <c r="AE655" s="41">
        <f t="shared" si="135"/>
        <v>0</v>
      </c>
      <c r="AF655" s="41">
        <v>0</v>
      </c>
      <c r="AG655" s="41">
        <f t="shared" si="136"/>
        <v>0</v>
      </c>
      <c r="AH655" s="41">
        <f t="shared" si="137"/>
        <v>0</v>
      </c>
      <c r="AI655" s="41">
        <v>0</v>
      </c>
      <c r="AJ655" s="41">
        <v>0</v>
      </c>
      <c r="AK655" s="41">
        <v>0</v>
      </c>
      <c r="AL655" s="41">
        <v>0</v>
      </c>
      <c r="AM655" s="41">
        <f t="shared" si="131"/>
        <v>0</v>
      </c>
      <c r="AN655" s="41">
        <f t="shared" si="138"/>
        <v>50</v>
      </c>
      <c r="AO655" s="41">
        <f t="shared" si="139"/>
        <v>50</v>
      </c>
      <c r="AP655" s="40"/>
      <c r="AQ655" s="36">
        <v>45170</v>
      </c>
      <c r="AR655" s="36"/>
      <c r="AS655" s="36"/>
      <c r="AT655" s="36">
        <v>45184</v>
      </c>
      <c r="AU655" s="36"/>
      <c r="AV655" s="38"/>
      <c r="AW655" s="40" t="s">
        <v>49</v>
      </c>
    </row>
    <row r="656" spans="1:49" ht="48" customHeight="1" x14ac:dyDescent="0.3">
      <c r="A656" s="35" t="s">
        <v>3778</v>
      </c>
      <c r="B656" s="38">
        <v>45107</v>
      </c>
      <c r="C656" s="40">
        <v>545</v>
      </c>
      <c r="D656" s="39"/>
      <c r="E656" s="1" t="s">
        <v>3779</v>
      </c>
      <c r="F656" s="36">
        <v>45131</v>
      </c>
      <c r="G656" s="37" t="s">
        <v>3780</v>
      </c>
      <c r="H656" s="40" t="s">
        <v>186</v>
      </c>
      <c r="I656" s="40" t="s">
        <v>1747</v>
      </c>
      <c r="J656" s="57">
        <v>56435148.25</v>
      </c>
      <c r="K656" s="41">
        <v>56435148.25</v>
      </c>
      <c r="L656" s="30">
        <f t="shared" si="140"/>
        <v>56435148.25</v>
      </c>
      <c r="M656" s="30">
        <f t="shared" si="140"/>
        <v>56435148.25</v>
      </c>
      <c r="N656" s="40" t="s">
        <v>1748</v>
      </c>
      <c r="O656" s="40" t="s">
        <v>1749</v>
      </c>
      <c r="P656" s="40" t="s">
        <v>190</v>
      </c>
      <c r="Q656" s="44">
        <v>0</v>
      </c>
      <c r="R656" s="37">
        <v>100</v>
      </c>
      <c r="S656" s="37" t="s">
        <v>219</v>
      </c>
      <c r="T656" s="48">
        <v>5</v>
      </c>
      <c r="U656" s="30">
        <f>M656/W656</f>
        <v>868233.05</v>
      </c>
      <c r="V656" s="41">
        <f t="shared" si="132"/>
        <v>4341165.25</v>
      </c>
      <c r="W656" s="41">
        <f t="shared" si="129"/>
        <v>65</v>
      </c>
      <c r="X656" s="41">
        <v>65</v>
      </c>
      <c r="Y656" s="41">
        <v>0</v>
      </c>
      <c r="Z656" s="41">
        <f t="shared" si="133"/>
        <v>0</v>
      </c>
      <c r="AA656" s="41">
        <v>0</v>
      </c>
      <c r="AB656" s="41">
        <f t="shared" si="134"/>
        <v>0</v>
      </c>
      <c r="AC656" s="41">
        <f t="shared" si="130"/>
        <v>0</v>
      </c>
      <c r="AD656" s="41">
        <v>0</v>
      </c>
      <c r="AE656" s="41">
        <f t="shared" si="135"/>
        <v>0</v>
      </c>
      <c r="AF656" s="41">
        <v>0</v>
      </c>
      <c r="AG656" s="41">
        <f t="shared" si="136"/>
        <v>0</v>
      </c>
      <c r="AH656" s="41">
        <f t="shared" si="137"/>
        <v>0</v>
      </c>
      <c r="AI656" s="41">
        <v>0</v>
      </c>
      <c r="AJ656" s="41">
        <v>0</v>
      </c>
      <c r="AK656" s="41">
        <v>0</v>
      </c>
      <c r="AL656" s="41">
        <v>0</v>
      </c>
      <c r="AM656" s="41">
        <f t="shared" si="131"/>
        <v>0</v>
      </c>
      <c r="AN656" s="41">
        <f t="shared" si="138"/>
        <v>13</v>
      </c>
      <c r="AO656" s="41">
        <f t="shared" si="139"/>
        <v>13</v>
      </c>
      <c r="AP656" s="40"/>
      <c r="AQ656" s="36">
        <v>45169</v>
      </c>
      <c r="AR656" s="36"/>
      <c r="AS656" s="36"/>
      <c r="AT656" s="36">
        <v>45184</v>
      </c>
      <c r="AU656" s="36"/>
      <c r="AV656" s="38"/>
      <c r="AW656" s="40" t="s">
        <v>49</v>
      </c>
    </row>
    <row r="657" spans="1:49" ht="48" customHeight="1" x14ac:dyDescent="0.3">
      <c r="A657" s="35" t="s">
        <v>3781</v>
      </c>
      <c r="B657" s="38">
        <v>45107</v>
      </c>
      <c r="C657" s="40">
        <v>545</v>
      </c>
      <c r="D657" s="39"/>
      <c r="E657" s="1" t="s">
        <v>3782</v>
      </c>
      <c r="F657" s="36">
        <v>45131</v>
      </c>
      <c r="G657" s="37" t="s">
        <v>3783</v>
      </c>
      <c r="H657" s="40" t="s">
        <v>1392</v>
      </c>
      <c r="I657" s="40" t="s">
        <v>3455</v>
      </c>
      <c r="J657" s="57">
        <v>16677760</v>
      </c>
      <c r="K657" s="41">
        <v>16677760</v>
      </c>
      <c r="L657" s="30">
        <f t="shared" si="140"/>
        <v>16677760</v>
      </c>
      <c r="M657" s="30">
        <f t="shared" si="140"/>
        <v>16677760</v>
      </c>
      <c r="N657" s="40" t="s">
        <v>3021</v>
      </c>
      <c r="O657" s="40" t="s">
        <v>3784</v>
      </c>
      <c r="P657" s="40" t="s">
        <v>218</v>
      </c>
      <c r="Q657" s="44">
        <v>0</v>
      </c>
      <c r="R657" s="37">
        <v>100</v>
      </c>
      <c r="S657" s="37" t="s">
        <v>219</v>
      </c>
      <c r="T657" s="48">
        <v>2</v>
      </c>
      <c r="U657" s="30">
        <f>M657/W657</f>
        <v>521180</v>
      </c>
      <c r="V657" s="41">
        <f t="shared" si="132"/>
        <v>1042360</v>
      </c>
      <c r="W657" s="41">
        <f t="shared" si="129"/>
        <v>32</v>
      </c>
      <c r="X657" s="41">
        <v>32</v>
      </c>
      <c r="Y657" s="41">
        <v>0</v>
      </c>
      <c r="Z657" s="41">
        <f t="shared" si="133"/>
        <v>0</v>
      </c>
      <c r="AA657" s="41">
        <v>0</v>
      </c>
      <c r="AB657" s="41">
        <f t="shared" si="134"/>
        <v>0</v>
      </c>
      <c r="AC657" s="41">
        <f t="shared" si="130"/>
        <v>0</v>
      </c>
      <c r="AD657" s="41">
        <v>0</v>
      </c>
      <c r="AE657" s="41">
        <f t="shared" si="135"/>
        <v>0</v>
      </c>
      <c r="AF657" s="41">
        <v>0</v>
      </c>
      <c r="AG657" s="41">
        <f t="shared" si="136"/>
        <v>0</v>
      </c>
      <c r="AH657" s="41">
        <f t="shared" si="137"/>
        <v>0</v>
      </c>
      <c r="AI657" s="41">
        <v>0</v>
      </c>
      <c r="AJ657" s="41">
        <v>0</v>
      </c>
      <c r="AK657" s="41">
        <v>0</v>
      </c>
      <c r="AL657" s="41">
        <v>0</v>
      </c>
      <c r="AM657" s="41">
        <f t="shared" si="131"/>
        <v>0</v>
      </c>
      <c r="AN657" s="41">
        <f t="shared" si="138"/>
        <v>16</v>
      </c>
      <c r="AO657" s="41">
        <f t="shared" si="139"/>
        <v>16</v>
      </c>
      <c r="AP657" s="40"/>
      <c r="AQ657" s="36">
        <v>45153</v>
      </c>
      <c r="AR657" s="36"/>
      <c r="AS657" s="36"/>
      <c r="AT657" s="36">
        <v>45168</v>
      </c>
      <c r="AU657" s="36"/>
      <c r="AV657" s="38"/>
      <c r="AW657" s="40" t="s">
        <v>49</v>
      </c>
    </row>
    <row r="658" spans="1:49" ht="48" customHeight="1" x14ac:dyDescent="0.3">
      <c r="A658" s="35" t="s">
        <v>3785</v>
      </c>
      <c r="B658" s="38">
        <v>45107</v>
      </c>
      <c r="C658" s="40">
        <v>545</v>
      </c>
      <c r="D658" s="39"/>
      <c r="E658" s="1" t="s">
        <v>3786</v>
      </c>
      <c r="F658" s="36">
        <v>45131</v>
      </c>
      <c r="G658" s="37" t="s">
        <v>3787</v>
      </c>
      <c r="H658" s="40" t="s">
        <v>224</v>
      </c>
      <c r="I658" s="40" t="s">
        <v>1906</v>
      </c>
      <c r="J658" s="57">
        <v>52659274.799999997</v>
      </c>
      <c r="K658" s="41">
        <v>52659274.799999997</v>
      </c>
      <c r="L658" s="30">
        <f t="shared" si="140"/>
        <v>52659274.799999997</v>
      </c>
      <c r="M658" s="30">
        <f t="shared" si="140"/>
        <v>52659274.799999997</v>
      </c>
      <c r="N658" s="40" t="s">
        <v>3788</v>
      </c>
      <c r="O658" s="40" t="s">
        <v>2440</v>
      </c>
      <c r="P658" s="40" t="s">
        <v>2394</v>
      </c>
      <c r="Q658" s="44">
        <v>0</v>
      </c>
      <c r="R658" s="37">
        <v>100</v>
      </c>
      <c r="S658" s="37" t="s">
        <v>1489</v>
      </c>
      <c r="T658" s="48">
        <v>120</v>
      </c>
      <c r="U658" s="30">
        <f>M658/W658</f>
        <v>25813.37</v>
      </c>
      <c r="V658" s="41">
        <f t="shared" si="132"/>
        <v>3097604.4</v>
      </c>
      <c r="W658" s="41">
        <f t="shared" si="129"/>
        <v>2040</v>
      </c>
      <c r="X658" s="41">
        <v>2040</v>
      </c>
      <c r="Y658" s="41">
        <v>0</v>
      </c>
      <c r="Z658" s="41">
        <f t="shared" si="133"/>
        <v>0</v>
      </c>
      <c r="AA658" s="41">
        <v>0</v>
      </c>
      <c r="AB658" s="41">
        <f t="shared" si="134"/>
        <v>0</v>
      </c>
      <c r="AC658" s="41">
        <f t="shared" si="130"/>
        <v>0</v>
      </c>
      <c r="AD658" s="41">
        <v>0</v>
      </c>
      <c r="AE658" s="41">
        <f t="shared" si="135"/>
        <v>0</v>
      </c>
      <c r="AF658" s="41">
        <v>0</v>
      </c>
      <c r="AG658" s="41">
        <f t="shared" si="136"/>
        <v>0</v>
      </c>
      <c r="AH658" s="41">
        <f t="shared" si="137"/>
        <v>0</v>
      </c>
      <c r="AI658" s="41">
        <v>0</v>
      </c>
      <c r="AJ658" s="41">
        <v>0</v>
      </c>
      <c r="AK658" s="41">
        <v>0</v>
      </c>
      <c r="AL658" s="41">
        <v>0</v>
      </c>
      <c r="AM658" s="41">
        <f t="shared" si="131"/>
        <v>0</v>
      </c>
      <c r="AN658" s="41">
        <f t="shared" si="138"/>
        <v>17</v>
      </c>
      <c r="AO658" s="41">
        <f t="shared" si="139"/>
        <v>17</v>
      </c>
      <c r="AP658" s="40" t="s">
        <v>3789</v>
      </c>
      <c r="AQ658" s="36">
        <v>45170</v>
      </c>
      <c r="AR658" s="36"/>
      <c r="AS658" s="36"/>
      <c r="AT658" s="36">
        <v>45184</v>
      </c>
      <c r="AU658" s="36"/>
      <c r="AV658" s="38"/>
      <c r="AW658" s="40" t="s">
        <v>49</v>
      </c>
    </row>
    <row r="659" spans="1:49" ht="48" customHeight="1" x14ac:dyDescent="0.3">
      <c r="A659" s="35" t="s">
        <v>3790</v>
      </c>
      <c r="B659" s="38">
        <v>45107</v>
      </c>
      <c r="C659" s="40">
        <v>1416</v>
      </c>
      <c r="D659" s="39"/>
      <c r="E659" s="1" t="s">
        <v>3791</v>
      </c>
      <c r="F659" s="36">
        <v>45131</v>
      </c>
      <c r="G659" s="37" t="s">
        <v>3792</v>
      </c>
      <c r="H659" s="40" t="s">
        <v>186</v>
      </c>
      <c r="I659" s="40" t="s">
        <v>3793</v>
      </c>
      <c r="J659" s="57">
        <v>13344939.779999999</v>
      </c>
      <c r="K659" s="41">
        <v>13344939.779999999</v>
      </c>
      <c r="L659" s="30">
        <f t="shared" si="140"/>
        <v>13344939.779999999</v>
      </c>
      <c r="M659" s="30">
        <f t="shared" si="140"/>
        <v>13344939.779999999</v>
      </c>
      <c r="N659" s="40" t="s">
        <v>865</v>
      </c>
      <c r="O659" s="40" t="s">
        <v>3794</v>
      </c>
      <c r="P659" s="40" t="s">
        <v>357</v>
      </c>
      <c r="Q659" s="44">
        <v>0</v>
      </c>
      <c r="R659" s="37">
        <v>100</v>
      </c>
      <c r="S659" s="37" t="s">
        <v>219</v>
      </c>
      <c r="T659" s="48">
        <v>10</v>
      </c>
      <c r="U659" s="30">
        <f>M659/W659</f>
        <v>1934.61</v>
      </c>
      <c r="V659" s="41">
        <f t="shared" si="132"/>
        <v>19346.099999999999</v>
      </c>
      <c r="W659" s="41">
        <f t="shared" si="129"/>
        <v>6898</v>
      </c>
      <c r="X659" s="41">
        <f>Y659+AA659</f>
        <v>6898</v>
      </c>
      <c r="Y659" s="41">
        <v>0</v>
      </c>
      <c r="Z659" s="41">
        <f t="shared" si="133"/>
        <v>0</v>
      </c>
      <c r="AA659" s="41">
        <v>6898</v>
      </c>
      <c r="AB659" s="41">
        <f t="shared" si="134"/>
        <v>13344939.779999999</v>
      </c>
      <c r="AC659" s="41">
        <f t="shared" si="130"/>
        <v>0</v>
      </c>
      <c r="AD659" s="41">
        <v>0</v>
      </c>
      <c r="AE659" s="41">
        <f t="shared" si="135"/>
        <v>0</v>
      </c>
      <c r="AF659" s="41">
        <v>0</v>
      </c>
      <c r="AG659" s="41">
        <f t="shared" si="136"/>
        <v>0</v>
      </c>
      <c r="AH659" s="41">
        <f t="shared" si="137"/>
        <v>0</v>
      </c>
      <c r="AI659" s="41">
        <v>0</v>
      </c>
      <c r="AJ659" s="41">
        <v>0</v>
      </c>
      <c r="AK659" s="41">
        <v>0</v>
      </c>
      <c r="AL659" s="41">
        <v>0</v>
      </c>
      <c r="AM659" s="41">
        <f t="shared" si="131"/>
        <v>0</v>
      </c>
      <c r="AN659" s="41">
        <f t="shared" si="138"/>
        <v>689.8</v>
      </c>
      <c r="AO659" s="41">
        <f t="shared" si="139"/>
        <v>690</v>
      </c>
      <c r="AP659" s="40"/>
      <c r="AQ659" s="36">
        <v>45170</v>
      </c>
      <c r="AR659" s="36"/>
      <c r="AS659" s="36"/>
      <c r="AT659" s="36">
        <v>45184</v>
      </c>
      <c r="AU659" s="36"/>
      <c r="AV659" s="38"/>
      <c r="AW659" s="40" t="s">
        <v>49</v>
      </c>
    </row>
    <row r="660" spans="1:49" ht="48" customHeight="1" x14ac:dyDescent="0.3">
      <c r="A660" s="35" t="s">
        <v>3795</v>
      </c>
      <c r="B660" s="38">
        <v>45107</v>
      </c>
      <c r="C660" s="40">
        <v>545</v>
      </c>
      <c r="D660" s="39"/>
      <c r="E660" s="1" t="s">
        <v>3796</v>
      </c>
      <c r="F660" s="36">
        <v>45131</v>
      </c>
      <c r="G660" s="37" t="s">
        <v>3797</v>
      </c>
      <c r="H660" s="40" t="s">
        <v>1392</v>
      </c>
      <c r="I660" s="40" t="s">
        <v>1393</v>
      </c>
      <c r="J660" s="57">
        <v>25623936.800000001</v>
      </c>
      <c r="K660" s="41">
        <v>25623936.800000001</v>
      </c>
      <c r="L660" s="30">
        <v>33160388.800000001</v>
      </c>
      <c r="M660" s="30">
        <f t="shared" si="140"/>
        <v>33160388.800000001</v>
      </c>
      <c r="N660" s="40" t="s">
        <v>1394</v>
      </c>
      <c r="O660" s="40" t="s">
        <v>1395</v>
      </c>
      <c r="P660" s="40" t="s">
        <v>190</v>
      </c>
      <c r="Q660" s="44">
        <v>0</v>
      </c>
      <c r="R660" s="37">
        <v>100</v>
      </c>
      <c r="S660" s="37" t="s">
        <v>584</v>
      </c>
      <c r="T660" s="48">
        <v>140</v>
      </c>
      <c r="U660" s="30">
        <f>M660/W660</f>
        <v>10766.36</v>
      </c>
      <c r="V660" s="41">
        <f t="shared" si="132"/>
        <v>1507290.4000000001</v>
      </c>
      <c r="W660" s="41">
        <f t="shared" si="129"/>
        <v>3080</v>
      </c>
      <c r="X660" s="41">
        <f>2380+700</f>
        <v>3080</v>
      </c>
      <c r="Y660" s="41">
        <v>0</v>
      </c>
      <c r="Z660" s="41">
        <f t="shared" si="133"/>
        <v>0</v>
      </c>
      <c r="AA660" s="41">
        <v>0</v>
      </c>
      <c r="AB660" s="41">
        <f t="shared" si="134"/>
        <v>0</v>
      </c>
      <c r="AC660" s="41">
        <f t="shared" si="130"/>
        <v>0</v>
      </c>
      <c r="AD660" s="41">
        <v>0</v>
      </c>
      <c r="AE660" s="41">
        <f t="shared" si="135"/>
        <v>0</v>
      </c>
      <c r="AF660" s="41">
        <v>0</v>
      </c>
      <c r="AG660" s="41">
        <f t="shared" si="136"/>
        <v>0</v>
      </c>
      <c r="AH660" s="41">
        <f t="shared" si="137"/>
        <v>0</v>
      </c>
      <c r="AI660" s="41">
        <v>0</v>
      </c>
      <c r="AJ660" s="41">
        <v>0</v>
      </c>
      <c r="AK660" s="41">
        <v>0</v>
      </c>
      <c r="AL660" s="41">
        <v>0</v>
      </c>
      <c r="AM660" s="41">
        <f t="shared" si="131"/>
        <v>0</v>
      </c>
      <c r="AN660" s="41">
        <f t="shared" si="138"/>
        <v>22</v>
      </c>
      <c r="AO660" s="41">
        <f t="shared" si="139"/>
        <v>22</v>
      </c>
      <c r="AP660" s="40"/>
      <c r="AQ660" s="36">
        <v>45153</v>
      </c>
      <c r="AR660" s="36"/>
      <c r="AS660" s="36"/>
      <c r="AT660" s="36">
        <v>45168</v>
      </c>
      <c r="AU660" s="36"/>
      <c r="AV660" s="38"/>
      <c r="AW660" s="40" t="s">
        <v>49</v>
      </c>
    </row>
    <row r="661" spans="1:49" ht="48" customHeight="1" x14ac:dyDescent="0.3">
      <c r="A661" s="35" t="s">
        <v>3798</v>
      </c>
      <c r="B661" s="38">
        <v>45107</v>
      </c>
      <c r="C661" s="40">
        <v>1416</v>
      </c>
      <c r="D661" s="39"/>
      <c r="E661" s="1" t="s">
        <v>3799</v>
      </c>
      <c r="F661" s="36">
        <v>45131</v>
      </c>
      <c r="G661" s="37" t="s">
        <v>3800</v>
      </c>
      <c r="H661" s="40" t="s">
        <v>186</v>
      </c>
      <c r="I661" s="40" t="s">
        <v>3801</v>
      </c>
      <c r="J661" s="57">
        <v>47423220</v>
      </c>
      <c r="K661" s="41">
        <v>47423220</v>
      </c>
      <c r="L661" s="30">
        <f t="shared" si="140"/>
        <v>47423220</v>
      </c>
      <c r="M661" s="30">
        <f t="shared" si="140"/>
        <v>47423220</v>
      </c>
      <c r="N661" s="40" t="s">
        <v>455</v>
      </c>
      <c r="O661" s="40" t="s">
        <v>456</v>
      </c>
      <c r="P661" s="40" t="s">
        <v>263</v>
      </c>
      <c r="Q661" s="44">
        <v>0</v>
      </c>
      <c r="R661" s="37">
        <v>100</v>
      </c>
      <c r="S661" s="37" t="s">
        <v>3700</v>
      </c>
      <c r="T661" s="48">
        <v>1000</v>
      </c>
      <c r="U661" s="30">
        <f>M661/W661</f>
        <v>48.49</v>
      </c>
      <c r="V661" s="41">
        <f t="shared" si="132"/>
        <v>48490</v>
      </c>
      <c r="W661" s="41">
        <f t="shared" ref="W661:W724" si="141">X661+AC661+AH661</f>
        <v>978000</v>
      </c>
      <c r="X661" s="41">
        <f>Y661+AA661</f>
        <v>978000</v>
      </c>
      <c r="Y661" s="41">
        <v>0</v>
      </c>
      <c r="Z661" s="41">
        <f t="shared" si="133"/>
        <v>0</v>
      </c>
      <c r="AA661" s="41">
        <v>978000</v>
      </c>
      <c r="AB661" s="41">
        <f t="shared" si="134"/>
        <v>47423220</v>
      </c>
      <c r="AC661" s="41">
        <f t="shared" si="130"/>
        <v>0</v>
      </c>
      <c r="AD661" s="41">
        <v>0</v>
      </c>
      <c r="AE661" s="41">
        <f t="shared" si="135"/>
        <v>0</v>
      </c>
      <c r="AF661" s="41">
        <v>0</v>
      </c>
      <c r="AG661" s="41">
        <f t="shared" si="136"/>
        <v>0</v>
      </c>
      <c r="AH661" s="41">
        <f t="shared" si="137"/>
        <v>0</v>
      </c>
      <c r="AI661" s="41">
        <v>0</v>
      </c>
      <c r="AJ661" s="41">
        <v>0</v>
      </c>
      <c r="AK661" s="41">
        <v>0</v>
      </c>
      <c r="AL661" s="41">
        <v>0</v>
      </c>
      <c r="AM661" s="41">
        <f t="shared" si="131"/>
        <v>0</v>
      </c>
      <c r="AN661" s="41">
        <f t="shared" si="138"/>
        <v>978</v>
      </c>
      <c r="AO661" s="41">
        <f t="shared" si="139"/>
        <v>978</v>
      </c>
      <c r="AP661" s="40"/>
      <c r="AQ661" s="36">
        <v>45170</v>
      </c>
      <c r="AR661" s="36"/>
      <c r="AS661" s="36"/>
      <c r="AT661" s="36">
        <v>45184</v>
      </c>
      <c r="AU661" s="36"/>
      <c r="AV661" s="38"/>
      <c r="AW661" s="40" t="s">
        <v>49</v>
      </c>
    </row>
    <row r="662" spans="1:49" ht="48" customHeight="1" x14ac:dyDescent="0.3">
      <c r="A662" s="35" t="s">
        <v>3802</v>
      </c>
      <c r="B662" s="38">
        <v>45107</v>
      </c>
      <c r="C662" s="40" t="s">
        <v>1245</v>
      </c>
      <c r="D662" s="39"/>
      <c r="E662" s="1" t="s">
        <v>3803</v>
      </c>
      <c r="F662" s="36">
        <v>45131</v>
      </c>
      <c r="G662" s="37" t="s">
        <v>3804</v>
      </c>
      <c r="H662" s="40" t="s">
        <v>186</v>
      </c>
      <c r="I662" s="40" t="s">
        <v>2333</v>
      </c>
      <c r="J662" s="57">
        <v>28534038.600000001</v>
      </c>
      <c r="K662" s="41">
        <v>28534038.600000001</v>
      </c>
      <c r="L662" s="30">
        <f t="shared" si="140"/>
        <v>28534038.600000001</v>
      </c>
      <c r="M662" s="30">
        <f t="shared" si="140"/>
        <v>28534038.600000001</v>
      </c>
      <c r="N662" s="40" t="s">
        <v>2334</v>
      </c>
      <c r="O662" s="40" t="s">
        <v>2335</v>
      </c>
      <c r="P662" s="40" t="s">
        <v>199</v>
      </c>
      <c r="Q662" s="44">
        <v>0</v>
      </c>
      <c r="R662" s="37">
        <v>100</v>
      </c>
      <c r="S662" s="37" t="s">
        <v>1964</v>
      </c>
      <c r="T662" s="48">
        <v>30</v>
      </c>
      <c r="U662" s="30">
        <f>M662/W662</f>
        <v>524.33000000000004</v>
      </c>
      <c r="V662" s="41">
        <f t="shared" si="132"/>
        <v>15729.900000000001</v>
      </c>
      <c r="W662" s="41">
        <f t="shared" si="141"/>
        <v>54420</v>
      </c>
      <c r="X662" s="41">
        <v>54420</v>
      </c>
      <c r="Y662" s="41">
        <v>0</v>
      </c>
      <c r="Z662" s="41">
        <f t="shared" si="133"/>
        <v>0</v>
      </c>
      <c r="AA662" s="41">
        <v>0</v>
      </c>
      <c r="AB662" s="41">
        <f t="shared" si="134"/>
        <v>0</v>
      </c>
      <c r="AC662" s="41">
        <f t="shared" si="130"/>
        <v>0</v>
      </c>
      <c r="AD662" s="41">
        <v>0</v>
      </c>
      <c r="AE662" s="41">
        <f t="shared" si="135"/>
        <v>0</v>
      </c>
      <c r="AF662" s="41">
        <v>0</v>
      </c>
      <c r="AG662" s="41">
        <f t="shared" si="136"/>
        <v>0</v>
      </c>
      <c r="AH662" s="41">
        <f t="shared" si="137"/>
        <v>0</v>
      </c>
      <c r="AI662" s="41">
        <v>0</v>
      </c>
      <c r="AJ662" s="41">
        <v>0</v>
      </c>
      <c r="AK662" s="41">
        <v>0</v>
      </c>
      <c r="AL662" s="41">
        <v>0</v>
      </c>
      <c r="AM662" s="41">
        <f t="shared" si="131"/>
        <v>0</v>
      </c>
      <c r="AN662" s="41">
        <f t="shared" si="138"/>
        <v>1814</v>
      </c>
      <c r="AO662" s="41">
        <f t="shared" si="139"/>
        <v>1814</v>
      </c>
      <c r="AP662" s="40"/>
      <c r="AQ662" s="36">
        <v>45199</v>
      </c>
      <c r="AR662" s="36"/>
      <c r="AS662" s="36"/>
      <c r="AT662" s="36">
        <v>45214</v>
      </c>
      <c r="AU662" s="36"/>
      <c r="AV662" s="38"/>
      <c r="AW662" s="40" t="s">
        <v>49</v>
      </c>
    </row>
    <row r="663" spans="1:49" ht="48" customHeight="1" x14ac:dyDescent="0.3">
      <c r="A663" s="35" t="s">
        <v>3805</v>
      </c>
      <c r="B663" s="38">
        <v>45107</v>
      </c>
      <c r="C663" s="40" t="s">
        <v>2077</v>
      </c>
      <c r="D663" s="39"/>
      <c r="E663" s="1" t="s">
        <v>3806</v>
      </c>
      <c r="F663" s="36">
        <v>45131</v>
      </c>
      <c r="G663" s="37" t="s">
        <v>3807</v>
      </c>
      <c r="H663" s="40" t="s">
        <v>3648</v>
      </c>
      <c r="I663" s="40" t="s">
        <v>3808</v>
      </c>
      <c r="J663" s="57">
        <v>1453391.96</v>
      </c>
      <c r="K663" s="41">
        <v>1453391.96</v>
      </c>
      <c r="L663" s="30">
        <v>1453342.77</v>
      </c>
      <c r="M663" s="30">
        <f t="shared" si="140"/>
        <v>1453342.77</v>
      </c>
      <c r="N663" s="40" t="s">
        <v>3809</v>
      </c>
      <c r="O663" s="40" t="s">
        <v>3810</v>
      </c>
      <c r="P663" s="40" t="s">
        <v>47</v>
      </c>
      <c r="Q663" s="44">
        <v>100</v>
      </c>
      <c r="R663" s="37">
        <v>0</v>
      </c>
      <c r="S663" s="37" t="s">
        <v>1489</v>
      </c>
      <c r="T663" s="48">
        <v>50</v>
      </c>
      <c r="U663" s="30">
        <f>M663/W663</f>
        <v>53.730000000000004</v>
      </c>
      <c r="V663" s="41">
        <f t="shared" si="132"/>
        <v>2686.5</v>
      </c>
      <c r="W663" s="41">
        <f t="shared" si="141"/>
        <v>27049</v>
      </c>
      <c r="X663" s="47">
        <f>27044.882+4.118</f>
        <v>27049</v>
      </c>
      <c r="Y663" s="41">
        <v>0</v>
      </c>
      <c r="Z663" s="41">
        <f t="shared" si="133"/>
        <v>0</v>
      </c>
      <c r="AA663" s="41">
        <v>0</v>
      </c>
      <c r="AB663" s="41">
        <f t="shared" si="134"/>
        <v>0</v>
      </c>
      <c r="AC663" s="41">
        <f t="shared" si="130"/>
        <v>0</v>
      </c>
      <c r="AD663" s="41">
        <v>0</v>
      </c>
      <c r="AE663" s="41">
        <f t="shared" si="135"/>
        <v>0</v>
      </c>
      <c r="AF663" s="41">
        <v>0</v>
      </c>
      <c r="AG663" s="41">
        <f t="shared" si="136"/>
        <v>0</v>
      </c>
      <c r="AH663" s="41">
        <f t="shared" si="137"/>
        <v>0</v>
      </c>
      <c r="AI663" s="41">
        <v>0</v>
      </c>
      <c r="AJ663" s="41">
        <v>0</v>
      </c>
      <c r="AK663" s="41">
        <v>0</v>
      </c>
      <c r="AL663" s="41">
        <v>0</v>
      </c>
      <c r="AM663" s="41">
        <f t="shared" si="131"/>
        <v>0</v>
      </c>
      <c r="AN663" s="41">
        <f t="shared" si="138"/>
        <v>540.98</v>
      </c>
      <c r="AO663" s="41">
        <f t="shared" si="139"/>
        <v>541</v>
      </c>
      <c r="AP663" s="40"/>
      <c r="AQ663" s="36">
        <v>45153</v>
      </c>
      <c r="AR663" s="36"/>
      <c r="AS663" s="36"/>
      <c r="AT663" s="36">
        <v>45168</v>
      </c>
      <c r="AU663" s="36"/>
      <c r="AV663" s="38"/>
      <c r="AW663" s="40" t="s">
        <v>49</v>
      </c>
    </row>
    <row r="664" spans="1:49" ht="48" customHeight="1" x14ac:dyDescent="0.3">
      <c r="A664" s="35" t="s">
        <v>3811</v>
      </c>
      <c r="B664" s="38">
        <v>45107</v>
      </c>
      <c r="C664" s="40" t="s">
        <v>2077</v>
      </c>
      <c r="D664" s="39"/>
      <c r="E664" s="1" t="s">
        <v>3812</v>
      </c>
      <c r="F664" s="36">
        <v>45131</v>
      </c>
      <c r="G664" s="37" t="s">
        <v>3813</v>
      </c>
      <c r="H664" s="40" t="s">
        <v>3648</v>
      </c>
      <c r="I664" s="40" t="s">
        <v>3814</v>
      </c>
      <c r="J664" s="57">
        <v>7583.1</v>
      </c>
      <c r="K664" s="41">
        <v>7583.1</v>
      </c>
      <c r="L664" s="30">
        <f t="shared" si="140"/>
        <v>7583.1</v>
      </c>
      <c r="M664" s="30">
        <f t="shared" si="140"/>
        <v>7583.1</v>
      </c>
      <c r="N664" s="40" t="s">
        <v>3809</v>
      </c>
      <c r="O664" s="40" t="s">
        <v>3815</v>
      </c>
      <c r="P664" s="40" t="s">
        <v>47</v>
      </c>
      <c r="Q664" s="44">
        <v>100</v>
      </c>
      <c r="R664" s="37">
        <v>0</v>
      </c>
      <c r="S664" s="37" t="s">
        <v>1489</v>
      </c>
      <c r="T664" s="48">
        <v>25</v>
      </c>
      <c r="U664" s="30">
        <f>M664/W664</f>
        <v>54.95</v>
      </c>
      <c r="V664" s="41">
        <f t="shared" si="132"/>
        <v>1373.75</v>
      </c>
      <c r="W664" s="41">
        <f t="shared" si="141"/>
        <v>138</v>
      </c>
      <c r="X664" s="41">
        <v>138</v>
      </c>
      <c r="Y664" s="41">
        <v>0</v>
      </c>
      <c r="Z664" s="41">
        <f t="shared" si="133"/>
        <v>0</v>
      </c>
      <c r="AA664" s="41">
        <v>0</v>
      </c>
      <c r="AB664" s="41">
        <f t="shared" si="134"/>
        <v>0</v>
      </c>
      <c r="AC664" s="41">
        <f t="shared" si="130"/>
        <v>0</v>
      </c>
      <c r="AD664" s="41">
        <v>0</v>
      </c>
      <c r="AE664" s="41">
        <f t="shared" si="135"/>
        <v>0</v>
      </c>
      <c r="AF664" s="41">
        <v>0</v>
      </c>
      <c r="AG664" s="41">
        <f t="shared" si="136"/>
        <v>0</v>
      </c>
      <c r="AH664" s="41">
        <f t="shared" si="137"/>
        <v>0</v>
      </c>
      <c r="AI664" s="41">
        <v>0</v>
      </c>
      <c r="AJ664" s="41">
        <v>0</v>
      </c>
      <c r="AK664" s="41">
        <v>0</v>
      </c>
      <c r="AL664" s="41">
        <v>0</v>
      </c>
      <c r="AM664" s="41">
        <f t="shared" si="131"/>
        <v>0</v>
      </c>
      <c r="AN664" s="41">
        <f t="shared" si="138"/>
        <v>5.52</v>
      </c>
      <c r="AO664" s="41">
        <f t="shared" si="139"/>
        <v>6</v>
      </c>
      <c r="AP664" s="40"/>
      <c r="AQ664" s="36">
        <v>45153</v>
      </c>
      <c r="AR664" s="36"/>
      <c r="AS664" s="36"/>
      <c r="AT664" s="36">
        <v>45168</v>
      </c>
      <c r="AU664" s="36"/>
      <c r="AV664" s="38"/>
      <c r="AW664" s="40" t="s">
        <v>49</v>
      </c>
    </row>
    <row r="665" spans="1:49" ht="48" customHeight="1" x14ac:dyDescent="0.3">
      <c r="A665" s="35" t="s">
        <v>3816</v>
      </c>
      <c r="B665" s="38">
        <v>45107</v>
      </c>
      <c r="C665" s="40" t="s">
        <v>162</v>
      </c>
      <c r="D665" s="39" t="s">
        <v>459</v>
      </c>
      <c r="E665" s="1" t="s">
        <v>3817</v>
      </c>
      <c r="F665" s="36" t="s">
        <v>459</v>
      </c>
      <c r="G665" s="37" t="s">
        <v>459</v>
      </c>
      <c r="H665" s="40" t="s">
        <v>459</v>
      </c>
      <c r="I665" s="40" t="s">
        <v>1203</v>
      </c>
      <c r="J665" s="57">
        <v>50832</v>
      </c>
      <c r="K665" s="41">
        <v>0</v>
      </c>
      <c r="L665" s="30">
        <f t="shared" si="140"/>
        <v>0</v>
      </c>
      <c r="M665" s="30">
        <f t="shared" si="140"/>
        <v>0</v>
      </c>
      <c r="N665" s="40"/>
      <c r="O665" s="40"/>
      <c r="P665" s="40"/>
      <c r="Q665" s="44"/>
      <c r="R665" s="37"/>
      <c r="S665" s="37"/>
      <c r="T665" s="48"/>
      <c r="U665" s="30" t="e">
        <f>M665/W665</f>
        <v>#DIV/0!</v>
      </c>
      <c r="V665" s="41" t="e">
        <f t="shared" si="132"/>
        <v>#DIV/0!</v>
      </c>
      <c r="W665" s="41">
        <f t="shared" si="141"/>
        <v>0</v>
      </c>
      <c r="X665" s="41">
        <f>Y665+AA665</f>
        <v>0</v>
      </c>
      <c r="Y665" s="41">
        <v>0</v>
      </c>
      <c r="Z665" s="41" t="e">
        <f t="shared" si="133"/>
        <v>#DIV/0!</v>
      </c>
      <c r="AA665" s="41">
        <v>0</v>
      </c>
      <c r="AB665" s="41" t="e">
        <f t="shared" si="134"/>
        <v>#DIV/0!</v>
      </c>
      <c r="AC665" s="41">
        <f t="shared" si="130"/>
        <v>0</v>
      </c>
      <c r="AD665" s="41">
        <v>0</v>
      </c>
      <c r="AE665" s="41" t="e">
        <f t="shared" si="135"/>
        <v>#DIV/0!</v>
      </c>
      <c r="AF665" s="41">
        <v>0</v>
      </c>
      <c r="AG665" s="41" t="e">
        <f t="shared" si="136"/>
        <v>#DIV/0!</v>
      </c>
      <c r="AH665" s="41">
        <f t="shared" si="137"/>
        <v>0</v>
      </c>
      <c r="AI665" s="41">
        <v>0</v>
      </c>
      <c r="AJ665" s="41">
        <v>0</v>
      </c>
      <c r="AK665" s="41">
        <v>0</v>
      </c>
      <c r="AL665" s="41">
        <v>0</v>
      </c>
      <c r="AM665" s="41" t="e">
        <f t="shared" si="131"/>
        <v>#DIV/0!</v>
      </c>
      <c r="AN665" s="41" t="e">
        <f t="shared" si="138"/>
        <v>#DIV/0!</v>
      </c>
      <c r="AO665" s="41" t="e">
        <f t="shared" si="139"/>
        <v>#DIV/0!</v>
      </c>
      <c r="AP665" s="40"/>
      <c r="AQ665" s="36">
        <v>45153</v>
      </c>
      <c r="AR665" s="36"/>
      <c r="AS665" s="36"/>
      <c r="AT665" s="36"/>
      <c r="AU665" s="36"/>
      <c r="AV665" s="38"/>
      <c r="AW665" s="40"/>
    </row>
    <row r="666" spans="1:49" ht="48" customHeight="1" x14ac:dyDescent="0.3">
      <c r="A666" s="35" t="s">
        <v>3818</v>
      </c>
      <c r="B666" s="38">
        <v>45107</v>
      </c>
      <c r="C666" s="40">
        <v>545</v>
      </c>
      <c r="D666" s="39"/>
      <c r="E666" s="1" t="s">
        <v>3819</v>
      </c>
      <c r="F666" s="36">
        <v>45131</v>
      </c>
      <c r="G666" s="37" t="s">
        <v>3820</v>
      </c>
      <c r="H666" s="40" t="s">
        <v>802</v>
      </c>
      <c r="I666" s="40" t="s">
        <v>2791</v>
      </c>
      <c r="J666" s="57">
        <v>26544154.559999999</v>
      </c>
      <c r="K666" s="41">
        <v>26544154.559999999</v>
      </c>
      <c r="L666" s="30">
        <v>30083375.170000002</v>
      </c>
      <c r="M666" s="30">
        <f t="shared" si="140"/>
        <v>30083375.170000002</v>
      </c>
      <c r="N666" s="40" t="s">
        <v>1521</v>
      </c>
      <c r="O666" s="40" t="s">
        <v>3821</v>
      </c>
      <c r="P666" s="40" t="s">
        <v>2622</v>
      </c>
      <c r="Q666" s="44">
        <v>0</v>
      </c>
      <c r="R666" s="37">
        <v>100</v>
      </c>
      <c r="S666" s="37" t="s">
        <v>584</v>
      </c>
      <c r="T666" s="67">
        <v>18541.599999999999</v>
      </c>
      <c r="U666" s="30">
        <f>M666/W666</f>
        <v>47.720000003172515</v>
      </c>
      <c r="V666" s="41">
        <f t="shared" si="132"/>
        <v>884805.15205882338</v>
      </c>
      <c r="W666" s="41">
        <f t="shared" si="141"/>
        <v>630414.4</v>
      </c>
      <c r="X666" s="41">
        <f>556248+74166.4</f>
        <v>630414.4</v>
      </c>
      <c r="Y666" s="41">
        <v>0</v>
      </c>
      <c r="Z666" s="41">
        <f t="shared" si="133"/>
        <v>0</v>
      </c>
      <c r="AA666" s="41">
        <v>0</v>
      </c>
      <c r="AB666" s="41">
        <f t="shared" si="134"/>
        <v>0</v>
      </c>
      <c r="AC666" s="41">
        <f t="shared" si="130"/>
        <v>0</v>
      </c>
      <c r="AD666" s="41">
        <v>0</v>
      </c>
      <c r="AE666" s="41">
        <f t="shared" si="135"/>
        <v>0</v>
      </c>
      <c r="AF666" s="41">
        <v>0</v>
      </c>
      <c r="AG666" s="41">
        <f t="shared" si="136"/>
        <v>0</v>
      </c>
      <c r="AH666" s="41">
        <f t="shared" si="137"/>
        <v>0</v>
      </c>
      <c r="AI666" s="41">
        <v>0</v>
      </c>
      <c r="AJ666" s="41">
        <v>0</v>
      </c>
      <c r="AK666" s="41">
        <v>0</v>
      </c>
      <c r="AL666" s="41">
        <v>0</v>
      </c>
      <c r="AM666" s="41">
        <f t="shared" si="131"/>
        <v>0</v>
      </c>
      <c r="AN666" s="41">
        <f t="shared" si="138"/>
        <v>34.000000000000007</v>
      </c>
      <c r="AO666" s="41">
        <f t="shared" si="139"/>
        <v>34</v>
      </c>
      <c r="AP666" s="40" t="s">
        <v>3822</v>
      </c>
      <c r="AQ666" s="36">
        <v>45230</v>
      </c>
      <c r="AR666" s="36"/>
      <c r="AS666" s="36"/>
      <c r="AT666" s="36">
        <v>45245</v>
      </c>
      <c r="AU666" s="36"/>
      <c r="AV666" s="38"/>
      <c r="AW666" s="40" t="s">
        <v>49</v>
      </c>
    </row>
    <row r="667" spans="1:49" ht="48" customHeight="1" x14ac:dyDescent="0.3">
      <c r="A667" s="35" t="s">
        <v>3823</v>
      </c>
      <c r="B667" s="38">
        <v>45107</v>
      </c>
      <c r="C667" s="40">
        <v>545</v>
      </c>
      <c r="D667" s="39"/>
      <c r="E667" s="1" t="s">
        <v>3824</v>
      </c>
      <c r="F667" s="36">
        <v>45131</v>
      </c>
      <c r="G667" s="37" t="s">
        <v>3825</v>
      </c>
      <c r="H667" s="40" t="s">
        <v>878</v>
      </c>
      <c r="I667" s="40" t="s">
        <v>3826</v>
      </c>
      <c r="J667" s="57">
        <v>3697719.3</v>
      </c>
      <c r="K667" s="41">
        <v>3697719.3</v>
      </c>
      <c r="L667" s="30">
        <f t="shared" si="140"/>
        <v>3697719.3</v>
      </c>
      <c r="M667" s="30">
        <f t="shared" si="140"/>
        <v>3697719.3</v>
      </c>
      <c r="N667" s="40" t="s">
        <v>1536</v>
      </c>
      <c r="O667" s="40" t="s">
        <v>1963</v>
      </c>
      <c r="P667" s="40" t="s">
        <v>348</v>
      </c>
      <c r="Q667" s="44">
        <v>0</v>
      </c>
      <c r="R667" s="37">
        <v>100</v>
      </c>
      <c r="S667" s="37" t="s">
        <v>1964</v>
      </c>
      <c r="T667" s="48">
        <v>30</v>
      </c>
      <c r="U667" s="30">
        <f>M667/W667</f>
        <v>970.53</v>
      </c>
      <c r="V667" s="41">
        <f t="shared" si="132"/>
        <v>29115.899999999998</v>
      </c>
      <c r="W667" s="41">
        <f t="shared" si="141"/>
        <v>3810</v>
      </c>
      <c r="X667" s="41">
        <v>3810</v>
      </c>
      <c r="Y667" s="41">
        <v>0</v>
      </c>
      <c r="Z667" s="41">
        <f t="shared" si="133"/>
        <v>0</v>
      </c>
      <c r="AA667" s="41">
        <v>0</v>
      </c>
      <c r="AB667" s="41">
        <f t="shared" si="134"/>
        <v>0</v>
      </c>
      <c r="AC667" s="41">
        <f t="shared" si="130"/>
        <v>0</v>
      </c>
      <c r="AD667" s="41">
        <v>0</v>
      </c>
      <c r="AE667" s="41">
        <f t="shared" si="135"/>
        <v>0</v>
      </c>
      <c r="AF667" s="41">
        <v>0</v>
      </c>
      <c r="AG667" s="41">
        <f t="shared" si="136"/>
        <v>0</v>
      </c>
      <c r="AH667" s="41">
        <f t="shared" si="137"/>
        <v>0</v>
      </c>
      <c r="AI667" s="41">
        <v>0</v>
      </c>
      <c r="AJ667" s="41">
        <v>0</v>
      </c>
      <c r="AK667" s="41">
        <v>0</v>
      </c>
      <c r="AL667" s="41">
        <v>0</v>
      </c>
      <c r="AM667" s="41">
        <f t="shared" si="131"/>
        <v>0</v>
      </c>
      <c r="AN667" s="41">
        <f t="shared" si="138"/>
        <v>127</v>
      </c>
      <c r="AO667" s="41">
        <f t="shared" si="139"/>
        <v>127</v>
      </c>
      <c r="AP667" s="40" t="s">
        <v>3827</v>
      </c>
      <c r="AQ667" s="36">
        <v>45153</v>
      </c>
      <c r="AR667" s="36"/>
      <c r="AS667" s="36"/>
      <c r="AT667" s="36">
        <v>45168</v>
      </c>
      <c r="AU667" s="36"/>
      <c r="AV667" s="38"/>
      <c r="AW667" s="40" t="s">
        <v>49</v>
      </c>
    </row>
    <row r="668" spans="1:49" ht="48" customHeight="1" x14ac:dyDescent="0.3">
      <c r="A668" s="35" t="s">
        <v>3828</v>
      </c>
      <c r="B668" s="38">
        <v>45107</v>
      </c>
      <c r="C668" s="40">
        <v>545</v>
      </c>
      <c r="D668" s="39" t="s">
        <v>459</v>
      </c>
      <c r="E668" s="1" t="s">
        <v>3829</v>
      </c>
      <c r="F668" s="36" t="s">
        <v>459</v>
      </c>
      <c r="G668" s="37" t="s">
        <v>459</v>
      </c>
      <c r="H668" s="40" t="s">
        <v>459</v>
      </c>
      <c r="I668" s="40" t="s">
        <v>1520</v>
      </c>
      <c r="J668" s="57">
        <v>37155541.25</v>
      </c>
      <c r="K668" s="41">
        <v>0</v>
      </c>
      <c r="L668" s="30">
        <f t="shared" si="140"/>
        <v>0</v>
      </c>
      <c r="M668" s="30">
        <f t="shared" si="140"/>
        <v>0</v>
      </c>
      <c r="N668" s="40"/>
      <c r="O668" s="40"/>
      <c r="P668" s="40"/>
      <c r="Q668" s="44"/>
      <c r="R668" s="37"/>
      <c r="S668" s="37"/>
      <c r="T668" s="48"/>
      <c r="U668" s="30" t="e">
        <f>M668/W668</f>
        <v>#DIV/0!</v>
      </c>
      <c r="V668" s="41" t="e">
        <f t="shared" si="132"/>
        <v>#DIV/0!</v>
      </c>
      <c r="W668" s="41">
        <f t="shared" si="141"/>
        <v>0</v>
      </c>
      <c r="X668" s="41">
        <f>Y668+AA668</f>
        <v>0</v>
      </c>
      <c r="Y668" s="41">
        <v>0</v>
      </c>
      <c r="Z668" s="41" t="e">
        <f t="shared" si="133"/>
        <v>#DIV/0!</v>
      </c>
      <c r="AA668" s="41">
        <v>0</v>
      </c>
      <c r="AB668" s="41" t="e">
        <f t="shared" si="134"/>
        <v>#DIV/0!</v>
      </c>
      <c r="AC668" s="41">
        <f t="shared" si="130"/>
        <v>0</v>
      </c>
      <c r="AD668" s="41">
        <v>0</v>
      </c>
      <c r="AE668" s="41" t="e">
        <f t="shared" si="135"/>
        <v>#DIV/0!</v>
      </c>
      <c r="AF668" s="41">
        <v>0</v>
      </c>
      <c r="AG668" s="41" t="e">
        <f t="shared" si="136"/>
        <v>#DIV/0!</v>
      </c>
      <c r="AH668" s="41">
        <f t="shared" si="137"/>
        <v>0</v>
      </c>
      <c r="AI668" s="41">
        <v>0</v>
      </c>
      <c r="AJ668" s="41">
        <v>0</v>
      </c>
      <c r="AK668" s="41">
        <v>0</v>
      </c>
      <c r="AL668" s="41">
        <v>0</v>
      </c>
      <c r="AM668" s="41" t="e">
        <f t="shared" si="131"/>
        <v>#DIV/0!</v>
      </c>
      <c r="AN668" s="41" t="e">
        <f t="shared" si="138"/>
        <v>#DIV/0!</v>
      </c>
      <c r="AO668" s="41" t="e">
        <f t="shared" si="139"/>
        <v>#DIV/0!</v>
      </c>
      <c r="AP668" s="40"/>
      <c r="AQ668" s="36">
        <v>45169</v>
      </c>
      <c r="AR668" s="36"/>
      <c r="AS668" s="36"/>
      <c r="AT668" s="36"/>
      <c r="AU668" s="36"/>
      <c r="AV668" s="38"/>
      <c r="AW668" s="40"/>
    </row>
    <row r="669" spans="1:49" ht="48" customHeight="1" x14ac:dyDescent="0.3">
      <c r="A669" s="35" t="s">
        <v>3830</v>
      </c>
      <c r="B669" s="38">
        <v>45107</v>
      </c>
      <c r="C669" s="40">
        <v>545</v>
      </c>
      <c r="D669" s="39"/>
      <c r="E669" s="1" t="s">
        <v>3831</v>
      </c>
      <c r="F669" s="36">
        <v>45131</v>
      </c>
      <c r="G669" s="37" t="s">
        <v>3832</v>
      </c>
      <c r="H669" s="40" t="s">
        <v>224</v>
      </c>
      <c r="I669" s="40" t="s">
        <v>1339</v>
      </c>
      <c r="J669" s="57">
        <v>32538000</v>
      </c>
      <c r="K669" s="41">
        <v>32538000</v>
      </c>
      <c r="L669" s="30">
        <f t="shared" si="140"/>
        <v>32538000</v>
      </c>
      <c r="M669" s="30">
        <f t="shared" si="140"/>
        <v>32538000</v>
      </c>
      <c r="N669" s="40" t="s">
        <v>1300</v>
      </c>
      <c r="O669" s="40" t="s">
        <v>3348</v>
      </c>
      <c r="P669" s="40" t="s">
        <v>1032</v>
      </c>
      <c r="Q669" s="44">
        <v>0</v>
      </c>
      <c r="R669" s="37">
        <v>100</v>
      </c>
      <c r="S669" s="37" t="s">
        <v>1964</v>
      </c>
      <c r="T669" s="48">
        <v>60</v>
      </c>
      <c r="U669" s="30">
        <f>M669/W669</f>
        <v>15950</v>
      </c>
      <c r="V669" s="41">
        <f t="shared" si="132"/>
        <v>957000</v>
      </c>
      <c r="W669" s="41">
        <f t="shared" si="141"/>
        <v>2040</v>
      </c>
      <c r="X669" s="41">
        <v>2040</v>
      </c>
      <c r="Y669" s="41">
        <v>0</v>
      </c>
      <c r="Z669" s="41">
        <f t="shared" si="133"/>
        <v>0</v>
      </c>
      <c r="AA669" s="41">
        <v>0</v>
      </c>
      <c r="AB669" s="41">
        <f t="shared" si="134"/>
        <v>0</v>
      </c>
      <c r="AC669" s="41">
        <f t="shared" si="130"/>
        <v>0</v>
      </c>
      <c r="AD669" s="41">
        <v>0</v>
      </c>
      <c r="AE669" s="41">
        <f t="shared" si="135"/>
        <v>0</v>
      </c>
      <c r="AF669" s="41">
        <v>0</v>
      </c>
      <c r="AG669" s="41">
        <f t="shared" si="136"/>
        <v>0</v>
      </c>
      <c r="AH669" s="41">
        <f t="shared" si="137"/>
        <v>0</v>
      </c>
      <c r="AI669" s="41">
        <v>0</v>
      </c>
      <c r="AJ669" s="41">
        <v>0</v>
      </c>
      <c r="AK669" s="41">
        <v>0</v>
      </c>
      <c r="AL669" s="41">
        <v>0</v>
      </c>
      <c r="AM669" s="41">
        <f t="shared" si="131"/>
        <v>0</v>
      </c>
      <c r="AN669" s="41">
        <f t="shared" si="138"/>
        <v>34</v>
      </c>
      <c r="AO669" s="41">
        <f t="shared" si="139"/>
        <v>34</v>
      </c>
      <c r="AP669" s="40" t="s">
        <v>3833</v>
      </c>
      <c r="AQ669" s="36">
        <v>45214</v>
      </c>
      <c r="AR669" s="36"/>
      <c r="AS669" s="36"/>
      <c r="AT669" s="36">
        <v>45229</v>
      </c>
      <c r="AU669" s="36"/>
      <c r="AV669" s="38"/>
      <c r="AW669" s="40" t="s">
        <v>49</v>
      </c>
    </row>
    <row r="670" spans="1:49" ht="48" customHeight="1" x14ac:dyDescent="0.3">
      <c r="A670" s="35" t="s">
        <v>3834</v>
      </c>
      <c r="B670" s="38">
        <v>45107</v>
      </c>
      <c r="C670" s="40">
        <v>1416</v>
      </c>
      <c r="D670" s="39" t="s">
        <v>459</v>
      </c>
      <c r="E670" s="1" t="s">
        <v>3835</v>
      </c>
      <c r="F670" s="36" t="s">
        <v>459</v>
      </c>
      <c r="G670" s="37" t="s">
        <v>459</v>
      </c>
      <c r="H670" s="40" t="s">
        <v>459</v>
      </c>
      <c r="I670" s="40" t="s">
        <v>3836</v>
      </c>
      <c r="J670" s="57">
        <v>7350988.3600000003</v>
      </c>
      <c r="K670" s="41">
        <v>0</v>
      </c>
      <c r="L670" s="30">
        <f t="shared" si="140"/>
        <v>0</v>
      </c>
      <c r="M670" s="30">
        <f t="shared" si="140"/>
        <v>0</v>
      </c>
      <c r="N670" s="40"/>
      <c r="O670" s="40"/>
      <c r="P670" s="40"/>
      <c r="Q670" s="44"/>
      <c r="R670" s="37"/>
      <c r="S670" s="37"/>
      <c r="T670" s="48"/>
      <c r="U670" s="30" t="e">
        <f>M670/W670</f>
        <v>#DIV/0!</v>
      </c>
      <c r="V670" s="41" t="e">
        <f t="shared" si="132"/>
        <v>#DIV/0!</v>
      </c>
      <c r="W670" s="41">
        <f t="shared" si="141"/>
        <v>0</v>
      </c>
      <c r="X670" s="41">
        <f>Y670+AA670</f>
        <v>0</v>
      </c>
      <c r="Y670" s="41">
        <v>0</v>
      </c>
      <c r="Z670" s="41" t="e">
        <f t="shared" si="133"/>
        <v>#DIV/0!</v>
      </c>
      <c r="AA670" s="41">
        <v>0</v>
      </c>
      <c r="AB670" s="41" t="e">
        <f t="shared" si="134"/>
        <v>#DIV/0!</v>
      </c>
      <c r="AC670" s="41">
        <f t="shared" si="130"/>
        <v>0</v>
      </c>
      <c r="AD670" s="41">
        <v>0</v>
      </c>
      <c r="AE670" s="41" t="e">
        <f t="shared" si="135"/>
        <v>#DIV/0!</v>
      </c>
      <c r="AF670" s="41">
        <v>0</v>
      </c>
      <c r="AG670" s="41" t="e">
        <f t="shared" si="136"/>
        <v>#DIV/0!</v>
      </c>
      <c r="AH670" s="41">
        <f t="shared" si="137"/>
        <v>0</v>
      </c>
      <c r="AI670" s="41">
        <v>0</v>
      </c>
      <c r="AJ670" s="41">
        <v>0</v>
      </c>
      <c r="AK670" s="41">
        <v>0</v>
      </c>
      <c r="AL670" s="41">
        <v>0</v>
      </c>
      <c r="AM670" s="41" t="e">
        <f t="shared" si="131"/>
        <v>#DIV/0!</v>
      </c>
      <c r="AN670" s="41" t="e">
        <f t="shared" si="138"/>
        <v>#DIV/0!</v>
      </c>
      <c r="AO670" s="41" t="e">
        <f t="shared" si="139"/>
        <v>#DIV/0!</v>
      </c>
      <c r="AP670" s="40"/>
      <c r="AQ670" s="36">
        <v>45170</v>
      </c>
      <c r="AR670" s="36"/>
      <c r="AS670" s="36"/>
      <c r="AT670" s="36"/>
      <c r="AU670" s="36"/>
      <c r="AV670" s="38"/>
      <c r="AW670" s="40"/>
    </row>
    <row r="671" spans="1:49" ht="48" customHeight="1" x14ac:dyDescent="0.3">
      <c r="A671" s="35" t="s">
        <v>3837</v>
      </c>
      <c r="B671" s="38">
        <v>45107</v>
      </c>
      <c r="C671" s="40" t="s">
        <v>162</v>
      </c>
      <c r="D671" s="39"/>
      <c r="E671" s="1" t="s">
        <v>3838</v>
      </c>
      <c r="F671" s="36">
        <v>45132</v>
      </c>
      <c r="G671" s="37" t="s">
        <v>3839</v>
      </c>
      <c r="H671" s="40" t="s">
        <v>186</v>
      </c>
      <c r="I671" s="40" t="s">
        <v>3840</v>
      </c>
      <c r="J671" s="57">
        <v>178284984.41999999</v>
      </c>
      <c r="K671" s="41">
        <v>178284984.41999999</v>
      </c>
      <c r="L671" s="30">
        <f t="shared" si="140"/>
        <v>178284984.41999999</v>
      </c>
      <c r="M671" s="30">
        <f t="shared" si="140"/>
        <v>178284984.41999999</v>
      </c>
      <c r="N671" s="40" t="s">
        <v>2602</v>
      </c>
      <c r="O671" s="40" t="s">
        <v>3841</v>
      </c>
      <c r="P671" s="40" t="s">
        <v>47</v>
      </c>
      <c r="Q671" s="44">
        <v>100</v>
      </c>
      <c r="R671" s="37">
        <v>0</v>
      </c>
      <c r="S671" s="37" t="s">
        <v>1964</v>
      </c>
      <c r="T671" s="48">
        <v>30</v>
      </c>
      <c r="U671" s="30">
        <f>M671/W671</f>
        <v>201.66</v>
      </c>
      <c r="V671" s="41">
        <f t="shared" si="132"/>
        <v>6049.8</v>
      </c>
      <c r="W671" s="41">
        <f t="shared" si="141"/>
        <v>884087</v>
      </c>
      <c r="X671" s="41">
        <v>390000</v>
      </c>
      <c r="Y671" s="41">
        <v>0</v>
      </c>
      <c r="Z671" s="41">
        <f t="shared" si="133"/>
        <v>0</v>
      </c>
      <c r="AA671" s="41">
        <v>0</v>
      </c>
      <c r="AB671" s="41">
        <f t="shared" si="134"/>
        <v>0</v>
      </c>
      <c r="AC671" s="41">
        <v>494087</v>
      </c>
      <c r="AD671" s="41">
        <v>0</v>
      </c>
      <c r="AE671" s="41">
        <f t="shared" si="135"/>
        <v>0</v>
      </c>
      <c r="AF671" s="41">
        <v>0</v>
      </c>
      <c r="AG671" s="41">
        <f t="shared" si="136"/>
        <v>0</v>
      </c>
      <c r="AH671" s="41">
        <f t="shared" si="137"/>
        <v>0</v>
      </c>
      <c r="AI671" s="41">
        <v>0</v>
      </c>
      <c r="AJ671" s="41">
        <v>0</v>
      </c>
      <c r="AK671" s="41">
        <v>0</v>
      </c>
      <c r="AL671" s="41">
        <v>0</v>
      </c>
      <c r="AM671" s="41">
        <f t="shared" si="131"/>
        <v>0</v>
      </c>
      <c r="AN671" s="41">
        <f t="shared" si="138"/>
        <v>29469.566666666666</v>
      </c>
      <c r="AO671" s="41">
        <f t="shared" si="139"/>
        <v>29470</v>
      </c>
      <c r="AP671" s="40"/>
      <c r="AQ671" s="36">
        <v>45169</v>
      </c>
      <c r="AR671" s="36">
        <v>45200</v>
      </c>
      <c r="AS671" s="36"/>
      <c r="AT671" s="36">
        <v>45184</v>
      </c>
      <c r="AU671" s="36">
        <v>45214</v>
      </c>
      <c r="AV671" s="38"/>
      <c r="AW671" s="40" t="s">
        <v>49</v>
      </c>
    </row>
    <row r="672" spans="1:49" ht="48" customHeight="1" x14ac:dyDescent="0.3">
      <c r="A672" s="35" t="s">
        <v>3842</v>
      </c>
      <c r="B672" s="38">
        <v>45107</v>
      </c>
      <c r="C672" s="40">
        <v>1416</v>
      </c>
      <c r="D672" s="39"/>
      <c r="E672" s="1" t="s">
        <v>3843</v>
      </c>
      <c r="F672" s="36">
        <v>45131</v>
      </c>
      <c r="G672" s="37" t="s">
        <v>3844</v>
      </c>
      <c r="H672" s="40" t="s">
        <v>224</v>
      </c>
      <c r="I672" s="40" t="s">
        <v>3845</v>
      </c>
      <c r="J672" s="57">
        <v>1601491.2</v>
      </c>
      <c r="K672" s="41">
        <v>1601491.2</v>
      </c>
      <c r="L672" s="30">
        <f t="shared" si="140"/>
        <v>1601491.2</v>
      </c>
      <c r="M672" s="30">
        <f t="shared" si="140"/>
        <v>1601491.2</v>
      </c>
      <c r="N672" s="40" t="s">
        <v>278</v>
      </c>
      <c r="O672" s="40" t="s">
        <v>293</v>
      </c>
      <c r="P672" s="40" t="s">
        <v>47</v>
      </c>
      <c r="Q672" s="44">
        <v>100</v>
      </c>
      <c r="R672" s="37">
        <v>0</v>
      </c>
      <c r="S672" s="37" t="s">
        <v>1964</v>
      </c>
      <c r="T672" s="48">
        <v>60</v>
      </c>
      <c r="U672" s="30">
        <f>M672/W672</f>
        <v>111.67999999999999</v>
      </c>
      <c r="V672" s="41">
        <f t="shared" si="132"/>
        <v>6700.7999999999993</v>
      </c>
      <c r="W672" s="41">
        <f t="shared" si="141"/>
        <v>14340</v>
      </c>
      <c r="X672" s="41">
        <f>Y672+AA672</f>
        <v>14340</v>
      </c>
      <c r="Y672" s="41">
        <v>14340</v>
      </c>
      <c r="Z672" s="41">
        <f t="shared" si="133"/>
        <v>1601491.2</v>
      </c>
      <c r="AA672" s="41">
        <v>0</v>
      </c>
      <c r="AB672" s="41">
        <f t="shared" si="134"/>
        <v>0</v>
      </c>
      <c r="AC672" s="41">
        <f>AD672+AF672</f>
        <v>0</v>
      </c>
      <c r="AD672" s="41">
        <v>0</v>
      </c>
      <c r="AE672" s="41">
        <f t="shared" si="135"/>
        <v>0</v>
      </c>
      <c r="AF672" s="41">
        <v>0</v>
      </c>
      <c r="AG672" s="41">
        <f t="shared" si="136"/>
        <v>0</v>
      </c>
      <c r="AH672" s="41">
        <f t="shared" si="137"/>
        <v>0</v>
      </c>
      <c r="AI672" s="41">
        <v>0</v>
      </c>
      <c r="AJ672" s="41">
        <v>0</v>
      </c>
      <c r="AK672" s="41">
        <v>0</v>
      </c>
      <c r="AL672" s="41">
        <v>0</v>
      </c>
      <c r="AM672" s="41">
        <f t="shared" si="131"/>
        <v>1601491.2</v>
      </c>
      <c r="AN672" s="41">
        <f t="shared" si="138"/>
        <v>239</v>
      </c>
      <c r="AO672" s="41">
        <f t="shared" si="139"/>
        <v>239</v>
      </c>
      <c r="AP672" s="40"/>
      <c r="AQ672" s="36">
        <v>45139</v>
      </c>
      <c r="AR672" s="36"/>
      <c r="AS672" s="36"/>
      <c r="AT672" s="36">
        <v>45153</v>
      </c>
      <c r="AU672" s="36"/>
      <c r="AV672" s="38"/>
      <c r="AW672" s="40" t="s">
        <v>49</v>
      </c>
    </row>
    <row r="673" spans="1:49" s="34" customFormat="1" ht="48" customHeight="1" x14ac:dyDescent="0.3">
      <c r="A673" s="35" t="s">
        <v>3846</v>
      </c>
      <c r="B673" s="38">
        <v>45107</v>
      </c>
      <c r="C673" s="40">
        <v>545</v>
      </c>
      <c r="D673" s="39"/>
      <c r="E673" s="1" t="s">
        <v>3847</v>
      </c>
      <c r="F673" s="36">
        <v>45131</v>
      </c>
      <c r="G673" s="37" t="s">
        <v>3848</v>
      </c>
      <c r="H673" s="40" t="s">
        <v>878</v>
      </c>
      <c r="I673" s="40" t="s">
        <v>2554</v>
      </c>
      <c r="J673" s="57">
        <v>3142854</v>
      </c>
      <c r="K673" s="41">
        <v>3142854</v>
      </c>
      <c r="L673" s="30">
        <f t="shared" si="140"/>
        <v>3142854</v>
      </c>
      <c r="M673" s="30">
        <f t="shared" si="140"/>
        <v>3142854</v>
      </c>
      <c r="N673" s="40" t="s">
        <v>3285</v>
      </c>
      <c r="O673" s="40" t="s">
        <v>3286</v>
      </c>
      <c r="P673" s="40" t="s">
        <v>218</v>
      </c>
      <c r="Q673" s="44">
        <v>0</v>
      </c>
      <c r="R673" s="37">
        <v>100</v>
      </c>
      <c r="S673" s="37" t="s">
        <v>1964</v>
      </c>
      <c r="T673" s="48">
        <v>60</v>
      </c>
      <c r="U673" s="30">
        <f>M673/W673</f>
        <v>4029.3</v>
      </c>
      <c r="V673" s="41">
        <f t="shared" si="132"/>
        <v>241758</v>
      </c>
      <c r="W673" s="41">
        <f t="shared" si="141"/>
        <v>780</v>
      </c>
      <c r="X673" s="41">
        <v>780</v>
      </c>
      <c r="Y673" s="41">
        <v>0</v>
      </c>
      <c r="Z673" s="41">
        <f t="shared" si="133"/>
        <v>0</v>
      </c>
      <c r="AA673" s="41">
        <v>0</v>
      </c>
      <c r="AB673" s="41">
        <f t="shared" si="134"/>
        <v>0</v>
      </c>
      <c r="AC673" s="41">
        <f>AD673+AF673</f>
        <v>0</v>
      </c>
      <c r="AD673" s="41">
        <v>0</v>
      </c>
      <c r="AE673" s="41">
        <f t="shared" si="135"/>
        <v>0</v>
      </c>
      <c r="AF673" s="41">
        <v>0</v>
      </c>
      <c r="AG673" s="41">
        <f t="shared" si="136"/>
        <v>0</v>
      </c>
      <c r="AH673" s="41">
        <f t="shared" si="137"/>
        <v>0</v>
      </c>
      <c r="AI673" s="41">
        <v>0</v>
      </c>
      <c r="AJ673" s="41">
        <v>0</v>
      </c>
      <c r="AK673" s="41">
        <v>0</v>
      </c>
      <c r="AL673" s="41">
        <v>0</v>
      </c>
      <c r="AM673" s="41">
        <f t="shared" si="131"/>
        <v>0</v>
      </c>
      <c r="AN673" s="41">
        <f t="shared" si="138"/>
        <v>13</v>
      </c>
      <c r="AO673" s="41">
        <f t="shared" si="139"/>
        <v>13</v>
      </c>
      <c r="AP673" s="40" t="s">
        <v>3849</v>
      </c>
      <c r="AQ673" s="36">
        <v>45139</v>
      </c>
      <c r="AR673" s="36"/>
      <c r="AS673" s="36"/>
      <c r="AT673" s="36">
        <v>45153</v>
      </c>
      <c r="AU673" s="36"/>
      <c r="AV673" s="38"/>
      <c r="AW673" s="40" t="s">
        <v>87</v>
      </c>
    </row>
    <row r="674" spans="1:49" s="34" customFormat="1" ht="48" customHeight="1" x14ac:dyDescent="0.3">
      <c r="A674" s="35" t="s">
        <v>3850</v>
      </c>
      <c r="B674" s="38">
        <v>45107</v>
      </c>
      <c r="C674" s="40">
        <v>1416</v>
      </c>
      <c r="D674" s="39"/>
      <c r="E674" s="1" t="s">
        <v>3851</v>
      </c>
      <c r="F674" s="36">
        <v>45131</v>
      </c>
      <c r="G674" s="37" t="s">
        <v>3852</v>
      </c>
      <c r="H674" s="40" t="s">
        <v>177</v>
      </c>
      <c r="I674" s="40" t="s">
        <v>2917</v>
      </c>
      <c r="J674" s="57">
        <v>745976.55</v>
      </c>
      <c r="K674" s="41">
        <v>745976.55</v>
      </c>
      <c r="L674" s="30">
        <f t="shared" si="140"/>
        <v>745976.55</v>
      </c>
      <c r="M674" s="30">
        <f t="shared" si="140"/>
        <v>745976.55</v>
      </c>
      <c r="N674" s="40" t="s">
        <v>3853</v>
      </c>
      <c r="O674" s="40" t="s">
        <v>3854</v>
      </c>
      <c r="P674" s="40" t="s">
        <v>47</v>
      </c>
      <c r="Q674" s="44">
        <v>100</v>
      </c>
      <c r="R674" s="37">
        <v>0</v>
      </c>
      <c r="S674" s="37" t="s">
        <v>1964</v>
      </c>
      <c r="T674" s="48">
        <v>15</v>
      </c>
      <c r="U674" s="30">
        <f>M674/W674</f>
        <v>1212.97</v>
      </c>
      <c r="V674" s="41">
        <f t="shared" si="132"/>
        <v>18194.55</v>
      </c>
      <c r="W674" s="41">
        <f t="shared" si="141"/>
        <v>615</v>
      </c>
      <c r="X674" s="41">
        <f>Y674+AA674</f>
        <v>615</v>
      </c>
      <c r="Y674" s="41">
        <v>615</v>
      </c>
      <c r="Z674" s="41">
        <f t="shared" si="133"/>
        <v>745976.55</v>
      </c>
      <c r="AA674" s="41">
        <v>0</v>
      </c>
      <c r="AB674" s="41">
        <f t="shared" si="134"/>
        <v>0</v>
      </c>
      <c r="AC674" s="41">
        <f>AD674+AF674</f>
        <v>0</v>
      </c>
      <c r="AD674" s="41">
        <v>0</v>
      </c>
      <c r="AE674" s="41">
        <f t="shared" si="135"/>
        <v>0</v>
      </c>
      <c r="AF674" s="41">
        <v>0</v>
      </c>
      <c r="AG674" s="41">
        <f t="shared" si="136"/>
        <v>0</v>
      </c>
      <c r="AH674" s="41">
        <f t="shared" si="137"/>
        <v>0</v>
      </c>
      <c r="AI674" s="41">
        <v>0</v>
      </c>
      <c r="AJ674" s="41">
        <v>0</v>
      </c>
      <c r="AK674" s="41">
        <v>0</v>
      </c>
      <c r="AL674" s="41">
        <v>0</v>
      </c>
      <c r="AM674" s="41">
        <f t="shared" si="131"/>
        <v>745976.55</v>
      </c>
      <c r="AN674" s="41">
        <f t="shared" si="138"/>
        <v>41</v>
      </c>
      <c r="AO674" s="41">
        <f t="shared" si="139"/>
        <v>41</v>
      </c>
      <c r="AP674" s="40"/>
      <c r="AQ674" s="36">
        <v>45170</v>
      </c>
      <c r="AR674" s="36"/>
      <c r="AS674" s="36"/>
      <c r="AT674" s="36">
        <v>45184</v>
      </c>
      <c r="AU674" s="36"/>
      <c r="AV674" s="38"/>
      <c r="AW674" s="40" t="s">
        <v>49</v>
      </c>
    </row>
    <row r="675" spans="1:49" s="34" customFormat="1" ht="48" customHeight="1" x14ac:dyDescent="0.3">
      <c r="A675" s="35" t="s">
        <v>3855</v>
      </c>
      <c r="B675" s="38">
        <v>45107</v>
      </c>
      <c r="C675" s="40" t="s">
        <v>162</v>
      </c>
      <c r="D675" s="39"/>
      <c r="E675" s="1" t="s">
        <v>3856</v>
      </c>
      <c r="F675" s="36">
        <v>45131</v>
      </c>
      <c r="G675" s="37" t="s">
        <v>3857</v>
      </c>
      <c r="H675" s="40" t="s">
        <v>571</v>
      </c>
      <c r="I675" s="40" t="s">
        <v>3354</v>
      </c>
      <c r="J675" s="57">
        <v>195434018.30000001</v>
      </c>
      <c r="K675" s="41">
        <v>195434018.30000001</v>
      </c>
      <c r="L675" s="30">
        <f t="shared" si="140"/>
        <v>195434018.30000001</v>
      </c>
      <c r="M675" s="30">
        <f t="shared" si="140"/>
        <v>195434018.30000001</v>
      </c>
      <c r="N675" s="40" t="s">
        <v>3858</v>
      </c>
      <c r="O675" s="40" t="s">
        <v>3859</v>
      </c>
      <c r="P675" s="40" t="s">
        <v>47</v>
      </c>
      <c r="Q675" s="44">
        <v>100</v>
      </c>
      <c r="R675" s="37">
        <v>0</v>
      </c>
      <c r="S675" s="37" t="s">
        <v>1964</v>
      </c>
      <c r="T675" s="48">
        <v>60</v>
      </c>
      <c r="U675" s="30">
        <f>M675/W675</f>
        <v>207.97999999957435</v>
      </c>
      <c r="V675" s="41">
        <f t="shared" si="132"/>
        <v>12478.799999974461</v>
      </c>
      <c r="W675" s="41">
        <f t="shared" si="141"/>
        <v>939676.98</v>
      </c>
      <c r="X675" s="41">
        <v>939676.98</v>
      </c>
      <c r="Y675" s="41">
        <v>0</v>
      </c>
      <c r="Z675" s="41">
        <f t="shared" si="133"/>
        <v>0</v>
      </c>
      <c r="AA675" s="41">
        <v>0</v>
      </c>
      <c r="AB675" s="41">
        <f t="shared" si="134"/>
        <v>0</v>
      </c>
      <c r="AC675" s="41">
        <f>AD675+AF675</f>
        <v>0</v>
      </c>
      <c r="AD675" s="41">
        <v>0</v>
      </c>
      <c r="AE675" s="41">
        <f t="shared" si="135"/>
        <v>0</v>
      </c>
      <c r="AF675" s="41">
        <v>0</v>
      </c>
      <c r="AG675" s="41">
        <f t="shared" si="136"/>
        <v>0</v>
      </c>
      <c r="AH675" s="41">
        <f t="shared" si="137"/>
        <v>0</v>
      </c>
      <c r="AI675" s="41">
        <v>0</v>
      </c>
      <c r="AJ675" s="41">
        <v>0</v>
      </c>
      <c r="AK675" s="41">
        <v>0</v>
      </c>
      <c r="AL675" s="41">
        <v>0</v>
      </c>
      <c r="AM675" s="41">
        <f t="shared" si="131"/>
        <v>0</v>
      </c>
      <c r="AN675" s="41">
        <f t="shared" si="138"/>
        <v>15661.282999999999</v>
      </c>
      <c r="AO675" s="41">
        <f t="shared" si="139"/>
        <v>15662</v>
      </c>
      <c r="AP675" s="40"/>
      <c r="AQ675" s="36">
        <v>45170</v>
      </c>
      <c r="AR675" s="36"/>
      <c r="AS675" s="36"/>
      <c r="AT675" s="36">
        <v>45184</v>
      </c>
      <c r="AU675" s="36"/>
      <c r="AV675" s="38"/>
      <c r="AW675" s="40" t="s">
        <v>49</v>
      </c>
    </row>
    <row r="676" spans="1:49" s="34" customFormat="1" ht="63.75" customHeight="1" x14ac:dyDescent="0.3">
      <c r="A676" s="35" t="s">
        <v>3860</v>
      </c>
      <c r="B676" s="38">
        <v>45125</v>
      </c>
      <c r="C676" s="40" t="s">
        <v>2077</v>
      </c>
      <c r="D676" s="39"/>
      <c r="E676" s="1" t="s">
        <v>3861</v>
      </c>
      <c r="F676" s="36">
        <v>45145</v>
      </c>
      <c r="G676" s="37" t="s">
        <v>3862</v>
      </c>
      <c r="H676" s="40" t="s">
        <v>3648</v>
      </c>
      <c r="I676" s="40" t="s">
        <v>2527</v>
      </c>
      <c r="J676" s="57">
        <v>12866.04</v>
      </c>
      <c r="K676" s="41">
        <v>12866.04</v>
      </c>
      <c r="L676" s="30">
        <f t="shared" ref="L676:M738" si="142">K676</f>
        <v>12866.04</v>
      </c>
      <c r="M676" s="30">
        <f t="shared" si="142"/>
        <v>12866.04</v>
      </c>
      <c r="N676" s="40" t="s">
        <v>3863</v>
      </c>
      <c r="O676" s="40" t="s">
        <v>3864</v>
      </c>
      <c r="P676" s="40" t="s">
        <v>47</v>
      </c>
      <c r="Q676" s="44">
        <v>100</v>
      </c>
      <c r="R676" s="37">
        <v>0</v>
      </c>
      <c r="S676" s="37" t="s">
        <v>219</v>
      </c>
      <c r="T676" s="48">
        <v>100</v>
      </c>
      <c r="U676" s="30">
        <f>M676/W676</f>
        <v>0.9900000000000001</v>
      </c>
      <c r="V676" s="41">
        <f t="shared" si="132"/>
        <v>99.000000000000014</v>
      </c>
      <c r="W676" s="41">
        <f t="shared" si="141"/>
        <v>12996</v>
      </c>
      <c r="X676" s="41">
        <v>12996</v>
      </c>
      <c r="Y676" s="41">
        <v>0</v>
      </c>
      <c r="Z676" s="41">
        <f t="shared" si="133"/>
        <v>0</v>
      </c>
      <c r="AA676" s="41">
        <v>0</v>
      </c>
      <c r="AB676" s="41">
        <f t="shared" si="134"/>
        <v>0</v>
      </c>
      <c r="AC676" s="41">
        <f t="shared" ref="AC676:AC739" si="143">AD676+AF676</f>
        <v>0</v>
      </c>
      <c r="AD676" s="41">
        <v>0</v>
      </c>
      <c r="AE676" s="41">
        <f t="shared" si="135"/>
        <v>0</v>
      </c>
      <c r="AF676" s="41">
        <v>0</v>
      </c>
      <c r="AG676" s="41">
        <f t="shared" si="136"/>
        <v>0</v>
      </c>
      <c r="AH676" s="41">
        <f t="shared" si="137"/>
        <v>0</v>
      </c>
      <c r="AI676" s="41">
        <v>0</v>
      </c>
      <c r="AJ676" s="41">
        <v>0</v>
      </c>
      <c r="AK676" s="41">
        <v>0</v>
      </c>
      <c r="AL676" s="41">
        <v>0</v>
      </c>
      <c r="AM676" s="41">
        <f t="shared" si="131"/>
        <v>0</v>
      </c>
      <c r="AN676" s="41">
        <f t="shared" si="138"/>
        <v>129.96</v>
      </c>
      <c r="AO676" s="41">
        <f t="shared" si="139"/>
        <v>130</v>
      </c>
      <c r="AP676" s="40"/>
      <c r="AQ676" s="36">
        <v>45170</v>
      </c>
      <c r="AR676" s="36"/>
      <c r="AS676" s="36"/>
      <c r="AT676" s="36">
        <v>45184</v>
      </c>
      <c r="AU676" s="36"/>
      <c r="AV676" s="38"/>
      <c r="AW676" s="40" t="s">
        <v>49</v>
      </c>
    </row>
    <row r="677" spans="1:49" s="34" customFormat="1" ht="63.75" customHeight="1" x14ac:dyDescent="0.3">
      <c r="A677" s="35" t="s">
        <v>3865</v>
      </c>
      <c r="B677" s="38">
        <v>45125</v>
      </c>
      <c r="C677" s="40">
        <v>545</v>
      </c>
      <c r="D677" s="39"/>
      <c r="E677" s="1" t="s">
        <v>3866</v>
      </c>
      <c r="F677" s="36">
        <v>45145</v>
      </c>
      <c r="G677" s="37" t="s">
        <v>3867</v>
      </c>
      <c r="H677" s="40" t="s">
        <v>224</v>
      </c>
      <c r="I677" s="40" t="s">
        <v>1660</v>
      </c>
      <c r="J677" s="57">
        <v>5808008.25</v>
      </c>
      <c r="K677" s="41">
        <v>5808008.25</v>
      </c>
      <c r="L677" s="30">
        <f t="shared" si="142"/>
        <v>5808008.25</v>
      </c>
      <c r="M677" s="30">
        <f t="shared" si="142"/>
        <v>5808008.25</v>
      </c>
      <c r="N677" s="40" t="s">
        <v>2392</v>
      </c>
      <c r="O677" s="40" t="s">
        <v>2413</v>
      </c>
      <c r="P677" s="40" t="s">
        <v>2394</v>
      </c>
      <c r="Q677" s="44">
        <v>0</v>
      </c>
      <c r="R677" s="37">
        <v>100</v>
      </c>
      <c r="S677" s="37" t="s">
        <v>1489</v>
      </c>
      <c r="T677" s="48">
        <v>15</v>
      </c>
      <c r="U677" s="30">
        <f>M677/W677</f>
        <v>25813.37</v>
      </c>
      <c r="V677" s="41">
        <f t="shared" si="132"/>
        <v>387200.55</v>
      </c>
      <c r="W677" s="41">
        <f t="shared" si="141"/>
        <v>225</v>
      </c>
      <c r="X677" s="41">
        <v>225</v>
      </c>
      <c r="Y677" s="41">
        <v>0</v>
      </c>
      <c r="Z677" s="41">
        <f t="shared" si="133"/>
        <v>0</v>
      </c>
      <c r="AA677" s="41">
        <v>0</v>
      </c>
      <c r="AB677" s="41">
        <f t="shared" si="134"/>
        <v>0</v>
      </c>
      <c r="AC677" s="41">
        <f t="shared" si="143"/>
        <v>0</v>
      </c>
      <c r="AD677" s="41">
        <v>0</v>
      </c>
      <c r="AE677" s="41">
        <f t="shared" si="135"/>
        <v>0</v>
      </c>
      <c r="AF677" s="41">
        <v>0</v>
      </c>
      <c r="AG677" s="41">
        <f t="shared" si="136"/>
        <v>0</v>
      </c>
      <c r="AH677" s="41">
        <f t="shared" si="137"/>
        <v>0</v>
      </c>
      <c r="AI677" s="41">
        <v>0</v>
      </c>
      <c r="AJ677" s="41">
        <v>0</v>
      </c>
      <c r="AK677" s="41">
        <v>0</v>
      </c>
      <c r="AL677" s="41">
        <v>0</v>
      </c>
      <c r="AM677" s="41">
        <f t="shared" si="131"/>
        <v>0</v>
      </c>
      <c r="AN677" s="41">
        <f t="shared" si="138"/>
        <v>15</v>
      </c>
      <c r="AO677" s="41">
        <f t="shared" si="139"/>
        <v>15</v>
      </c>
      <c r="AP677" s="40" t="s">
        <v>3868</v>
      </c>
      <c r="AQ677" s="36">
        <v>45153</v>
      </c>
      <c r="AR677" s="36"/>
      <c r="AS677" s="36"/>
      <c r="AT677" s="36">
        <v>45168</v>
      </c>
      <c r="AU677" s="36"/>
      <c r="AV677" s="38"/>
      <c r="AW677" s="40" t="s">
        <v>49</v>
      </c>
    </row>
    <row r="678" spans="1:49" s="34" customFormat="1" ht="63.75" customHeight="1" x14ac:dyDescent="0.3">
      <c r="A678" s="35" t="s">
        <v>3869</v>
      </c>
      <c r="B678" s="38">
        <v>45125</v>
      </c>
      <c r="C678" s="40">
        <v>545</v>
      </c>
      <c r="D678" s="39"/>
      <c r="E678" s="1" t="s">
        <v>3870</v>
      </c>
      <c r="F678" s="36">
        <v>45145</v>
      </c>
      <c r="G678" s="37" t="s">
        <v>3871</v>
      </c>
      <c r="H678" s="40" t="s">
        <v>224</v>
      </c>
      <c r="I678" s="40" t="s">
        <v>1314</v>
      </c>
      <c r="J678" s="57">
        <v>55123200</v>
      </c>
      <c r="K678" s="41">
        <v>55123200</v>
      </c>
      <c r="L678" s="30">
        <f t="shared" si="142"/>
        <v>55123200</v>
      </c>
      <c r="M678" s="30">
        <f t="shared" si="142"/>
        <v>55123200</v>
      </c>
      <c r="N678" s="40" t="s">
        <v>1300</v>
      </c>
      <c r="O678" s="40" t="s">
        <v>1308</v>
      </c>
      <c r="P678" s="40" t="s">
        <v>1032</v>
      </c>
      <c r="Q678" s="44">
        <v>0</v>
      </c>
      <c r="R678" s="37">
        <v>100</v>
      </c>
      <c r="S678" s="37" t="s">
        <v>1964</v>
      </c>
      <c r="T678" s="48">
        <v>60</v>
      </c>
      <c r="U678" s="30">
        <f>M678/W678</f>
        <v>6380</v>
      </c>
      <c r="V678" s="41">
        <f t="shared" si="132"/>
        <v>382800</v>
      </c>
      <c r="W678" s="41">
        <f t="shared" si="141"/>
        <v>8640</v>
      </c>
      <c r="X678" s="41">
        <v>8640</v>
      </c>
      <c r="Y678" s="41">
        <v>0</v>
      </c>
      <c r="Z678" s="41">
        <f t="shared" si="133"/>
        <v>0</v>
      </c>
      <c r="AA678" s="41">
        <v>0</v>
      </c>
      <c r="AB678" s="41">
        <f t="shared" si="134"/>
        <v>0</v>
      </c>
      <c r="AC678" s="41">
        <f t="shared" si="143"/>
        <v>0</v>
      </c>
      <c r="AD678" s="41">
        <v>0</v>
      </c>
      <c r="AE678" s="41">
        <f t="shared" si="135"/>
        <v>0</v>
      </c>
      <c r="AF678" s="41">
        <v>0</v>
      </c>
      <c r="AG678" s="41">
        <f t="shared" si="136"/>
        <v>0</v>
      </c>
      <c r="AH678" s="41">
        <f t="shared" si="137"/>
        <v>0</v>
      </c>
      <c r="AI678" s="41">
        <v>0</v>
      </c>
      <c r="AJ678" s="41">
        <v>0</v>
      </c>
      <c r="AK678" s="41">
        <v>0</v>
      </c>
      <c r="AL678" s="41">
        <v>0</v>
      </c>
      <c r="AM678" s="41">
        <f t="shared" si="131"/>
        <v>0</v>
      </c>
      <c r="AN678" s="41">
        <f t="shared" si="138"/>
        <v>144</v>
      </c>
      <c r="AO678" s="41">
        <f t="shared" si="139"/>
        <v>144</v>
      </c>
      <c r="AP678" s="40" t="s">
        <v>3872</v>
      </c>
      <c r="AQ678" s="36">
        <v>45214</v>
      </c>
      <c r="AR678" s="36"/>
      <c r="AS678" s="36"/>
      <c r="AT678" s="36">
        <v>45229</v>
      </c>
      <c r="AU678" s="36"/>
      <c r="AV678" s="38"/>
      <c r="AW678" s="40" t="s">
        <v>49</v>
      </c>
    </row>
    <row r="679" spans="1:49" s="34" customFormat="1" ht="63.75" customHeight="1" x14ac:dyDescent="0.3">
      <c r="A679" s="35" t="s">
        <v>3873</v>
      </c>
      <c r="B679" s="38">
        <v>45125</v>
      </c>
      <c r="C679" s="40">
        <v>545</v>
      </c>
      <c r="D679" s="39"/>
      <c r="E679" s="1" t="s">
        <v>3874</v>
      </c>
      <c r="F679" s="36">
        <v>45145</v>
      </c>
      <c r="G679" s="37" t="s">
        <v>3875</v>
      </c>
      <c r="H679" s="40" t="s">
        <v>878</v>
      </c>
      <c r="I679" s="40" t="s">
        <v>1427</v>
      </c>
      <c r="J679" s="57">
        <v>1632193.2</v>
      </c>
      <c r="K679" s="41">
        <v>1632193.2</v>
      </c>
      <c r="L679" s="30">
        <f t="shared" si="142"/>
        <v>1632193.2</v>
      </c>
      <c r="M679" s="30">
        <f t="shared" si="142"/>
        <v>1632193.2</v>
      </c>
      <c r="N679" s="40" t="s">
        <v>1421</v>
      </c>
      <c r="O679" s="40" t="s">
        <v>1428</v>
      </c>
      <c r="P679" s="40" t="s">
        <v>218</v>
      </c>
      <c r="Q679" s="44">
        <v>0</v>
      </c>
      <c r="R679" s="37">
        <v>100</v>
      </c>
      <c r="S679" s="37" t="s">
        <v>1964</v>
      </c>
      <c r="T679" s="48">
        <v>60</v>
      </c>
      <c r="U679" s="30">
        <f>M679/W679</f>
        <v>3022.58</v>
      </c>
      <c r="V679" s="41">
        <f t="shared" si="132"/>
        <v>181354.8</v>
      </c>
      <c r="W679" s="41">
        <f t="shared" si="141"/>
        <v>540</v>
      </c>
      <c r="X679" s="41">
        <v>540</v>
      </c>
      <c r="Y679" s="41">
        <v>0</v>
      </c>
      <c r="Z679" s="41">
        <f t="shared" si="133"/>
        <v>0</v>
      </c>
      <c r="AA679" s="41">
        <v>0</v>
      </c>
      <c r="AB679" s="41">
        <f t="shared" si="134"/>
        <v>0</v>
      </c>
      <c r="AC679" s="41">
        <f t="shared" si="143"/>
        <v>0</v>
      </c>
      <c r="AD679" s="41">
        <v>0</v>
      </c>
      <c r="AE679" s="41">
        <f t="shared" si="135"/>
        <v>0</v>
      </c>
      <c r="AF679" s="41">
        <v>0</v>
      </c>
      <c r="AG679" s="41">
        <f t="shared" si="136"/>
        <v>0</v>
      </c>
      <c r="AH679" s="41">
        <f t="shared" si="137"/>
        <v>0</v>
      </c>
      <c r="AI679" s="41">
        <v>0</v>
      </c>
      <c r="AJ679" s="41">
        <v>0</v>
      </c>
      <c r="AK679" s="41">
        <v>0</v>
      </c>
      <c r="AL679" s="41">
        <v>0</v>
      </c>
      <c r="AM679" s="41">
        <f t="shared" si="131"/>
        <v>0</v>
      </c>
      <c r="AN679" s="41">
        <f t="shared" si="138"/>
        <v>9</v>
      </c>
      <c r="AO679" s="41">
        <f t="shared" si="139"/>
        <v>9</v>
      </c>
      <c r="AP679" s="40" t="s">
        <v>3876</v>
      </c>
      <c r="AQ679" s="36">
        <v>45170</v>
      </c>
      <c r="AR679" s="36"/>
      <c r="AS679" s="36"/>
      <c r="AT679" s="36"/>
      <c r="AU679" s="36"/>
      <c r="AV679" s="38"/>
      <c r="AW679" s="40" t="s">
        <v>49</v>
      </c>
    </row>
    <row r="680" spans="1:49" s="34" customFormat="1" ht="63.75" customHeight="1" x14ac:dyDescent="0.3">
      <c r="A680" s="35" t="s">
        <v>3877</v>
      </c>
      <c r="B680" s="38">
        <v>45125</v>
      </c>
      <c r="C680" s="40">
        <v>545</v>
      </c>
      <c r="D680" s="39"/>
      <c r="E680" s="1" t="s">
        <v>3878</v>
      </c>
      <c r="F680" s="36">
        <v>45145</v>
      </c>
      <c r="G680" s="37" t="s">
        <v>3879</v>
      </c>
      <c r="H680" s="40" t="s">
        <v>878</v>
      </c>
      <c r="I680" s="40" t="s">
        <v>1420</v>
      </c>
      <c r="J680" s="57">
        <v>5074205.4000000004</v>
      </c>
      <c r="K680" s="41">
        <v>5074205.4000000004</v>
      </c>
      <c r="L680" s="30">
        <f t="shared" si="142"/>
        <v>5074205.4000000004</v>
      </c>
      <c r="M680" s="30">
        <f t="shared" si="142"/>
        <v>5074205.4000000004</v>
      </c>
      <c r="N680" s="40" t="s">
        <v>1421</v>
      </c>
      <c r="O680" s="40" t="s">
        <v>1422</v>
      </c>
      <c r="P680" s="40" t="s">
        <v>218</v>
      </c>
      <c r="Q680" s="44">
        <v>0</v>
      </c>
      <c r="R680" s="37">
        <v>100</v>
      </c>
      <c r="S680" s="37" t="s">
        <v>1964</v>
      </c>
      <c r="T680" s="48">
        <v>60</v>
      </c>
      <c r="U680" s="30">
        <f>M680/W680</f>
        <v>2916.21</v>
      </c>
      <c r="V680" s="41">
        <f t="shared" si="132"/>
        <v>174972.6</v>
      </c>
      <c r="W680" s="41">
        <f t="shared" si="141"/>
        <v>1740</v>
      </c>
      <c r="X680" s="41">
        <v>1740</v>
      </c>
      <c r="Y680" s="41">
        <v>0</v>
      </c>
      <c r="Z680" s="41">
        <f t="shared" si="133"/>
        <v>0</v>
      </c>
      <c r="AA680" s="41">
        <v>0</v>
      </c>
      <c r="AB680" s="41">
        <f t="shared" si="134"/>
        <v>0</v>
      </c>
      <c r="AC680" s="41">
        <f t="shared" si="143"/>
        <v>0</v>
      </c>
      <c r="AD680" s="41">
        <v>0</v>
      </c>
      <c r="AE680" s="41">
        <f t="shared" si="135"/>
        <v>0</v>
      </c>
      <c r="AF680" s="41">
        <v>0</v>
      </c>
      <c r="AG680" s="41">
        <f t="shared" si="136"/>
        <v>0</v>
      </c>
      <c r="AH680" s="41">
        <f t="shared" si="137"/>
        <v>0</v>
      </c>
      <c r="AI680" s="41">
        <v>0</v>
      </c>
      <c r="AJ680" s="41">
        <v>0</v>
      </c>
      <c r="AK680" s="41">
        <v>0</v>
      </c>
      <c r="AL680" s="41">
        <v>0</v>
      </c>
      <c r="AM680" s="41">
        <f t="shared" si="131"/>
        <v>0</v>
      </c>
      <c r="AN680" s="41">
        <f t="shared" si="138"/>
        <v>29</v>
      </c>
      <c r="AO680" s="41">
        <f t="shared" si="139"/>
        <v>29</v>
      </c>
      <c r="AP680" s="40" t="s">
        <v>3880</v>
      </c>
      <c r="AQ680" s="36">
        <v>45170</v>
      </c>
      <c r="AR680" s="36"/>
      <c r="AS680" s="36"/>
      <c r="AT680" s="36">
        <v>45184</v>
      </c>
      <c r="AU680" s="36"/>
      <c r="AV680" s="38"/>
      <c r="AW680" s="40" t="s">
        <v>49</v>
      </c>
    </row>
    <row r="681" spans="1:49" s="34" customFormat="1" ht="63.75" customHeight="1" x14ac:dyDescent="0.3">
      <c r="A681" s="35" t="s">
        <v>3881</v>
      </c>
      <c r="B681" s="38">
        <v>45127</v>
      </c>
      <c r="C681" s="40" t="s">
        <v>162</v>
      </c>
      <c r="D681" s="39" t="s">
        <v>459</v>
      </c>
      <c r="E681" s="1" t="s">
        <v>3882</v>
      </c>
      <c r="F681" s="36" t="s">
        <v>459</v>
      </c>
      <c r="G681" s="37" t="s">
        <v>459</v>
      </c>
      <c r="H681" s="40" t="s">
        <v>459</v>
      </c>
      <c r="I681" s="40" t="s">
        <v>3765</v>
      </c>
      <c r="J681" s="57">
        <v>35678.92</v>
      </c>
      <c r="K681" s="41">
        <v>0</v>
      </c>
      <c r="L681" s="30">
        <f t="shared" si="142"/>
        <v>0</v>
      </c>
      <c r="M681" s="30">
        <f t="shared" si="142"/>
        <v>0</v>
      </c>
      <c r="N681" s="40"/>
      <c r="O681" s="40"/>
      <c r="P681" s="40"/>
      <c r="Q681" s="44"/>
      <c r="R681" s="37"/>
      <c r="S681" s="37"/>
      <c r="T681" s="48"/>
      <c r="U681" s="30" t="e">
        <f>M681/W681</f>
        <v>#DIV/0!</v>
      </c>
      <c r="V681" s="41" t="e">
        <f t="shared" si="132"/>
        <v>#DIV/0!</v>
      </c>
      <c r="W681" s="41">
        <f t="shared" si="141"/>
        <v>0</v>
      </c>
      <c r="X681" s="41">
        <f t="shared" ref="X681:X744" si="144">Y681+AA681</f>
        <v>0</v>
      </c>
      <c r="Y681" s="41">
        <v>0</v>
      </c>
      <c r="Z681" s="41" t="e">
        <f t="shared" si="133"/>
        <v>#DIV/0!</v>
      </c>
      <c r="AA681" s="41">
        <v>0</v>
      </c>
      <c r="AB681" s="41" t="e">
        <f t="shared" si="134"/>
        <v>#DIV/0!</v>
      </c>
      <c r="AC681" s="41">
        <f t="shared" si="143"/>
        <v>0</v>
      </c>
      <c r="AD681" s="41">
        <v>0</v>
      </c>
      <c r="AE681" s="41" t="e">
        <f t="shared" si="135"/>
        <v>#DIV/0!</v>
      </c>
      <c r="AF681" s="41">
        <v>0</v>
      </c>
      <c r="AG681" s="41" t="e">
        <f t="shared" si="136"/>
        <v>#DIV/0!</v>
      </c>
      <c r="AH681" s="41">
        <f t="shared" si="137"/>
        <v>0</v>
      </c>
      <c r="AI681" s="41">
        <v>0</v>
      </c>
      <c r="AJ681" s="41">
        <v>0</v>
      </c>
      <c r="AK681" s="41">
        <v>0</v>
      </c>
      <c r="AL681" s="41">
        <v>0</v>
      </c>
      <c r="AM681" s="41" t="e">
        <f t="shared" si="131"/>
        <v>#DIV/0!</v>
      </c>
      <c r="AN681" s="41" t="e">
        <f t="shared" si="138"/>
        <v>#DIV/0!</v>
      </c>
      <c r="AO681" s="41" t="e">
        <f t="shared" si="139"/>
        <v>#DIV/0!</v>
      </c>
      <c r="AP681" s="40"/>
      <c r="AQ681" s="36">
        <v>45170</v>
      </c>
      <c r="AR681" s="36"/>
      <c r="AS681" s="36"/>
      <c r="AT681" s="36"/>
      <c r="AU681" s="36"/>
      <c r="AV681" s="38"/>
      <c r="AW681" s="40"/>
    </row>
    <row r="682" spans="1:49" s="34" customFormat="1" ht="63.75" customHeight="1" x14ac:dyDescent="0.3">
      <c r="A682" s="35" t="s">
        <v>3883</v>
      </c>
      <c r="B682" s="38">
        <v>45127</v>
      </c>
      <c r="C682" s="40">
        <v>545</v>
      </c>
      <c r="D682" s="39" t="s">
        <v>459</v>
      </c>
      <c r="E682" s="1" t="s">
        <v>3884</v>
      </c>
      <c r="F682" s="36" t="s">
        <v>459</v>
      </c>
      <c r="G682" s="37" t="s">
        <v>459</v>
      </c>
      <c r="H682" s="40" t="s">
        <v>459</v>
      </c>
      <c r="I682" s="40" t="s">
        <v>2554</v>
      </c>
      <c r="J682" s="57">
        <v>1384495.2</v>
      </c>
      <c r="K682" s="41">
        <v>0</v>
      </c>
      <c r="L682" s="30">
        <f t="shared" si="142"/>
        <v>0</v>
      </c>
      <c r="M682" s="30">
        <f t="shared" si="142"/>
        <v>0</v>
      </c>
      <c r="N682" s="40"/>
      <c r="O682" s="40"/>
      <c r="P682" s="40"/>
      <c r="Q682" s="44"/>
      <c r="R682" s="37"/>
      <c r="S682" s="37"/>
      <c r="T682" s="48"/>
      <c r="U682" s="30" t="e">
        <f>M682/W682</f>
        <v>#DIV/0!</v>
      </c>
      <c r="V682" s="41" t="e">
        <f t="shared" si="132"/>
        <v>#DIV/0!</v>
      </c>
      <c r="W682" s="41">
        <f t="shared" si="141"/>
        <v>0</v>
      </c>
      <c r="X682" s="41">
        <f t="shared" si="144"/>
        <v>0</v>
      </c>
      <c r="Y682" s="41">
        <v>0</v>
      </c>
      <c r="Z682" s="41" t="e">
        <f t="shared" si="133"/>
        <v>#DIV/0!</v>
      </c>
      <c r="AA682" s="41">
        <v>0</v>
      </c>
      <c r="AB682" s="41" t="e">
        <f t="shared" si="134"/>
        <v>#DIV/0!</v>
      </c>
      <c r="AC682" s="41">
        <f t="shared" si="143"/>
        <v>0</v>
      </c>
      <c r="AD682" s="41">
        <v>0</v>
      </c>
      <c r="AE682" s="41" t="e">
        <f t="shared" si="135"/>
        <v>#DIV/0!</v>
      </c>
      <c r="AF682" s="41">
        <v>0</v>
      </c>
      <c r="AG682" s="41" t="e">
        <f t="shared" si="136"/>
        <v>#DIV/0!</v>
      </c>
      <c r="AH682" s="41">
        <f t="shared" si="137"/>
        <v>0</v>
      </c>
      <c r="AI682" s="41">
        <v>0</v>
      </c>
      <c r="AJ682" s="41">
        <v>0</v>
      </c>
      <c r="AK682" s="41">
        <v>0</v>
      </c>
      <c r="AL682" s="41">
        <v>0</v>
      </c>
      <c r="AM682" s="41" t="e">
        <f t="shared" si="131"/>
        <v>#DIV/0!</v>
      </c>
      <c r="AN682" s="41" t="e">
        <f t="shared" si="138"/>
        <v>#DIV/0!</v>
      </c>
      <c r="AO682" s="41" t="e">
        <f t="shared" si="139"/>
        <v>#DIV/0!</v>
      </c>
      <c r="AP682" s="40"/>
      <c r="AQ682" s="36">
        <v>45170</v>
      </c>
      <c r="AR682" s="36"/>
      <c r="AS682" s="36"/>
      <c r="AT682" s="36"/>
      <c r="AU682" s="36"/>
      <c r="AV682" s="38"/>
      <c r="AW682" s="40"/>
    </row>
    <row r="683" spans="1:49" s="34" customFormat="1" ht="63.75" customHeight="1" x14ac:dyDescent="0.3">
      <c r="A683" s="35" t="s">
        <v>3885</v>
      </c>
      <c r="B683" s="38">
        <v>45127</v>
      </c>
      <c r="C683" s="40">
        <v>545</v>
      </c>
      <c r="D683" s="39"/>
      <c r="E683" s="1" t="s">
        <v>3886</v>
      </c>
      <c r="F683" s="36">
        <v>45146</v>
      </c>
      <c r="G683" s="37" t="s">
        <v>3887</v>
      </c>
      <c r="H683" s="40" t="s">
        <v>802</v>
      </c>
      <c r="I683" s="40" t="s">
        <v>1520</v>
      </c>
      <c r="J683" s="57">
        <v>39984991.200000003</v>
      </c>
      <c r="K683" s="41">
        <v>39984991.200000003</v>
      </c>
      <c r="L683" s="30">
        <f t="shared" si="142"/>
        <v>39984991.200000003</v>
      </c>
      <c r="M683" s="30">
        <f t="shared" si="142"/>
        <v>39984991.200000003</v>
      </c>
      <c r="N683" s="40" t="s">
        <v>1434</v>
      </c>
      <c r="O683" s="40" t="s">
        <v>1522</v>
      </c>
      <c r="P683" s="40" t="s">
        <v>3888</v>
      </c>
      <c r="Q683" s="44">
        <v>0</v>
      </c>
      <c r="R683" s="37">
        <v>100</v>
      </c>
      <c r="S683" s="37" t="s">
        <v>584</v>
      </c>
      <c r="T683" s="67">
        <v>27854.400000000001</v>
      </c>
      <c r="U683" s="30">
        <f>M683/W683</f>
        <v>31.900000000000002</v>
      </c>
      <c r="V683" s="41">
        <f t="shared" si="132"/>
        <v>888555.3600000001</v>
      </c>
      <c r="W683" s="41">
        <f t="shared" si="141"/>
        <v>1253448</v>
      </c>
      <c r="X683" s="41">
        <v>1253448</v>
      </c>
      <c r="Y683" s="41">
        <v>0</v>
      </c>
      <c r="Z683" s="41">
        <f t="shared" si="133"/>
        <v>0</v>
      </c>
      <c r="AA683" s="41">
        <v>0</v>
      </c>
      <c r="AB683" s="41">
        <f t="shared" si="134"/>
        <v>0</v>
      </c>
      <c r="AC683" s="41">
        <f t="shared" si="143"/>
        <v>0</v>
      </c>
      <c r="AD683" s="41">
        <v>0</v>
      </c>
      <c r="AE683" s="41">
        <f t="shared" si="135"/>
        <v>0</v>
      </c>
      <c r="AF683" s="41">
        <v>0</v>
      </c>
      <c r="AG683" s="41">
        <f t="shared" si="136"/>
        <v>0</v>
      </c>
      <c r="AH683" s="41">
        <f t="shared" si="137"/>
        <v>0</v>
      </c>
      <c r="AI683" s="41">
        <v>0</v>
      </c>
      <c r="AJ683" s="41">
        <v>0</v>
      </c>
      <c r="AK683" s="41">
        <v>0</v>
      </c>
      <c r="AL683" s="41">
        <v>0</v>
      </c>
      <c r="AM683" s="41">
        <f t="shared" si="131"/>
        <v>0</v>
      </c>
      <c r="AN683" s="41">
        <f t="shared" si="138"/>
        <v>45</v>
      </c>
      <c r="AO683" s="41">
        <f t="shared" si="139"/>
        <v>45</v>
      </c>
      <c r="AP683" s="40" t="s">
        <v>3889</v>
      </c>
      <c r="AQ683" s="36">
        <v>45169</v>
      </c>
      <c r="AR683" s="36"/>
      <c r="AS683" s="36"/>
      <c r="AT683" s="36">
        <v>45184</v>
      </c>
      <c r="AU683" s="36"/>
      <c r="AV683" s="38"/>
      <c r="AW683" s="40" t="s">
        <v>49</v>
      </c>
    </row>
    <row r="684" spans="1:49" s="34" customFormat="1" ht="63.75" customHeight="1" x14ac:dyDescent="0.3">
      <c r="A684" s="35" t="s">
        <v>3890</v>
      </c>
      <c r="B684" s="38">
        <v>45127</v>
      </c>
      <c r="C684" s="40" t="s">
        <v>162</v>
      </c>
      <c r="D684" s="39"/>
      <c r="E684" s="1" t="s">
        <v>3891</v>
      </c>
      <c r="F684" s="36">
        <v>45146</v>
      </c>
      <c r="G684" s="37" t="s">
        <v>3892</v>
      </c>
      <c r="H684" s="40" t="s">
        <v>555</v>
      </c>
      <c r="I684" s="40" t="s">
        <v>2053</v>
      </c>
      <c r="J684" s="57">
        <v>30307.200000000001</v>
      </c>
      <c r="K684" s="41">
        <v>30307.200000000001</v>
      </c>
      <c r="L684" s="30">
        <f t="shared" si="142"/>
        <v>30307.200000000001</v>
      </c>
      <c r="M684" s="30">
        <f t="shared" si="142"/>
        <v>30307.200000000001</v>
      </c>
      <c r="N684" s="40" t="s">
        <v>3893</v>
      </c>
      <c r="O684" s="40" t="s">
        <v>3894</v>
      </c>
      <c r="P684" s="40" t="s">
        <v>47</v>
      </c>
      <c r="Q684" s="44">
        <v>100</v>
      </c>
      <c r="R684" s="37">
        <v>0</v>
      </c>
      <c r="S684" s="37" t="s">
        <v>219</v>
      </c>
      <c r="T684" s="48">
        <v>240</v>
      </c>
      <c r="U684" s="30">
        <f>M684/W684</f>
        <v>1.54</v>
      </c>
      <c r="V684" s="41">
        <f t="shared" si="132"/>
        <v>369.6</v>
      </c>
      <c r="W684" s="41">
        <f t="shared" si="141"/>
        <v>19680</v>
      </c>
      <c r="X684" s="41">
        <v>19680</v>
      </c>
      <c r="Y684" s="41">
        <v>0</v>
      </c>
      <c r="Z684" s="41">
        <f t="shared" si="133"/>
        <v>0</v>
      </c>
      <c r="AA684" s="41">
        <v>0</v>
      </c>
      <c r="AB684" s="41">
        <f t="shared" si="134"/>
        <v>0</v>
      </c>
      <c r="AC684" s="41">
        <f t="shared" si="143"/>
        <v>0</v>
      </c>
      <c r="AD684" s="41">
        <v>0</v>
      </c>
      <c r="AE684" s="41">
        <f t="shared" si="135"/>
        <v>0</v>
      </c>
      <c r="AF684" s="41">
        <v>0</v>
      </c>
      <c r="AG684" s="41">
        <f t="shared" si="136"/>
        <v>0</v>
      </c>
      <c r="AH684" s="41">
        <f t="shared" si="137"/>
        <v>0</v>
      </c>
      <c r="AI684" s="41">
        <v>0</v>
      </c>
      <c r="AJ684" s="41">
        <v>0</v>
      </c>
      <c r="AK684" s="41">
        <v>0</v>
      </c>
      <c r="AL684" s="41">
        <v>0</v>
      </c>
      <c r="AM684" s="41">
        <f t="shared" si="131"/>
        <v>0</v>
      </c>
      <c r="AN684" s="41">
        <f t="shared" si="138"/>
        <v>82</v>
      </c>
      <c r="AO684" s="41">
        <f t="shared" si="139"/>
        <v>82</v>
      </c>
      <c r="AP684" s="40"/>
      <c r="AQ684" s="36">
        <v>45170</v>
      </c>
      <c r="AR684" s="36"/>
      <c r="AS684" s="36"/>
      <c r="AT684" s="36">
        <v>45184</v>
      </c>
      <c r="AU684" s="36"/>
      <c r="AV684" s="38"/>
      <c r="AW684" s="40" t="s">
        <v>49</v>
      </c>
    </row>
    <row r="685" spans="1:49" s="34" customFormat="1" ht="63.75" customHeight="1" x14ac:dyDescent="0.3">
      <c r="A685" s="35" t="s">
        <v>3895</v>
      </c>
      <c r="B685" s="38">
        <v>45127</v>
      </c>
      <c r="C685" s="40" t="s">
        <v>162</v>
      </c>
      <c r="D685" s="39"/>
      <c r="E685" s="1" t="s">
        <v>3896</v>
      </c>
      <c r="F685" s="36">
        <v>45146</v>
      </c>
      <c r="G685" s="37" t="s">
        <v>3897</v>
      </c>
      <c r="H685" s="40" t="s">
        <v>555</v>
      </c>
      <c r="I685" s="40" t="s">
        <v>1203</v>
      </c>
      <c r="J685" s="57">
        <v>50831</v>
      </c>
      <c r="K685" s="41">
        <v>50831</v>
      </c>
      <c r="L685" s="30">
        <f t="shared" si="142"/>
        <v>50831</v>
      </c>
      <c r="M685" s="30">
        <f t="shared" si="142"/>
        <v>50831</v>
      </c>
      <c r="N685" s="40" t="s">
        <v>1204</v>
      </c>
      <c r="O685" s="40" t="s">
        <v>3898</v>
      </c>
      <c r="P685" s="40" t="s">
        <v>47</v>
      </c>
      <c r="Q685" s="44">
        <v>100</v>
      </c>
      <c r="R685" s="37">
        <v>0</v>
      </c>
      <c r="S685" s="37" t="s">
        <v>219</v>
      </c>
      <c r="T685" s="48">
        <v>240</v>
      </c>
      <c r="U685" s="30">
        <f>M685/W685</f>
        <v>1.1000000000000001</v>
      </c>
      <c r="V685" s="41">
        <f t="shared" si="132"/>
        <v>264</v>
      </c>
      <c r="W685" s="41">
        <f t="shared" si="141"/>
        <v>46210</v>
      </c>
      <c r="X685" s="41">
        <v>46210</v>
      </c>
      <c r="Y685" s="41">
        <v>0</v>
      </c>
      <c r="Z685" s="41">
        <f t="shared" si="133"/>
        <v>0</v>
      </c>
      <c r="AA685" s="41">
        <v>0</v>
      </c>
      <c r="AB685" s="41">
        <f t="shared" si="134"/>
        <v>0</v>
      </c>
      <c r="AC685" s="41">
        <f t="shared" si="143"/>
        <v>0</v>
      </c>
      <c r="AD685" s="41">
        <v>0</v>
      </c>
      <c r="AE685" s="41">
        <f t="shared" si="135"/>
        <v>0</v>
      </c>
      <c r="AF685" s="41">
        <v>0</v>
      </c>
      <c r="AG685" s="41">
        <f t="shared" si="136"/>
        <v>0</v>
      </c>
      <c r="AH685" s="41">
        <f t="shared" si="137"/>
        <v>0</v>
      </c>
      <c r="AI685" s="41">
        <v>0</v>
      </c>
      <c r="AJ685" s="41">
        <v>0</v>
      </c>
      <c r="AK685" s="41">
        <v>0</v>
      </c>
      <c r="AL685" s="41">
        <v>0</v>
      </c>
      <c r="AM685" s="41">
        <f t="shared" si="131"/>
        <v>0</v>
      </c>
      <c r="AN685" s="41">
        <f t="shared" si="138"/>
        <v>192.54166666666666</v>
      </c>
      <c r="AO685" s="41">
        <f t="shared" si="139"/>
        <v>193</v>
      </c>
      <c r="AP685" s="40"/>
      <c r="AQ685" s="36">
        <v>45170</v>
      </c>
      <c r="AR685" s="36"/>
      <c r="AS685" s="36"/>
      <c r="AT685" s="36">
        <v>45184</v>
      </c>
      <c r="AU685" s="36"/>
      <c r="AV685" s="38"/>
      <c r="AW685" s="40" t="s">
        <v>49</v>
      </c>
    </row>
    <row r="686" spans="1:49" s="34" customFormat="1" ht="15.75" customHeight="1" x14ac:dyDescent="0.3">
      <c r="A686" s="35"/>
      <c r="B686" s="36"/>
      <c r="C686" s="37"/>
      <c r="D686" s="39"/>
      <c r="E686" s="40"/>
      <c r="F686" s="36"/>
      <c r="G686" s="37"/>
      <c r="H686" s="40"/>
      <c r="I686" s="40"/>
      <c r="J686" s="41"/>
      <c r="K686" s="41">
        <v>0</v>
      </c>
      <c r="L686" s="30">
        <f t="shared" si="142"/>
        <v>0</v>
      </c>
      <c r="M686" s="30">
        <f t="shared" si="142"/>
        <v>0</v>
      </c>
      <c r="N686" s="40"/>
      <c r="O686" s="40"/>
      <c r="P686" s="40"/>
      <c r="Q686" s="44"/>
      <c r="R686" s="37"/>
      <c r="S686" s="37"/>
      <c r="T686" s="48"/>
      <c r="U686" s="30" t="e">
        <f>M686/W686</f>
        <v>#DIV/0!</v>
      </c>
      <c r="V686" s="41" t="e">
        <f t="shared" si="132"/>
        <v>#DIV/0!</v>
      </c>
      <c r="W686" s="41">
        <f t="shared" si="141"/>
        <v>0</v>
      </c>
      <c r="X686" s="41">
        <f t="shared" si="144"/>
        <v>0</v>
      </c>
      <c r="Y686" s="41">
        <v>0</v>
      </c>
      <c r="Z686" s="41" t="e">
        <f t="shared" si="133"/>
        <v>#DIV/0!</v>
      </c>
      <c r="AA686" s="41">
        <v>0</v>
      </c>
      <c r="AB686" s="41" t="e">
        <f t="shared" si="134"/>
        <v>#DIV/0!</v>
      </c>
      <c r="AC686" s="41">
        <f t="shared" si="143"/>
        <v>0</v>
      </c>
      <c r="AD686" s="41">
        <v>0</v>
      </c>
      <c r="AE686" s="41" t="e">
        <f t="shared" si="135"/>
        <v>#DIV/0!</v>
      </c>
      <c r="AF686" s="41">
        <v>0</v>
      </c>
      <c r="AG686" s="41" t="e">
        <f t="shared" si="136"/>
        <v>#DIV/0!</v>
      </c>
      <c r="AH686" s="41">
        <f t="shared" si="137"/>
        <v>0</v>
      </c>
      <c r="AI686" s="41">
        <v>0</v>
      </c>
      <c r="AJ686" s="41">
        <v>0</v>
      </c>
      <c r="AK686" s="41">
        <v>0</v>
      </c>
      <c r="AL686" s="41">
        <v>0</v>
      </c>
      <c r="AM686" s="41" t="e">
        <f t="shared" si="131"/>
        <v>#DIV/0!</v>
      </c>
      <c r="AN686" s="41" t="e">
        <f t="shared" si="138"/>
        <v>#DIV/0!</v>
      </c>
      <c r="AO686" s="41" t="e">
        <f t="shared" si="139"/>
        <v>#DIV/0!</v>
      </c>
      <c r="AP686" s="40"/>
      <c r="AQ686" s="36"/>
      <c r="AR686" s="36"/>
      <c r="AS686" s="36"/>
      <c r="AT686" s="36"/>
      <c r="AU686" s="36"/>
      <c r="AV686" s="38"/>
      <c r="AW686" s="40"/>
    </row>
    <row r="687" spans="1:49" s="34" customFormat="1" ht="15.75" customHeight="1" x14ac:dyDescent="0.3">
      <c r="A687" s="35"/>
      <c r="B687" s="36"/>
      <c r="C687" s="37"/>
      <c r="D687" s="39"/>
      <c r="E687" s="40"/>
      <c r="F687" s="36"/>
      <c r="G687" s="37"/>
      <c r="H687" s="40"/>
      <c r="I687" s="40"/>
      <c r="J687" s="41"/>
      <c r="K687" s="41">
        <v>0</v>
      </c>
      <c r="L687" s="30">
        <f t="shared" si="142"/>
        <v>0</v>
      </c>
      <c r="M687" s="30">
        <f t="shared" si="142"/>
        <v>0</v>
      </c>
      <c r="N687" s="40"/>
      <c r="O687" s="40"/>
      <c r="P687" s="40"/>
      <c r="Q687" s="44"/>
      <c r="R687" s="37"/>
      <c r="S687" s="37"/>
      <c r="T687" s="48"/>
      <c r="U687" s="30" t="e">
        <f>M687/W687</f>
        <v>#DIV/0!</v>
      </c>
      <c r="V687" s="41" t="e">
        <f t="shared" si="132"/>
        <v>#DIV/0!</v>
      </c>
      <c r="W687" s="41">
        <f t="shared" si="141"/>
        <v>0</v>
      </c>
      <c r="X687" s="41">
        <f t="shared" si="144"/>
        <v>0</v>
      </c>
      <c r="Y687" s="41">
        <v>0</v>
      </c>
      <c r="Z687" s="41" t="e">
        <f t="shared" si="133"/>
        <v>#DIV/0!</v>
      </c>
      <c r="AA687" s="41">
        <v>0</v>
      </c>
      <c r="AB687" s="41" t="e">
        <f t="shared" si="134"/>
        <v>#DIV/0!</v>
      </c>
      <c r="AC687" s="41">
        <f t="shared" si="143"/>
        <v>0</v>
      </c>
      <c r="AD687" s="41">
        <v>0</v>
      </c>
      <c r="AE687" s="41" t="e">
        <f t="shared" si="135"/>
        <v>#DIV/0!</v>
      </c>
      <c r="AF687" s="41">
        <v>0</v>
      </c>
      <c r="AG687" s="41" t="e">
        <f t="shared" si="136"/>
        <v>#DIV/0!</v>
      </c>
      <c r="AH687" s="41">
        <f t="shared" si="137"/>
        <v>0</v>
      </c>
      <c r="AI687" s="41">
        <v>0</v>
      </c>
      <c r="AJ687" s="41">
        <v>0</v>
      </c>
      <c r="AK687" s="41">
        <v>0</v>
      </c>
      <c r="AL687" s="41">
        <v>0</v>
      </c>
      <c r="AM687" s="41" t="e">
        <f t="shared" si="131"/>
        <v>#DIV/0!</v>
      </c>
      <c r="AN687" s="41" t="e">
        <f t="shared" si="138"/>
        <v>#DIV/0!</v>
      </c>
      <c r="AO687" s="41" t="e">
        <f t="shared" si="139"/>
        <v>#DIV/0!</v>
      </c>
      <c r="AP687" s="40"/>
      <c r="AQ687" s="36"/>
      <c r="AR687" s="36"/>
      <c r="AS687" s="36"/>
      <c r="AT687" s="36"/>
      <c r="AU687" s="36"/>
      <c r="AV687" s="38"/>
      <c r="AW687" s="40"/>
    </row>
    <row r="688" spans="1:49" s="34" customFormat="1" ht="15.75" customHeight="1" x14ac:dyDescent="0.3">
      <c r="A688" s="35"/>
      <c r="B688" s="36"/>
      <c r="C688" s="37"/>
      <c r="D688" s="39"/>
      <c r="E688" s="40"/>
      <c r="F688" s="36"/>
      <c r="G688" s="37"/>
      <c r="H688" s="40"/>
      <c r="I688" s="40"/>
      <c r="J688" s="41"/>
      <c r="K688" s="41">
        <v>0</v>
      </c>
      <c r="L688" s="30">
        <f t="shared" si="142"/>
        <v>0</v>
      </c>
      <c r="M688" s="30">
        <f t="shared" si="142"/>
        <v>0</v>
      </c>
      <c r="N688" s="40"/>
      <c r="O688" s="40"/>
      <c r="P688" s="40"/>
      <c r="Q688" s="44"/>
      <c r="R688" s="37"/>
      <c r="S688" s="37"/>
      <c r="T688" s="48"/>
      <c r="U688" s="30" t="e">
        <f>M688/W688</f>
        <v>#DIV/0!</v>
      </c>
      <c r="V688" s="41" t="e">
        <f t="shared" si="132"/>
        <v>#DIV/0!</v>
      </c>
      <c r="W688" s="41">
        <f t="shared" si="141"/>
        <v>0</v>
      </c>
      <c r="X688" s="41">
        <f t="shared" si="144"/>
        <v>0</v>
      </c>
      <c r="Y688" s="41">
        <v>0</v>
      </c>
      <c r="Z688" s="41" t="e">
        <f t="shared" si="133"/>
        <v>#DIV/0!</v>
      </c>
      <c r="AA688" s="41">
        <v>0</v>
      </c>
      <c r="AB688" s="41" t="e">
        <f t="shared" si="134"/>
        <v>#DIV/0!</v>
      </c>
      <c r="AC688" s="41">
        <f t="shared" si="143"/>
        <v>0</v>
      </c>
      <c r="AD688" s="41">
        <v>0</v>
      </c>
      <c r="AE688" s="41" t="e">
        <f t="shared" si="135"/>
        <v>#DIV/0!</v>
      </c>
      <c r="AF688" s="41">
        <v>0</v>
      </c>
      <c r="AG688" s="41" t="e">
        <f t="shared" si="136"/>
        <v>#DIV/0!</v>
      </c>
      <c r="AH688" s="41">
        <f t="shared" si="137"/>
        <v>0</v>
      </c>
      <c r="AI688" s="41">
        <v>0</v>
      </c>
      <c r="AJ688" s="41">
        <v>0</v>
      </c>
      <c r="AK688" s="41">
        <v>0</v>
      </c>
      <c r="AL688" s="41">
        <v>0</v>
      </c>
      <c r="AM688" s="41" t="e">
        <f t="shared" si="131"/>
        <v>#DIV/0!</v>
      </c>
      <c r="AN688" s="41" t="e">
        <f t="shared" si="138"/>
        <v>#DIV/0!</v>
      </c>
      <c r="AO688" s="41" t="e">
        <f t="shared" si="139"/>
        <v>#DIV/0!</v>
      </c>
      <c r="AP688" s="40"/>
      <c r="AQ688" s="36"/>
      <c r="AR688" s="36"/>
      <c r="AS688" s="36"/>
      <c r="AT688" s="36"/>
      <c r="AU688" s="36"/>
      <c r="AV688" s="38"/>
      <c r="AW688" s="40"/>
    </row>
    <row r="689" spans="1:49" s="34" customFormat="1" ht="15.75" customHeight="1" x14ac:dyDescent="0.3">
      <c r="A689" s="35"/>
      <c r="B689" s="36"/>
      <c r="C689" s="37"/>
      <c r="D689" s="39"/>
      <c r="E689" s="40"/>
      <c r="F689" s="36"/>
      <c r="G689" s="37"/>
      <c r="H689" s="40"/>
      <c r="I689" s="40"/>
      <c r="J689" s="41"/>
      <c r="K689" s="41">
        <v>0</v>
      </c>
      <c r="L689" s="30">
        <f t="shared" si="142"/>
        <v>0</v>
      </c>
      <c r="M689" s="30">
        <f t="shared" si="142"/>
        <v>0</v>
      </c>
      <c r="N689" s="40"/>
      <c r="O689" s="40"/>
      <c r="P689" s="40"/>
      <c r="Q689" s="44"/>
      <c r="R689" s="37"/>
      <c r="S689" s="37"/>
      <c r="T689" s="48"/>
      <c r="U689" s="30" t="e">
        <f>M689/W689</f>
        <v>#DIV/0!</v>
      </c>
      <c r="V689" s="41" t="e">
        <f t="shared" si="132"/>
        <v>#DIV/0!</v>
      </c>
      <c r="W689" s="41">
        <f t="shared" si="141"/>
        <v>0</v>
      </c>
      <c r="X689" s="41">
        <f t="shared" si="144"/>
        <v>0</v>
      </c>
      <c r="Y689" s="41">
        <v>0</v>
      </c>
      <c r="Z689" s="41" t="e">
        <f t="shared" si="133"/>
        <v>#DIV/0!</v>
      </c>
      <c r="AA689" s="41">
        <v>0</v>
      </c>
      <c r="AB689" s="41" t="e">
        <f t="shared" si="134"/>
        <v>#DIV/0!</v>
      </c>
      <c r="AC689" s="41">
        <f t="shared" si="143"/>
        <v>0</v>
      </c>
      <c r="AD689" s="41">
        <v>0</v>
      </c>
      <c r="AE689" s="41" t="e">
        <f t="shared" si="135"/>
        <v>#DIV/0!</v>
      </c>
      <c r="AF689" s="41">
        <v>0</v>
      </c>
      <c r="AG689" s="41" t="e">
        <f t="shared" si="136"/>
        <v>#DIV/0!</v>
      </c>
      <c r="AH689" s="41">
        <f t="shared" si="137"/>
        <v>0</v>
      </c>
      <c r="AI689" s="41">
        <v>0</v>
      </c>
      <c r="AJ689" s="41">
        <v>0</v>
      </c>
      <c r="AK689" s="41">
        <v>0</v>
      </c>
      <c r="AL689" s="41">
        <v>0</v>
      </c>
      <c r="AM689" s="41" t="e">
        <f t="shared" si="131"/>
        <v>#DIV/0!</v>
      </c>
      <c r="AN689" s="41" t="e">
        <f t="shared" si="138"/>
        <v>#DIV/0!</v>
      </c>
      <c r="AO689" s="41" t="e">
        <f t="shared" si="139"/>
        <v>#DIV/0!</v>
      </c>
      <c r="AP689" s="40"/>
      <c r="AQ689" s="36"/>
      <c r="AR689" s="36"/>
      <c r="AS689" s="36"/>
      <c r="AT689" s="36"/>
      <c r="AU689" s="36"/>
      <c r="AV689" s="38"/>
      <c r="AW689" s="40"/>
    </row>
    <row r="690" spans="1:49" s="34" customFormat="1" ht="15.75" customHeight="1" x14ac:dyDescent="0.3">
      <c r="A690" s="35"/>
      <c r="B690" s="36"/>
      <c r="C690" s="37"/>
      <c r="D690" s="39"/>
      <c r="E690" s="40"/>
      <c r="F690" s="36"/>
      <c r="G690" s="37"/>
      <c r="H690" s="40"/>
      <c r="I690" s="40"/>
      <c r="J690" s="41"/>
      <c r="K690" s="41">
        <v>0</v>
      </c>
      <c r="L690" s="30">
        <f t="shared" si="142"/>
        <v>0</v>
      </c>
      <c r="M690" s="30">
        <f t="shared" si="142"/>
        <v>0</v>
      </c>
      <c r="N690" s="40"/>
      <c r="O690" s="40"/>
      <c r="P690" s="40"/>
      <c r="Q690" s="44"/>
      <c r="R690" s="37"/>
      <c r="S690" s="37"/>
      <c r="T690" s="48"/>
      <c r="U690" s="30" t="e">
        <f>M690/W690</f>
        <v>#DIV/0!</v>
      </c>
      <c r="V690" s="41" t="e">
        <f t="shared" si="132"/>
        <v>#DIV/0!</v>
      </c>
      <c r="W690" s="41">
        <f t="shared" si="141"/>
        <v>0</v>
      </c>
      <c r="X690" s="41">
        <f t="shared" si="144"/>
        <v>0</v>
      </c>
      <c r="Y690" s="41">
        <v>0</v>
      </c>
      <c r="Z690" s="41" t="e">
        <f t="shared" si="133"/>
        <v>#DIV/0!</v>
      </c>
      <c r="AA690" s="41">
        <v>0</v>
      </c>
      <c r="AB690" s="41" t="e">
        <f t="shared" si="134"/>
        <v>#DIV/0!</v>
      </c>
      <c r="AC690" s="41">
        <f t="shared" si="143"/>
        <v>0</v>
      </c>
      <c r="AD690" s="41">
        <v>0</v>
      </c>
      <c r="AE690" s="41" t="e">
        <f t="shared" si="135"/>
        <v>#DIV/0!</v>
      </c>
      <c r="AF690" s="41">
        <v>0</v>
      </c>
      <c r="AG690" s="41" t="e">
        <f t="shared" si="136"/>
        <v>#DIV/0!</v>
      </c>
      <c r="AH690" s="41">
        <f t="shared" si="137"/>
        <v>0</v>
      </c>
      <c r="AI690" s="41">
        <v>0</v>
      </c>
      <c r="AJ690" s="41">
        <v>0</v>
      </c>
      <c r="AK690" s="41">
        <v>0</v>
      </c>
      <c r="AL690" s="41">
        <v>0</v>
      </c>
      <c r="AM690" s="41" t="e">
        <f t="shared" si="131"/>
        <v>#DIV/0!</v>
      </c>
      <c r="AN690" s="41" t="e">
        <f t="shared" si="138"/>
        <v>#DIV/0!</v>
      </c>
      <c r="AO690" s="41" t="e">
        <f t="shared" si="139"/>
        <v>#DIV/0!</v>
      </c>
      <c r="AP690" s="40"/>
      <c r="AQ690" s="36"/>
      <c r="AR690" s="36"/>
      <c r="AS690" s="36"/>
      <c r="AT690" s="36"/>
      <c r="AU690" s="36"/>
      <c r="AV690" s="38"/>
      <c r="AW690" s="40"/>
    </row>
    <row r="691" spans="1:49" s="34" customFormat="1" ht="15.75" customHeight="1" x14ac:dyDescent="0.3">
      <c r="A691" s="35"/>
      <c r="B691" s="36"/>
      <c r="C691" s="37"/>
      <c r="D691" s="39"/>
      <c r="E691" s="40"/>
      <c r="F691" s="36"/>
      <c r="G691" s="37"/>
      <c r="H691" s="40"/>
      <c r="I691" s="40"/>
      <c r="J691" s="41"/>
      <c r="K691" s="41">
        <v>0</v>
      </c>
      <c r="L691" s="30">
        <f t="shared" si="142"/>
        <v>0</v>
      </c>
      <c r="M691" s="30">
        <f t="shared" si="142"/>
        <v>0</v>
      </c>
      <c r="N691" s="40"/>
      <c r="O691" s="40"/>
      <c r="P691" s="40"/>
      <c r="Q691" s="44"/>
      <c r="R691" s="37"/>
      <c r="S691" s="37"/>
      <c r="T691" s="48"/>
      <c r="U691" s="30" t="e">
        <f>M691/W691</f>
        <v>#DIV/0!</v>
      </c>
      <c r="V691" s="41" t="e">
        <f t="shared" si="132"/>
        <v>#DIV/0!</v>
      </c>
      <c r="W691" s="41">
        <f t="shared" si="141"/>
        <v>0</v>
      </c>
      <c r="X691" s="41">
        <f t="shared" si="144"/>
        <v>0</v>
      </c>
      <c r="Y691" s="41">
        <v>0</v>
      </c>
      <c r="Z691" s="41" t="e">
        <f t="shared" si="133"/>
        <v>#DIV/0!</v>
      </c>
      <c r="AA691" s="41">
        <v>0</v>
      </c>
      <c r="AB691" s="41" t="e">
        <f t="shared" si="134"/>
        <v>#DIV/0!</v>
      </c>
      <c r="AC691" s="41">
        <f t="shared" si="143"/>
        <v>0</v>
      </c>
      <c r="AD691" s="41">
        <v>0</v>
      </c>
      <c r="AE691" s="41" t="e">
        <f t="shared" si="135"/>
        <v>#DIV/0!</v>
      </c>
      <c r="AF691" s="41">
        <v>0</v>
      </c>
      <c r="AG691" s="41" t="e">
        <f t="shared" si="136"/>
        <v>#DIV/0!</v>
      </c>
      <c r="AH691" s="41">
        <f t="shared" si="137"/>
        <v>0</v>
      </c>
      <c r="AI691" s="41">
        <v>0</v>
      </c>
      <c r="AJ691" s="41">
        <v>0</v>
      </c>
      <c r="AK691" s="41">
        <v>0</v>
      </c>
      <c r="AL691" s="41">
        <v>0</v>
      </c>
      <c r="AM691" s="41" t="e">
        <f t="shared" si="131"/>
        <v>#DIV/0!</v>
      </c>
      <c r="AN691" s="41" t="e">
        <f t="shared" si="138"/>
        <v>#DIV/0!</v>
      </c>
      <c r="AO691" s="41" t="e">
        <f t="shared" si="139"/>
        <v>#DIV/0!</v>
      </c>
      <c r="AP691" s="40"/>
      <c r="AQ691" s="36"/>
      <c r="AR691" s="36"/>
      <c r="AS691" s="36"/>
      <c r="AT691" s="36"/>
      <c r="AU691" s="36"/>
      <c r="AV691" s="38"/>
      <c r="AW691" s="40"/>
    </row>
    <row r="692" spans="1:49" s="34" customFormat="1" ht="15.75" customHeight="1" x14ac:dyDescent="0.3">
      <c r="A692" s="35"/>
      <c r="B692" s="36"/>
      <c r="C692" s="37"/>
      <c r="D692" s="39"/>
      <c r="E692" s="40"/>
      <c r="F692" s="36"/>
      <c r="G692" s="37"/>
      <c r="H692" s="40"/>
      <c r="I692" s="40"/>
      <c r="J692" s="41"/>
      <c r="K692" s="41">
        <v>0</v>
      </c>
      <c r="L692" s="30">
        <f t="shared" si="142"/>
        <v>0</v>
      </c>
      <c r="M692" s="30">
        <f t="shared" si="142"/>
        <v>0</v>
      </c>
      <c r="N692" s="40"/>
      <c r="O692" s="40"/>
      <c r="P692" s="40"/>
      <c r="Q692" s="44"/>
      <c r="R692" s="37"/>
      <c r="S692" s="37"/>
      <c r="T692" s="48"/>
      <c r="U692" s="30" t="e">
        <f>M692/W692</f>
        <v>#DIV/0!</v>
      </c>
      <c r="V692" s="41" t="e">
        <f t="shared" si="132"/>
        <v>#DIV/0!</v>
      </c>
      <c r="W692" s="41">
        <f t="shared" si="141"/>
        <v>0</v>
      </c>
      <c r="X692" s="41">
        <f t="shared" si="144"/>
        <v>0</v>
      </c>
      <c r="Y692" s="41">
        <v>0</v>
      </c>
      <c r="Z692" s="41" t="e">
        <f t="shared" si="133"/>
        <v>#DIV/0!</v>
      </c>
      <c r="AA692" s="41">
        <v>0</v>
      </c>
      <c r="AB692" s="41" t="e">
        <f t="shared" si="134"/>
        <v>#DIV/0!</v>
      </c>
      <c r="AC692" s="41">
        <f t="shared" si="143"/>
        <v>0</v>
      </c>
      <c r="AD692" s="41">
        <v>0</v>
      </c>
      <c r="AE692" s="41" t="e">
        <f t="shared" si="135"/>
        <v>#DIV/0!</v>
      </c>
      <c r="AF692" s="41">
        <v>0</v>
      </c>
      <c r="AG692" s="41" t="e">
        <f t="shared" si="136"/>
        <v>#DIV/0!</v>
      </c>
      <c r="AH692" s="41">
        <f t="shared" si="137"/>
        <v>0</v>
      </c>
      <c r="AI692" s="41">
        <v>0</v>
      </c>
      <c r="AJ692" s="41">
        <v>0</v>
      </c>
      <c r="AK692" s="41">
        <v>0</v>
      </c>
      <c r="AL692" s="41">
        <v>0</v>
      </c>
      <c r="AM692" s="41" t="e">
        <f t="shared" si="131"/>
        <v>#DIV/0!</v>
      </c>
      <c r="AN692" s="41" t="e">
        <f t="shared" si="138"/>
        <v>#DIV/0!</v>
      </c>
      <c r="AO692" s="41" t="e">
        <f t="shared" si="139"/>
        <v>#DIV/0!</v>
      </c>
      <c r="AP692" s="40"/>
      <c r="AQ692" s="36"/>
      <c r="AR692" s="36"/>
      <c r="AS692" s="36"/>
      <c r="AT692" s="36"/>
      <c r="AU692" s="36"/>
      <c r="AV692" s="38"/>
      <c r="AW692" s="40"/>
    </row>
    <row r="693" spans="1:49" s="34" customFormat="1" ht="15.75" customHeight="1" x14ac:dyDescent="0.3">
      <c r="A693" s="35"/>
      <c r="B693" s="36"/>
      <c r="C693" s="37"/>
      <c r="D693" s="39"/>
      <c r="E693" s="40"/>
      <c r="F693" s="36"/>
      <c r="G693" s="37"/>
      <c r="H693" s="40"/>
      <c r="I693" s="40"/>
      <c r="J693" s="41"/>
      <c r="K693" s="41">
        <v>0</v>
      </c>
      <c r="L693" s="30">
        <f t="shared" si="142"/>
        <v>0</v>
      </c>
      <c r="M693" s="30">
        <f t="shared" si="142"/>
        <v>0</v>
      </c>
      <c r="N693" s="40"/>
      <c r="O693" s="40"/>
      <c r="P693" s="40"/>
      <c r="Q693" s="44"/>
      <c r="R693" s="37"/>
      <c r="S693" s="37"/>
      <c r="T693" s="48"/>
      <c r="U693" s="30" t="e">
        <f>M693/W693</f>
        <v>#DIV/0!</v>
      </c>
      <c r="V693" s="41" t="e">
        <f t="shared" si="132"/>
        <v>#DIV/0!</v>
      </c>
      <c r="W693" s="41">
        <f t="shared" si="141"/>
        <v>0</v>
      </c>
      <c r="X693" s="41">
        <f t="shared" si="144"/>
        <v>0</v>
      </c>
      <c r="Y693" s="41">
        <v>0</v>
      </c>
      <c r="Z693" s="41" t="e">
        <f t="shared" si="133"/>
        <v>#DIV/0!</v>
      </c>
      <c r="AA693" s="41">
        <v>0</v>
      </c>
      <c r="AB693" s="41" t="e">
        <f t="shared" si="134"/>
        <v>#DIV/0!</v>
      </c>
      <c r="AC693" s="41">
        <f t="shared" si="143"/>
        <v>0</v>
      </c>
      <c r="AD693" s="41">
        <v>0</v>
      </c>
      <c r="AE693" s="41" t="e">
        <f t="shared" si="135"/>
        <v>#DIV/0!</v>
      </c>
      <c r="AF693" s="41">
        <v>0</v>
      </c>
      <c r="AG693" s="41" t="e">
        <f t="shared" si="136"/>
        <v>#DIV/0!</v>
      </c>
      <c r="AH693" s="41">
        <f t="shared" si="137"/>
        <v>0</v>
      </c>
      <c r="AI693" s="41">
        <v>0</v>
      </c>
      <c r="AJ693" s="41">
        <v>0</v>
      </c>
      <c r="AK693" s="41">
        <v>0</v>
      </c>
      <c r="AL693" s="41">
        <v>0</v>
      </c>
      <c r="AM693" s="41" t="e">
        <f t="shared" si="131"/>
        <v>#DIV/0!</v>
      </c>
      <c r="AN693" s="41" t="e">
        <f t="shared" si="138"/>
        <v>#DIV/0!</v>
      </c>
      <c r="AO693" s="41" t="e">
        <f t="shared" si="139"/>
        <v>#DIV/0!</v>
      </c>
      <c r="AP693" s="40"/>
      <c r="AQ693" s="36"/>
      <c r="AR693" s="36"/>
      <c r="AS693" s="36"/>
      <c r="AT693" s="36"/>
      <c r="AU693" s="36"/>
      <c r="AV693" s="38"/>
      <c r="AW693" s="40"/>
    </row>
    <row r="694" spans="1:49" s="34" customFormat="1" ht="15.75" customHeight="1" x14ac:dyDescent="0.3">
      <c r="A694" s="35"/>
      <c r="B694" s="36"/>
      <c r="C694" s="37"/>
      <c r="D694" s="39"/>
      <c r="E694" s="40"/>
      <c r="F694" s="36"/>
      <c r="G694" s="37"/>
      <c r="H694" s="40"/>
      <c r="I694" s="40"/>
      <c r="J694" s="41"/>
      <c r="K694" s="41">
        <v>0</v>
      </c>
      <c r="L694" s="30">
        <f t="shared" si="142"/>
        <v>0</v>
      </c>
      <c r="M694" s="30">
        <f t="shared" si="142"/>
        <v>0</v>
      </c>
      <c r="N694" s="40"/>
      <c r="O694" s="40"/>
      <c r="P694" s="40"/>
      <c r="Q694" s="44"/>
      <c r="R694" s="37"/>
      <c r="S694" s="37"/>
      <c r="T694" s="48"/>
      <c r="U694" s="30" t="e">
        <f>M694/W694</f>
        <v>#DIV/0!</v>
      </c>
      <c r="V694" s="41" t="e">
        <f t="shared" si="132"/>
        <v>#DIV/0!</v>
      </c>
      <c r="W694" s="41">
        <f t="shared" si="141"/>
        <v>0</v>
      </c>
      <c r="X694" s="41">
        <f t="shared" si="144"/>
        <v>0</v>
      </c>
      <c r="Y694" s="41">
        <v>0</v>
      </c>
      <c r="Z694" s="41" t="e">
        <f t="shared" si="133"/>
        <v>#DIV/0!</v>
      </c>
      <c r="AA694" s="41">
        <v>0</v>
      </c>
      <c r="AB694" s="41" t="e">
        <f t="shared" si="134"/>
        <v>#DIV/0!</v>
      </c>
      <c r="AC694" s="41">
        <f t="shared" si="143"/>
        <v>0</v>
      </c>
      <c r="AD694" s="41">
        <v>0</v>
      </c>
      <c r="AE694" s="41" t="e">
        <f t="shared" si="135"/>
        <v>#DIV/0!</v>
      </c>
      <c r="AF694" s="41">
        <v>0</v>
      </c>
      <c r="AG694" s="41" t="e">
        <f t="shared" si="136"/>
        <v>#DIV/0!</v>
      </c>
      <c r="AH694" s="41">
        <f t="shared" si="137"/>
        <v>0</v>
      </c>
      <c r="AI694" s="41">
        <v>0</v>
      </c>
      <c r="AJ694" s="41">
        <v>0</v>
      </c>
      <c r="AK694" s="41">
        <v>0</v>
      </c>
      <c r="AL694" s="41">
        <v>0</v>
      </c>
      <c r="AM694" s="41" t="e">
        <f t="shared" si="131"/>
        <v>#DIV/0!</v>
      </c>
      <c r="AN694" s="41" t="e">
        <f t="shared" si="138"/>
        <v>#DIV/0!</v>
      </c>
      <c r="AO694" s="41" t="e">
        <f t="shared" si="139"/>
        <v>#DIV/0!</v>
      </c>
      <c r="AP694" s="40"/>
      <c r="AQ694" s="36"/>
      <c r="AR694" s="36"/>
      <c r="AS694" s="36"/>
      <c r="AT694" s="36"/>
      <c r="AU694" s="36"/>
      <c r="AV694" s="38"/>
      <c r="AW694" s="40"/>
    </row>
    <row r="695" spans="1:49" s="34" customFormat="1" ht="15.75" customHeight="1" x14ac:dyDescent="0.3">
      <c r="A695" s="35"/>
      <c r="B695" s="36"/>
      <c r="C695" s="37"/>
      <c r="D695" s="39"/>
      <c r="E695" s="40"/>
      <c r="F695" s="36"/>
      <c r="G695" s="37"/>
      <c r="H695" s="40"/>
      <c r="I695" s="40"/>
      <c r="J695" s="41"/>
      <c r="K695" s="41">
        <v>0</v>
      </c>
      <c r="L695" s="30">
        <f t="shared" si="142"/>
        <v>0</v>
      </c>
      <c r="M695" s="30">
        <f t="shared" si="142"/>
        <v>0</v>
      </c>
      <c r="N695" s="40"/>
      <c r="O695" s="40"/>
      <c r="P695" s="40"/>
      <c r="Q695" s="44"/>
      <c r="R695" s="37"/>
      <c r="S695" s="37"/>
      <c r="T695" s="48"/>
      <c r="U695" s="30" t="e">
        <f>M695/W695</f>
        <v>#DIV/0!</v>
      </c>
      <c r="V695" s="41" t="e">
        <f t="shared" si="132"/>
        <v>#DIV/0!</v>
      </c>
      <c r="W695" s="41">
        <f t="shared" si="141"/>
        <v>0</v>
      </c>
      <c r="X695" s="41">
        <f t="shared" si="144"/>
        <v>0</v>
      </c>
      <c r="Y695" s="41">
        <v>0</v>
      </c>
      <c r="Z695" s="41" t="e">
        <f t="shared" si="133"/>
        <v>#DIV/0!</v>
      </c>
      <c r="AA695" s="41">
        <v>0</v>
      </c>
      <c r="AB695" s="41" t="e">
        <f t="shared" si="134"/>
        <v>#DIV/0!</v>
      </c>
      <c r="AC695" s="41">
        <f t="shared" si="143"/>
        <v>0</v>
      </c>
      <c r="AD695" s="41">
        <v>0</v>
      </c>
      <c r="AE695" s="41" t="e">
        <f t="shared" si="135"/>
        <v>#DIV/0!</v>
      </c>
      <c r="AF695" s="41">
        <v>0</v>
      </c>
      <c r="AG695" s="41" t="e">
        <f t="shared" si="136"/>
        <v>#DIV/0!</v>
      </c>
      <c r="AH695" s="41">
        <f t="shared" si="137"/>
        <v>0</v>
      </c>
      <c r="AI695" s="41">
        <v>0</v>
      </c>
      <c r="AJ695" s="41">
        <v>0</v>
      </c>
      <c r="AK695" s="41">
        <v>0</v>
      </c>
      <c r="AL695" s="41">
        <v>0</v>
      </c>
      <c r="AM695" s="41" t="e">
        <f t="shared" si="131"/>
        <v>#DIV/0!</v>
      </c>
      <c r="AN695" s="41" t="e">
        <f t="shared" si="138"/>
        <v>#DIV/0!</v>
      </c>
      <c r="AO695" s="41" t="e">
        <f t="shared" si="139"/>
        <v>#DIV/0!</v>
      </c>
      <c r="AP695" s="40"/>
      <c r="AQ695" s="36"/>
      <c r="AR695" s="36"/>
      <c r="AS695" s="36"/>
      <c r="AT695" s="36"/>
      <c r="AU695" s="36"/>
      <c r="AV695" s="38"/>
      <c r="AW695" s="40"/>
    </row>
    <row r="696" spans="1:49" s="34" customFormat="1" ht="15.75" customHeight="1" x14ac:dyDescent="0.3">
      <c r="A696" s="35"/>
      <c r="B696" s="36"/>
      <c r="C696" s="37"/>
      <c r="D696" s="39"/>
      <c r="E696" s="40"/>
      <c r="F696" s="36"/>
      <c r="G696" s="37"/>
      <c r="H696" s="40"/>
      <c r="I696" s="40"/>
      <c r="J696" s="41"/>
      <c r="K696" s="41">
        <v>0</v>
      </c>
      <c r="L696" s="30">
        <f t="shared" si="142"/>
        <v>0</v>
      </c>
      <c r="M696" s="30">
        <f t="shared" si="142"/>
        <v>0</v>
      </c>
      <c r="N696" s="40"/>
      <c r="O696" s="40"/>
      <c r="P696" s="40"/>
      <c r="Q696" s="44"/>
      <c r="R696" s="37"/>
      <c r="S696" s="37"/>
      <c r="T696" s="48"/>
      <c r="U696" s="30" t="e">
        <f>M696/W696</f>
        <v>#DIV/0!</v>
      </c>
      <c r="V696" s="41" t="e">
        <f t="shared" si="132"/>
        <v>#DIV/0!</v>
      </c>
      <c r="W696" s="41">
        <f t="shared" si="141"/>
        <v>0</v>
      </c>
      <c r="X696" s="41">
        <f t="shared" si="144"/>
        <v>0</v>
      </c>
      <c r="Y696" s="41">
        <v>0</v>
      </c>
      <c r="Z696" s="41" t="e">
        <f t="shared" si="133"/>
        <v>#DIV/0!</v>
      </c>
      <c r="AA696" s="41">
        <v>0</v>
      </c>
      <c r="AB696" s="41" t="e">
        <f t="shared" si="134"/>
        <v>#DIV/0!</v>
      </c>
      <c r="AC696" s="41">
        <f t="shared" si="143"/>
        <v>0</v>
      </c>
      <c r="AD696" s="41">
        <v>0</v>
      </c>
      <c r="AE696" s="41" t="e">
        <f t="shared" si="135"/>
        <v>#DIV/0!</v>
      </c>
      <c r="AF696" s="41">
        <v>0</v>
      </c>
      <c r="AG696" s="41" t="e">
        <f t="shared" si="136"/>
        <v>#DIV/0!</v>
      </c>
      <c r="AH696" s="41">
        <f t="shared" si="137"/>
        <v>0</v>
      </c>
      <c r="AI696" s="41">
        <v>0</v>
      </c>
      <c r="AJ696" s="41">
        <v>0</v>
      </c>
      <c r="AK696" s="41">
        <v>0</v>
      </c>
      <c r="AL696" s="41">
        <v>0</v>
      </c>
      <c r="AM696" s="41" t="e">
        <f t="shared" si="131"/>
        <v>#DIV/0!</v>
      </c>
      <c r="AN696" s="41" t="e">
        <f t="shared" si="138"/>
        <v>#DIV/0!</v>
      </c>
      <c r="AO696" s="41" t="e">
        <f t="shared" si="139"/>
        <v>#DIV/0!</v>
      </c>
      <c r="AP696" s="40"/>
      <c r="AQ696" s="36"/>
      <c r="AR696" s="36"/>
      <c r="AS696" s="36"/>
      <c r="AT696" s="36"/>
      <c r="AU696" s="36"/>
      <c r="AV696" s="38"/>
      <c r="AW696" s="40"/>
    </row>
    <row r="697" spans="1:49" s="34" customFormat="1" ht="15.75" customHeight="1" x14ac:dyDescent="0.3">
      <c r="A697" s="35"/>
      <c r="B697" s="36"/>
      <c r="C697" s="37"/>
      <c r="D697" s="39"/>
      <c r="E697" s="40"/>
      <c r="F697" s="36"/>
      <c r="G697" s="37"/>
      <c r="H697" s="40"/>
      <c r="I697" s="40"/>
      <c r="J697" s="41"/>
      <c r="K697" s="41">
        <v>0</v>
      </c>
      <c r="L697" s="30">
        <f t="shared" si="142"/>
        <v>0</v>
      </c>
      <c r="M697" s="30">
        <f t="shared" si="142"/>
        <v>0</v>
      </c>
      <c r="N697" s="40"/>
      <c r="O697" s="40"/>
      <c r="P697" s="40"/>
      <c r="Q697" s="44"/>
      <c r="R697" s="37"/>
      <c r="S697" s="37"/>
      <c r="T697" s="48"/>
      <c r="U697" s="30" t="e">
        <f>M697/W697</f>
        <v>#DIV/0!</v>
      </c>
      <c r="V697" s="41" t="e">
        <f t="shared" si="132"/>
        <v>#DIV/0!</v>
      </c>
      <c r="W697" s="41">
        <f t="shared" si="141"/>
        <v>0</v>
      </c>
      <c r="X697" s="41">
        <f t="shared" si="144"/>
        <v>0</v>
      </c>
      <c r="Y697" s="41">
        <v>0</v>
      </c>
      <c r="Z697" s="41" t="e">
        <f t="shared" si="133"/>
        <v>#DIV/0!</v>
      </c>
      <c r="AA697" s="41">
        <v>0</v>
      </c>
      <c r="AB697" s="41" t="e">
        <f t="shared" si="134"/>
        <v>#DIV/0!</v>
      </c>
      <c r="AC697" s="41">
        <f t="shared" si="143"/>
        <v>0</v>
      </c>
      <c r="AD697" s="41">
        <v>0</v>
      </c>
      <c r="AE697" s="41" t="e">
        <f t="shared" si="135"/>
        <v>#DIV/0!</v>
      </c>
      <c r="AF697" s="41">
        <v>0</v>
      </c>
      <c r="AG697" s="41" t="e">
        <f t="shared" si="136"/>
        <v>#DIV/0!</v>
      </c>
      <c r="AH697" s="41">
        <f t="shared" si="137"/>
        <v>0</v>
      </c>
      <c r="AI697" s="41">
        <v>0</v>
      </c>
      <c r="AJ697" s="41">
        <v>0</v>
      </c>
      <c r="AK697" s="41">
        <v>0</v>
      </c>
      <c r="AL697" s="41">
        <v>0</v>
      </c>
      <c r="AM697" s="41" t="e">
        <f t="shared" si="131"/>
        <v>#DIV/0!</v>
      </c>
      <c r="AN697" s="41" t="e">
        <f t="shared" si="138"/>
        <v>#DIV/0!</v>
      </c>
      <c r="AO697" s="41" t="e">
        <f t="shared" si="139"/>
        <v>#DIV/0!</v>
      </c>
      <c r="AP697" s="40"/>
      <c r="AQ697" s="36"/>
      <c r="AR697" s="36"/>
      <c r="AS697" s="36"/>
      <c r="AT697" s="36"/>
      <c r="AU697" s="36"/>
      <c r="AV697" s="38"/>
      <c r="AW697" s="40"/>
    </row>
    <row r="698" spans="1:49" s="34" customFormat="1" ht="15.75" customHeight="1" x14ac:dyDescent="0.3">
      <c r="A698" s="35"/>
      <c r="B698" s="36"/>
      <c r="C698" s="37"/>
      <c r="D698" s="39"/>
      <c r="E698" s="40"/>
      <c r="F698" s="36"/>
      <c r="G698" s="37"/>
      <c r="H698" s="40"/>
      <c r="I698" s="40"/>
      <c r="J698" s="41"/>
      <c r="K698" s="41">
        <v>0</v>
      </c>
      <c r="L698" s="30">
        <f t="shared" si="142"/>
        <v>0</v>
      </c>
      <c r="M698" s="30">
        <f t="shared" si="142"/>
        <v>0</v>
      </c>
      <c r="N698" s="40"/>
      <c r="O698" s="40"/>
      <c r="P698" s="40"/>
      <c r="Q698" s="44"/>
      <c r="R698" s="37"/>
      <c r="S698" s="37"/>
      <c r="T698" s="48"/>
      <c r="U698" s="30" t="e">
        <f>M698/W698</f>
        <v>#DIV/0!</v>
      </c>
      <c r="V698" s="41" t="e">
        <f t="shared" si="132"/>
        <v>#DIV/0!</v>
      </c>
      <c r="W698" s="41">
        <f t="shared" si="141"/>
        <v>0</v>
      </c>
      <c r="X698" s="41">
        <f t="shared" si="144"/>
        <v>0</v>
      </c>
      <c r="Y698" s="41">
        <v>0</v>
      </c>
      <c r="Z698" s="41" t="e">
        <f t="shared" si="133"/>
        <v>#DIV/0!</v>
      </c>
      <c r="AA698" s="41">
        <v>0</v>
      </c>
      <c r="AB698" s="41" t="e">
        <f t="shared" si="134"/>
        <v>#DIV/0!</v>
      </c>
      <c r="AC698" s="41">
        <f t="shared" si="143"/>
        <v>0</v>
      </c>
      <c r="AD698" s="41">
        <v>0</v>
      </c>
      <c r="AE698" s="41" t="e">
        <f t="shared" si="135"/>
        <v>#DIV/0!</v>
      </c>
      <c r="AF698" s="41">
        <v>0</v>
      </c>
      <c r="AG698" s="41" t="e">
        <f t="shared" si="136"/>
        <v>#DIV/0!</v>
      </c>
      <c r="AH698" s="41">
        <f t="shared" si="137"/>
        <v>0</v>
      </c>
      <c r="AI698" s="41">
        <v>0</v>
      </c>
      <c r="AJ698" s="41">
        <v>0</v>
      </c>
      <c r="AK698" s="41">
        <v>0</v>
      </c>
      <c r="AL698" s="41">
        <v>0</v>
      </c>
      <c r="AM698" s="41" t="e">
        <f t="shared" si="131"/>
        <v>#DIV/0!</v>
      </c>
      <c r="AN698" s="41" t="e">
        <f t="shared" si="138"/>
        <v>#DIV/0!</v>
      </c>
      <c r="AO698" s="41" t="e">
        <f t="shared" si="139"/>
        <v>#DIV/0!</v>
      </c>
      <c r="AP698" s="40"/>
      <c r="AQ698" s="36"/>
      <c r="AR698" s="36"/>
      <c r="AS698" s="36"/>
      <c r="AT698" s="36"/>
      <c r="AU698" s="36"/>
      <c r="AV698" s="38"/>
      <c r="AW698" s="40"/>
    </row>
    <row r="699" spans="1:49" s="34" customFormat="1" ht="15.75" customHeight="1" x14ac:dyDescent="0.3">
      <c r="A699" s="35"/>
      <c r="B699" s="36"/>
      <c r="C699" s="37"/>
      <c r="D699" s="39"/>
      <c r="E699" s="40"/>
      <c r="F699" s="36"/>
      <c r="G699" s="37"/>
      <c r="H699" s="40"/>
      <c r="I699" s="40"/>
      <c r="J699" s="41"/>
      <c r="K699" s="41">
        <v>0</v>
      </c>
      <c r="L699" s="30">
        <f t="shared" si="142"/>
        <v>0</v>
      </c>
      <c r="M699" s="30">
        <f t="shared" si="142"/>
        <v>0</v>
      </c>
      <c r="N699" s="40"/>
      <c r="O699" s="40"/>
      <c r="P699" s="40"/>
      <c r="Q699" s="44"/>
      <c r="R699" s="37"/>
      <c r="S699" s="37"/>
      <c r="T699" s="48"/>
      <c r="U699" s="30" t="e">
        <f>M699/W699</f>
        <v>#DIV/0!</v>
      </c>
      <c r="V699" s="41" t="e">
        <f t="shared" si="132"/>
        <v>#DIV/0!</v>
      </c>
      <c r="W699" s="41">
        <f t="shared" si="141"/>
        <v>0</v>
      </c>
      <c r="X699" s="41">
        <f t="shared" si="144"/>
        <v>0</v>
      </c>
      <c r="Y699" s="41">
        <v>0</v>
      </c>
      <c r="Z699" s="41" t="e">
        <f t="shared" si="133"/>
        <v>#DIV/0!</v>
      </c>
      <c r="AA699" s="41">
        <v>0</v>
      </c>
      <c r="AB699" s="41" t="e">
        <f t="shared" si="134"/>
        <v>#DIV/0!</v>
      </c>
      <c r="AC699" s="41">
        <f t="shared" si="143"/>
        <v>0</v>
      </c>
      <c r="AD699" s="41">
        <v>0</v>
      </c>
      <c r="AE699" s="41" t="e">
        <f t="shared" si="135"/>
        <v>#DIV/0!</v>
      </c>
      <c r="AF699" s="41">
        <v>0</v>
      </c>
      <c r="AG699" s="41" t="e">
        <f t="shared" si="136"/>
        <v>#DIV/0!</v>
      </c>
      <c r="AH699" s="41">
        <f t="shared" si="137"/>
        <v>0</v>
      </c>
      <c r="AI699" s="41">
        <v>0</v>
      </c>
      <c r="AJ699" s="41">
        <v>0</v>
      </c>
      <c r="AK699" s="41">
        <v>0</v>
      </c>
      <c r="AL699" s="41">
        <v>0</v>
      </c>
      <c r="AM699" s="41" t="e">
        <f t="shared" ref="AM699:AM762" si="145">Z699+AE699+AJ699</f>
        <v>#DIV/0!</v>
      </c>
      <c r="AN699" s="41" t="e">
        <f t="shared" si="138"/>
        <v>#DIV/0!</v>
      </c>
      <c r="AO699" s="41" t="e">
        <f t="shared" si="139"/>
        <v>#DIV/0!</v>
      </c>
      <c r="AP699" s="40"/>
      <c r="AQ699" s="36"/>
      <c r="AR699" s="36"/>
      <c r="AS699" s="36"/>
      <c r="AT699" s="36"/>
      <c r="AU699" s="36"/>
      <c r="AV699" s="38"/>
      <c r="AW699" s="40"/>
    </row>
    <row r="700" spans="1:49" s="34" customFormat="1" ht="15.75" customHeight="1" x14ac:dyDescent="0.3">
      <c r="A700" s="35"/>
      <c r="B700" s="36"/>
      <c r="C700" s="37"/>
      <c r="D700" s="39"/>
      <c r="E700" s="40"/>
      <c r="F700" s="36"/>
      <c r="G700" s="37"/>
      <c r="H700" s="40"/>
      <c r="I700" s="40"/>
      <c r="J700" s="41"/>
      <c r="K700" s="41">
        <v>0</v>
      </c>
      <c r="L700" s="30">
        <f t="shared" si="142"/>
        <v>0</v>
      </c>
      <c r="M700" s="30">
        <f t="shared" si="142"/>
        <v>0</v>
      </c>
      <c r="N700" s="40"/>
      <c r="O700" s="40"/>
      <c r="P700" s="40"/>
      <c r="Q700" s="44"/>
      <c r="R700" s="37"/>
      <c r="S700" s="37"/>
      <c r="T700" s="48"/>
      <c r="U700" s="30" t="e">
        <f>M700/W700</f>
        <v>#DIV/0!</v>
      </c>
      <c r="V700" s="41" t="e">
        <f t="shared" ref="V700:V763" si="146">U700*T700</f>
        <v>#DIV/0!</v>
      </c>
      <c r="W700" s="41">
        <f t="shared" si="141"/>
        <v>0</v>
      </c>
      <c r="X700" s="41">
        <f t="shared" si="144"/>
        <v>0</v>
      </c>
      <c r="Y700" s="41">
        <v>0</v>
      </c>
      <c r="Z700" s="41" t="e">
        <f t="shared" si="133"/>
        <v>#DIV/0!</v>
      </c>
      <c r="AA700" s="41">
        <v>0</v>
      </c>
      <c r="AB700" s="41" t="e">
        <f t="shared" si="134"/>
        <v>#DIV/0!</v>
      </c>
      <c r="AC700" s="41">
        <f t="shared" si="143"/>
        <v>0</v>
      </c>
      <c r="AD700" s="41">
        <v>0</v>
      </c>
      <c r="AE700" s="41" t="e">
        <f t="shared" si="135"/>
        <v>#DIV/0!</v>
      </c>
      <c r="AF700" s="41">
        <v>0</v>
      </c>
      <c r="AG700" s="41" t="e">
        <f t="shared" si="136"/>
        <v>#DIV/0!</v>
      </c>
      <c r="AH700" s="41">
        <f t="shared" si="137"/>
        <v>0</v>
      </c>
      <c r="AI700" s="41">
        <v>0</v>
      </c>
      <c r="AJ700" s="41">
        <v>0</v>
      </c>
      <c r="AK700" s="41">
        <v>0</v>
      </c>
      <c r="AL700" s="41">
        <v>0</v>
      </c>
      <c r="AM700" s="41" t="e">
        <f t="shared" si="145"/>
        <v>#DIV/0!</v>
      </c>
      <c r="AN700" s="41" t="e">
        <f t="shared" si="138"/>
        <v>#DIV/0!</v>
      </c>
      <c r="AO700" s="41" t="e">
        <f t="shared" si="139"/>
        <v>#DIV/0!</v>
      </c>
      <c r="AP700" s="40"/>
      <c r="AQ700" s="36"/>
      <c r="AR700" s="36"/>
      <c r="AS700" s="36"/>
      <c r="AT700" s="36"/>
      <c r="AU700" s="36"/>
      <c r="AV700" s="38"/>
      <c r="AW700" s="40"/>
    </row>
    <row r="701" spans="1:49" s="34" customFormat="1" ht="15.75" customHeight="1" x14ac:dyDescent="0.3">
      <c r="A701" s="35"/>
      <c r="B701" s="36"/>
      <c r="C701" s="37"/>
      <c r="D701" s="39"/>
      <c r="E701" s="40"/>
      <c r="F701" s="36"/>
      <c r="G701" s="37"/>
      <c r="H701" s="40"/>
      <c r="I701" s="40"/>
      <c r="J701" s="41"/>
      <c r="K701" s="41">
        <v>0</v>
      </c>
      <c r="L701" s="30">
        <f t="shared" si="142"/>
        <v>0</v>
      </c>
      <c r="M701" s="30">
        <f t="shared" si="142"/>
        <v>0</v>
      </c>
      <c r="N701" s="40"/>
      <c r="O701" s="40"/>
      <c r="P701" s="40"/>
      <c r="Q701" s="44"/>
      <c r="R701" s="37"/>
      <c r="S701" s="37"/>
      <c r="T701" s="48"/>
      <c r="U701" s="30" t="e">
        <f>M701/W701</f>
        <v>#DIV/0!</v>
      </c>
      <c r="V701" s="41" t="e">
        <f t="shared" si="146"/>
        <v>#DIV/0!</v>
      </c>
      <c r="W701" s="41">
        <f t="shared" si="141"/>
        <v>0</v>
      </c>
      <c r="X701" s="41">
        <f t="shared" si="144"/>
        <v>0</v>
      </c>
      <c r="Y701" s="41">
        <v>0</v>
      </c>
      <c r="Z701" s="41" t="e">
        <f t="shared" si="133"/>
        <v>#DIV/0!</v>
      </c>
      <c r="AA701" s="41">
        <v>0</v>
      </c>
      <c r="AB701" s="41" t="e">
        <f t="shared" si="134"/>
        <v>#DIV/0!</v>
      </c>
      <c r="AC701" s="41">
        <f t="shared" si="143"/>
        <v>0</v>
      </c>
      <c r="AD701" s="41">
        <v>0</v>
      </c>
      <c r="AE701" s="41" t="e">
        <f t="shared" si="135"/>
        <v>#DIV/0!</v>
      </c>
      <c r="AF701" s="41">
        <v>0</v>
      </c>
      <c r="AG701" s="41" t="e">
        <f t="shared" si="136"/>
        <v>#DIV/0!</v>
      </c>
      <c r="AH701" s="41">
        <f t="shared" si="137"/>
        <v>0</v>
      </c>
      <c r="AI701" s="41">
        <v>0</v>
      </c>
      <c r="AJ701" s="41">
        <v>0</v>
      </c>
      <c r="AK701" s="41">
        <v>0</v>
      </c>
      <c r="AL701" s="41">
        <v>0</v>
      </c>
      <c r="AM701" s="41" t="e">
        <f t="shared" si="145"/>
        <v>#DIV/0!</v>
      </c>
      <c r="AN701" s="41" t="e">
        <f t="shared" si="138"/>
        <v>#DIV/0!</v>
      </c>
      <c r="AO701" s="41" t="e">
        <f t="shared" si="139"/>
        <v>#DIV/0!</v>
      </c>
      <c r="AP701" s="40"/>
      <c r="AQ701" s="36"/>
      <c r="AR701" s="36"/>
      <c r="AS701" s="36"/>
      <c r="AT701" s="36"/>
      <c r="AU701" s="36"/>
      <c r="AV701" s="38"/>
      <c r="AW701" s="40"/>
    </row>
    <row r="702" spans="1:49" s="34" customFormat="1" ht="15.75" customHeight="1" x14ac:dyDescent="0.3">
      <c r="A702" s="35"/>
      <c r="B702" s="36"/>
      <c r="C702" s="37"/>
      <c r="D702" s="39"/>
      <c r="E702" s="40"/>
      <c r="F702" s="36"/>
      <c r="G702" s="37"/>
      <c r="H702" s="40"/>
      <c r="I702" s="40"/>
      <c r="J702" s="41"/>
      <c r="K702" s="41">
        <v>0</v>
      </c>
      <c r="L702" s="30">
        <f t="shared" si="142"/>
        <v>0</v>
      </c>
      <c r="M702" s="30">
        <f t="shared" si="142"/>
        <v>0</v>
      </c>
      <c r="N702" s="40"/>
      <c r="O702" s="40"/>
      <c r="P702" s="40"/>
      <c r="Q702" s="44"/>
      <c r="R702" s="37"/>
      <c r="S702" s="37"/>
      <c r="T702" s="48"/>
      <c r="U702" s="30" t="e">
        <f>M702/W702</f>
        <v>#DIV/0!</v>
      </c>
      <c r="V702" s="41" t="e">
        <f t="shared" si="146"/>
        <v>#DIV/0!</v>
      </c>
      <c r="W702" s="41">
        <f t="shared" si="141"/>
        <v>0</v>
      </c>
      <c r="X702" s="41">
        <f t="shared" si="144"/>
        <v>0</v>
      </c>
      <c r="Y702" s="41">
        <v>0</v>
      </c>
      <c r="Z702" s="41" t="e">
        <f t="shared" si="133"/>
        <v>#DIV/0!</v>
      </c>
      <c r="AA702" s="41">
        <v>0</v>
      </c>
      <c r="AB702" s="41" t="e">
        <f t="shared" si="134"/>
        <v>#DIV/0!</v>
      </c>
      <c r="AC702" s="41">
        <f t="shared" si="143"/>
        <v>0</v>
      </c>
      <c r="AD702" s="41">
        <v>0</v>
      </c>
      <c r="AE702" s="41" t="e">
        <f t="shared" si="135"/>
        <v>#DIV/0!</v>
      </c>
      <c r="AF702" s="41">
        <v>0</v>
      </c>
      <c r="AG702" s="41" t="e">
        <f t="shared" si="136"/>
        <v>#DIV/0!</v>
      </c>
      <c r="AH702" s="41">
        <f t="shared" si="137"/>
        <v>0</v>
      </c>
      <c r="AI702" s="41">
        <v>0</v>
      </c>
      <c r="AJ702" s="41">
        <v>0</v>
      </c>
      <c r="AK702" s="41">
        <v>0</v>
      </c>
      <c r="AL702" s="41">
        <v>0</v>
      </c>
      <c r="AM702" s="41" t="e">
        <f t="shared" si="145"/>
        <v>#DIV/0!</v>
      </c>
      <c r="AN702" s="41" t="e">
        <f t="shared" si="138"/>
        <v>#DIV/0!</v>
      </c>
      <c r="AO702" s="41" t="e">
        <f t="shared" si="139"/>
        <v>#DIV/0!</v>
      </c>
      <c r="AP702" s="40"/>
      <c r="AQ702" s="36"/>
      <c r="AR702" s="36"/>
      <c r="AS702" s="36"/>
      <c r="AT702" s="36"/>
      <c r="AU702" s="36"/>
      <c r="AV702" s="38"/>
      <c r="AW702" s="40"/>
    </row>
    <row r="703" spans="1:49" s="34" customFormat="1" ht="15.75" customHeight="1" x14ac:dyDescent="0.3">
      <c r="A703" s="35"/>
      <c r="B703" s="36"/>
      <c r="C703" s="37"/>
      <c r="D703" s="39"/>
      <c r="E703" s="40"/>
      <c r="F703" s="36"/>
      <c r="G703" s="37"/>
      <c r="H703" s="40"/>
      <c r="I703" s="40"/>
      <c r="J703" s="41"/>
      <c r="K703" s="41">
        <v>0</v>
      </c>
      <c r="L703" s="30">
        <f t="shared" si="142"/>
        <v>0</v>
      </c>
      <c r="M703" s="30">
        <f t="shared" si="142"/>
        <v>0</v>
      </c>
      <c r="N703" s="40"/>
      <c r="O703" s="40"/>
      <c r="P703" s="40"/>
      <c r="Q703" s="44"/>
      <c r="R703" s="37"/>
      <c r="S703" s="37"/>
      <c r="T703" s="48"/>
      <c r="U703" s="30" t="e">
        <f>M703/W703</f>
        <v>#DIV/0!</v>
      </c>
      <c r="V703" s="41" t="e">
        <f t="shared" si="146"/>
        <v>#DIV/0!</v>
      </c>
      <c r="W703" s="41">
        <f t="shared" si="141"/>
        <v>0</v>
      </c>
      <c r="X703" s="41">
        <f t="shared" si="144"/>
        <v>0</v>
      </c>
      <c r="Y703" s="41">
        <v>0</v>
      </c>
      <c r="Z703" s="41" t="e">
        <f t="shared" si="133"/>
        <v>#DIV/0!</v>
      </c>
      <c r="AA703" s="41">
        <v>0</v>
      </c>
      <c r="AB703" s="41" t="e">
        <f t="shared" si="134"/>
        <v>#DIV/0!</v>
      </c>
      <c r="AC703" s="41">
        <f t="shared" si="143"/>
        <v>0</v>
      </c>
      <c r="AD703" s="41">
        <v>0</v>
      </c>
      <c r="AE703" s="41" t="e">
        <f t="shared" si="135"/>
        <v>#DIV/0!</v>
      </c>
      <c r="AF703" s="41">
        <v>0</v>
      </c>
      <c r="AG703" s="41" t="e">
        <f t="shared" si="136"/>
        <v>#DIV/0!</v>
      </c>
      <c r="AH703" s="41">
        <f t="shared" si="137"/>
        <v>0</v>
      </c>
      <c r="AI703" s="41">
        <v>0</v>
      </c>
      <c r="AJ703" s="41">
        <v>0</v>
      </c>
      <c r="AK703" s="41">
        <v>0</v>
      </c>
      <c r="AL703" s="41">
        <v>0</v>
      </c>
      <c r="AM703" s="41" t="e">
        <f t="shared" si="145"/>
        <v>#DIV/0!</v>
      </c>
      <c r="AN703" s="41" t="e">
        <f t="shared" si="138"/>
        <v>#DIV/0!</v>
      </c>
      <c r="AO703" s="41" t="e">
        <f t="shared" si="139"/>
        <v>#DIV/0!</v>
      </c>
      <c r="AP703" s="40"/>
      <c r="AQ703" s="36"/>
      <c r="AR703" s="36"/>
      <c r="AS703" s="36"/>
      <c r="AT703" s="36"/>
      <c r="AU703" s="36"/>
      <c r="AV703" s="38"/>
      <c r="AW703" s="40"/>
    </row>
    <row r="704" spans="1:49" s="34" customFormat="1" ht="15.75" customHeight="1" x14ac:dyDescent="0.3">
      <c r="A704" s="35"/>
      <c r="B704" s="36"/>
      <c r="C704" s="37"/>
      <c r="D704" s="39"/>
      <c r="E704" s="40"/>
      <c r="F704" s="36"/>
      <c r="G704" s="37"/>
      <c r="H704" s="40"/>
      <c r="I704" s="40"/>
      <c r="J704" s="41"/>
      <c r="K704" s="41">
        <v>0</v>
      </c>
      <c r="L704" s="30">
        <f t="shared" si="142"/>
        <v>0</v>
      </c>
      <c r="M704" s="30">
        <f t="shared" si="142"/>
        <v>0</v>
      </c>
      <c r="N704" s="40"/>
      <c r="O704" s="40"/>
      <c r="P704" s="40"/>
      <c r="Q704" s="44"/>
      <c r="R704" s="37"/>
      <c r="S704" s="37"/>
      <c r="T704" s="48"/>
      <c r="U704" s="30" t="e">
        <f>M704/W704</f>
        <v>#DIV/0!</v>
      </c>
      <c r="V704" s="41" t="e">
        <f t="shared" si="146"/>
        <v>#DIV/0!</v>
      </c>
      <c r="W704" s="41">
        <f t="shared" si="141"/>
        <v>0</v>
      </c>
      <c r="X704" s="41">
        <f t="shared" si="144"/>
        <v>0</v>
      </c>
      <c r="Y704" s="41">
        <v>0</v>
      </c>
      <c r="Z704" s="41" t="e">
        <f t="shared" si="133"/>
        <v>#DIV/0!</v>
      </c>
      <c r="AA704" s="41">
        <v>0</v>
      </c>
      <c r="AB704" s="41" t="e">
        <f t="shared" si="134"/>
        <v>#DIV/0!</v>
      </c>
      <c r="AC704" s="41">
        <f t="shared" si="143"/>
        <v>0</v>
      </c>
      <c r="AD704" s="41">
        <v>0</v>
      </c>
      <c r="AE704" s="41" t="e">
        <f t="shared" si="135"/>
        <v>#DIV/0!</v>
      </c>
      <c r="AF704" s="41">
        <v>0</v>
      </c>
      <c r="AG704" s="41" t="e">
        <f t="shared" si="136"/>
        <v>#DIV/0!</v>
      </c>
      <c r="AH704" s="41">
        <f t="shared" si="137"/>
        <v>0</v>
      </c>
      <c r="AI704" s="41">
        <v>0</v>
      </c>
      <c r="AJ704" s="41">
        <v>0</v>
      </c>
      <c r="AK704" s="41">
        <v>0</v>
      </c>
      <c r="AL704" s="41">
        <v>0</v>
      </c>
      <c r="AM704" s="41" t="e">
        <f t="shared" si="145"/>
        <v>#DIV/0!</v>
      </c>
      <c r="AN704" s="41" t="e">
        <f t="shared" si="138"/>
        <v>#DIV/0!</v>
      </c>
      <c r="AO704" s="41" t="e">
        <f t="shared" si="139"/>
        <v>#DIV/0!</v>
      </c>
      <c r="AP704" s="40"/>
      <c r="AQ704" s="36"/>
      <c r="AR704" s="36"/>
      <c r="AS704" s="36"/>
      <c r="AT704" s="36"/>
      <c r="AU704" s="36"/>
      <c r="AV704" s="38"/>
      <c r="AW704" s="40"/>
    </row>
    <row r="705" spans="1:49" s="34" customFormat="1" ht="15.75" customHeight="1" x14ac:dyDescent="0.3">
      <c r="A705" s="35"/>
      <c r="B705" s="36"/>
      <c r="C705" s="37"/>
      <c r="D705" s="39"/>
      <c r="E705" s="40"/>
      <c r="F705" s="36"/>
      <c r="G705" s="37"/>
      <c r="H705" s="40"/>
      <c r="I705" s="40"/>
      <c r="J705" s="41"/>
      <c r="K705" s="41">
        <v>0</v>
      </c>
      <c r="L705" s="30">
        <f t="shared" si="142"/>
        <v>0</v>
      </c>
      <c r="M705" s="30">
        <f t="shared" si="142"/>
        <v>0</v>
      </c>
      <c r="N705" s="40"/>
      <c r="O705" s="40"/>
      <c r="P705" s="40"/>
      <c r="Q705" s="44"/>
      <c r="R705" s="37"/>
      <c r="S705" s="37"/>
      <c r="T705" s="48"/>
      <c r="U705" s="30" t="e">
        <f>M705/W705</f>
        <v>#DIV/0!</v>
      </c>
      <c r="V705" s="41" t="e">
        <f t="shared" si="146"/>
        <v>#DIV/0!</v>
      </c>
      <c r="W705" s="41">
        <f t="shared" si="141"/>
        <v>0</v>
      </c>
      <c r="X705" s="41">
        <f t="shared" si="144"/>
        <v>0</v>
      </c>
      <c r="Y705" s="41">
        <v>0</v>
      </c>
      <c r="Z705" s="41" t="e">
        <f t="shared" ref="Z705:Z768" si="147">Y705*U705</f>
        <v>#DIV/0!</v>
      </c>
      <c r="AA705" s="41">
        <v>0</v>
      </c>
      <c r="AB705" s="41" t="e">
        <f t="shared" ref="AB705:AB768" si="148">AA705*U705</f>
        <v>#DIV/0!</v>
      </c>
      <c r="AC705" s="41">
        <f t="shared" si="143"/>
        <v>0</v>
      </c>
      <c r="AD705" s="41">
        <v>0</v>
      </c>
      <c r="AE705" s="41" t="e">
        <f t="shared" ref="AE705:AE768" si="149">AD705*U705</f>
        <v>#DIV/0!</v>
      </c>
      <c r="AF705" s="41">
        <v>0</v>
      </c>
      <c r="AG705" s="41" t="e">
        <f t="shared" ref="AG705:AG768" si="150">AF705*U705</f>
        <v>#DIV/0!</v>
      </c>
      <c r="AH705" s="41">
        <f t="shared" ref="AH705:AH768" si="151">AI705+AK705</f>
        <v>0</v>
      </c>
      <c r="AI705" s="41">
        <v>0</v>
      </c>
      <c r="AJ705" s="41">
        <v>0</v>
      </c>
      <c r="AK705" s="41">
        <v>0</v>
      </c>
      <c r="AL705" s="41">
        <v>0</v>
      </c>
      <c r="AM705" s="41" t="e">
        <f t="shared" si="145"/>
        <v>#DIV/0!</v>
      </c>
      <c r="AN705" s="41" t="e">
        <f t="shared" ref="AN705:AN768" si="152">W705/T705</f>
        <v>#DIV/0!</v>
      </c>
      <c r="AO705" s="41" t="e">
        <f t="shared" ref="AO705:AO768" si="153">_xlfn.CEILING.MATH(AN705)</f>
        <v>#DIV/0!</v>
      </c>
      <c r="AP705" s="40"/>
      <c r="AQ705" s="36"/>
      <c r="AR705" s="36"/>
      <c r="AS705" s="36"/>
      <c r="AT705" s="36"/>
      <c r="AU705" s="36"/>
      <c r="AV705" s="38"/>
      <c r="AW705" s="40"/>
    </row>
    <row r="706" spans="1:49" s="34" customFormat="1" ht="15.75" customHeight="1" x14ac:dyDescent="0.3">
      <c r="A706" s="35"/>
      <c r="B706" s="36"/>
      <c r="C706" s="37"/>
      <c r="D706" s="39"/>
      <c r="E706" s="40"/>
      <c r="F706" s="36"/>
      <c r="G706" s="37"/>
      <c r="H706" s="40"/>
      <c r="I706" s="40"/>
      <c r="J706" s="41"/>
      <c r="K706" s="41">
        <v>0</v>
      </c>
      <c r="L706" s="30">
        <f t="shared" si="142"/>
        <v>0</v>
      </c>
      <c r="M706" s="30">
        <f t="shared" si="142"/>
        <v>0</v>
      </c>
      <c r="N706" s="40"/>
      <c r="O706" s="40"/>
      <c r="P706" s="40"/>
      <c r="Q706" s="44"/>
      <c r="R706" s="37"/>
      <c r="S706" s="37"/>
      <c r="T706" s="48"/>
      <c r="U706" s="30" t="e">
        <f>M706/W706</f>
        <v>#DIV/0!</v>
      </c>
      <c r="V706" s="41" t="e">
        <f t="shared" si="146"/>
        <v>#DIV/0!</v>
      </c>
      <c r="W706" s="41">
        <f t="shared" si="141"/>
        <v>0</v>
      </c>
      <c r="X706" s="41">
        <f t="shared" si="144"/>
        <v>0</v>
      </c>
      <c r="Y706" s="41">
        <v>0</v>
      </c>
      <c r="Z706" s="41" t="e">
        <f t="shared" si="147"/>
        <v>#DIV/0!</v>
      </c>
      <c r="AA706" s="41">
        <v>0</v>
      </c>
      <c r="AB706" s="41" t="e">
        <f t="shared" si="148"/>
        <v>#DIV/0!</v>
      </c>
      <c r="AC706" s="41">
        <f t="shared" si="143"/>
        <v>0</v>
      </c>
      <c r="AD706" s="41">
        <v>0</v>
      </c>
      <c r="AE706" s="41" t="e">
        <f t="shared" si="149"/>
        <v>#DIV/0!</v>
      </c>
      <c r="AF706" s="41">
        <v>0</v>
      </c>
      <c r="AG706" s="41" t="e">
        <f t="shared" si="150"/>
        <v>#DIV/0!</v>
      </c>
      <c r="AH706" s="41">
        <f t="shared" si="151"/>
        <v>0</v>
      </c>
      <c r="AI706" s="41">
        <v>0</v>
      </c>
      <c r="AJ706" s="41">
        <v>0</v>
      </c>
      <c r="AK706" s="41">
        <v>0</v>
      </c>
      <c r="AL706" s="41">
        <v>0</v>
      </c>
      <c r="AM706" s="41" t="e">
        <f t="shared" si="145"/>
        <v>#DIV/0!</v>
      </c>
      <c r="AN706" s="41" t="e">
        <f t="shared" si="152"/>
        <v>#DIV/0!</v>
      </c>
      <c r="AO706" s="41" t="e">
        <f t="shared" si="153"/>
        <v>#DIV/0!</v>
      </c>
      <c r="AP706" s="40"/>
      <c r="AQ706" s="36"/>
      <c r="AR706" s="36"/>
      <c r="AS706" s="36"/>
      <c r="AT706" s="36"/>
      <c r="AU706" s="36"/>
      <c r="AV706" s="38"/>
      <c r="AW706" s="40"/>
    </row>
    <row r="707" spans="1:49" s="34" customFormat="1" ht="15.75" customHeight="1" x14ac:dyDescent="0.3">
      <c r="A707" s="35"/>
      <c r="B707" s="36"/>
      <c r="C707" s="37"/>
      <c r="D707" s="39"/>
      <c r="E707" s="40"/>
      <c r="F707" s="36"/>
      <c r="G707" s="37"/>
      <c r="H707" s="40"/>
      <c r="I707" s="40"/>
      <c r="J707" s="41"/>
      <c r="K707" s="41">
        <v>0</v>
      </c>
      <c r="L707" s="30">
        <f t="shared" si="142"/>
        <v>0</v>
      </c>
      <c r="M707" s="30">
        <f t="shared" si="142"/>
        <v>0</v>
      </c>
      <c r="N707" s="40"/>
      <c r="O707" s="40"/>
      <c r="P707" s="40"/>
      <c r="Q707" s="44"/>
      <c r="R707" s="37"/>
      <c r="S707" s="37"/>
      <c r="T707" s="48"/>
      <c r="U707" s="30" t="e">
        <f>M707/W707</f>
        <v>#DIV/0!</v>
      </c>
      <c r="V707" s="41" t="e">
        <f t="shared" si="146"/>
        <v>#DIV/0!</v>
      </c>
      <c r="W707" s="41">
        <f t="shared" si="141"/>
        <v>0</v>
      </c>
      <c r="X707" s="41">
        <f t="shared" si="144"/>
        <v>0</v>
      </c>
      <c r="Y707" s="41">
        <v>0</v>
      </c>
      <c r="Z707" s="41" t="e">
        <f t="shared" si="147"/>
        <v>#DIV/0!</v>
      </c>
      <c r="AA707" s="41">
        <v>0</v>
      </c>
      <c r="AB707" s="41" t="e">
        <f t="shared" si="148"/>
        <v>#DIV/0!</v>
      </c>
      <c r="AC707" s="41">
        <f t="shared" si="143"/>
        <v>0</v>
      </c>
      <c r="AD707" s="41">
        <v>0</v>
      </c>
      <c r="AE707" s="41" t="e">
        <f t="shared" si="149"/>
        <v>#DIV/0!</v>
      </c>
      <c r="AF707" s="41">
        <v>0</v>
      </c>
      <c r="AG707" s="41" t="e">
        <f t="shared" si="150"/>
        <v>#DIV/0!</v>
      </c>
      <c r="AH707" s="41">
        <f t="shared" si="151"/>
        <v>0</v>
      </c>
      <c r="AI707" s="41">
        <v>0</v>
      </c>
      <c r="AJ707" s="41">
        <v>0</v>
      </c>
      <c r="AK707" s="41">
        <v>0</v>
      </c>
      <c r="AL707" s="41">
        <v>0</v>
      </c>
      <c r="AM707" s="41" t="e">
        <f t="shared" si="145"/>
        <v>#DIV/0!</v>
      </c>
      <c r="AN707" s="41" t="e">
        <f t="shared" si="152"/>
        <v>#DIV/0!</v>
      </c>
      <c r="AO707" s="41" t="e">
        <f t="shared" si="153"/>
        <v>#DIV/0!</v>
      </c>
      <c r="AP707" s="40"/>
      <c r="AQ707" s="36"/>
      <c r="AR707" s="36"/>
      <c r="AS707" s="36"/>
      <c r="AT707" s="36"/>
      <c r="AU707" s="36"/>
      <c r="AV707" s="38"/>
      <c r="AW707" s="40"/>
    </row>
    <row r="708" spans="1:49" s="34" customFormat="1" ht="15.75" customHeight="1" x14ac:dyDescent="0.3">
      <c r="A708" s="35"/>
      <c r="B708" s="36"/>
      <c r="C708" s="37"/>
      <c r="D708" s="39"/>
      <c r="E708" s="40"/>
      <c r="F708" s="36"/>
      <c r="G708" s="37"/>
      <c r="H708" s="40"/>
      <c r="I708" s="40"/>
      <c r="J708" s="41"/>
      <c r="K708" s="41">
        <v>0</v>
      </c>
      <c r="L708" s="30">
        <f t="shared" si="142"/>
        <v>0</v>
      </c>
      <c r="M708" s="30">
        <f t="shared" si="142"/>
        <v>0</v>
      </c>
      <c r="N708" s="40"/>
      <c r="O708" s="40"/>
      <c r="P708" s="40"/>
      <c r="Q708" s="44"/>
      <c r="R708" s="37"/>
      <c r="S708" s="37"/>
      <c r="T708" s="48"/>
      <c r="U708" s="30" t="e">
        <f>M708/W708</f>
        <v>#DIV/0!</v>
      </c>
      <c r="V708" s="41" t="e">
        <f t="shared" si="146"/>
        <v>#DIV/0!</v>
      </c>
      <c r="W708" s="41">
        <f t="shared" si="141"/>
        <v>0</v>
      </c>
      <c r="X708" s="41">
        <f t="shared" si="144"/>
        <v>0</v>
      </c>
      <c r="Y708" s="41">
        <v>0</v>
      </c>
      <c r="Z708" s="41" t="e">
        <f t="shared" si="147"/>
        <v>#DIV/0!</v>
      </c>
      <c r="AA708" s="41">
        <v>0</v>
      </c>
      <c r="AB708" s="41" t="e">
        <f t="shared" si="148"/>
        <v>#DIV/0!</v>
      </c>
      <c r="AC708" s="41">
        <f t="shared" si="143"/>
        <v>0</v>
      </c>
      <c r="AD708" s="41">
        <v>0</v>
      </c>
      <c r="AE708" s="41" t="e">
        <f t="shared" si="149"/>
        <v>#DIV/0!</v>
      </c>
      <c r="AF708" s="41">
        <v>0</v>
      </c>
      <c r="AG708" s="41" t="e">
        <f t="shared" si="150"/>
        <v>#DIV/0!</v>
      </c>
      <c r="AH708" s="41">
        <f t="shared" si="151"/>
        <v>0</v>
      </c>
      <c r="AI708" s="41">
        <v>0</v>
      </c>
      <c r="AJ708" s="41">
        <v>0</v>
      </c>
      <c r="AK708" s="41">
        <v>0</v>
      </c>
      <c r="AL708" s="41">
        <v>0</v>
      </c>
      <c r="AM708" s="41" t="e">
        <f t="shared" si="145"/>
        <v>#DIV/0!</v>
      </c>
      <c r="AN708" s="41" t="e">
        <f t="shared" si="152"/>
        <v>#DIV/0!</v>
      </c>
      <c r="AO708" s="41" t="e">
        <f t="shared" si="153"/>
        <v>#DIV/0!</v>
      </c>
      <c r="AP708" s="40"/>
      <c r="AQ708" s="36"/>
      <c r="AR708" s="36"/>
      <c r="AS708" s="36"/>
      <c r="AT708" s="36"/>
      <c r="AU708" s="36"/>
      <c r="AV708" s="38"/>
      <c r="AW708" s="40"/>
    </row>
    <row r="709" spans="1:49" s="34" customFormat="1" ht="15.75" customHeight="1" x14ac:dyDescent="0.3">
      <c r="A709" s="35"/>
      <c r="B709" s="36"/>
      <c r="C709" s="37"/>
      <c r="D709" s="39"/>
      <c r="E709" s="40"/>
      <c r="F709" s="36"/>
      <c r="G709" s="37"/>
      <c r="H709" s="40"/>
      <c r="I709" s="40"/>
      <c r="J709" s="41"/>
      <c r="K709" s="41">
        <v>0</v>
      </c>
      <c r="L709" s="30">
        <f t="shared" si="142"/>
        <v>0</v>
      </c>
      <c r="M709" s="30">
        <f t="shared" si="142"/>
        <v>0</v>
      </c>
      <c r="N709" s="40"/>
      <c r="O709" s="40"/>
      <c r="P709" s="40"/>
      <c r="Q709" s="44"/>
      <c r="R709" s="37"/>
      <c r="S709" s="37"/>
      <c r="T709" s="48"/>
      <c r="U709" s="30" t="e">
        <f>M709/W709</f>
        <v>#DIV/0!</v>
      </c>
      <c r="V709" s="41" t="e">
        <f t="shared" si="146"/>
        <v>#DIV/0!</v>
      </c>
      <c r="W709" s="41">
        <f t="shared" si="141"/>
        <v>0</v>
      </c>
      <c r="X709" s="41">
        <f t="shared" si="144"/>
        <v>0</v>
      </c>
      <c r="Y709" s="41">
        <v>0</v>
      </c>
      <c r="Z709" s="41" t="e">
        <f t="shared" si="147"/>
        <v>#DIV/0!</v>
      </c>
      <c r="AA709" s="41">
        <v>0</v>
      </c>
      <c r="AB709" s="41" t="e">
        <f t="shared" si="148"/>
        <v>#DIV/0!</v>
      </c>
      <c r="AC709" s="41">
        <f t="shared" si="143"/>
        <v>0</v>
      </c>
      <c r="AD709" s="41">
        <v>0</v>
      </c>
      <c r="AE709" s="41" t="e">
        <f t="shared" si="149"/>
        <v>#DIV/0!</v>
      </c>
      <c r="AF709" s="41">
        <v>0</v>
      </c>
      <c r="AG709" s="41" t="e">
        <f t="shared" si="150"/>
        <v>#DIV/0!</v>
      </c>
      <c r="AH709" s="41">
        <f t="shared" si="151"/>
        <v>0</v>
      </c>
      <c r="AI709" s="41">
        <v>0</v>
      </c>
      <c r="AJ709" s="41">
        <v>0</v>
      </c>
      <c r="AK709" s="41">
        <v>0</v>
      </c>
      <c r="AL709" s="41">
        <v>0</v>
      </c>
      <c r="AM709" s="41" t="e">
        <f t="shared" si="145"/>
        <v>#DIV/0!</v>
      </c>
      <c r="AN709" s="41" t="e">
        <f t="shared" si="152"/>
        <v>#DIV/0!</v>
      </c>
      <c r="AO709" s="41" t="e">
        <f t="shared" si="153"/>
        <v>#DIV/0!</v>
      </c>
      <c r="AP709" s="40"/>
      <c r="AQ709" s="36"/>
      <c r="AR709" s="36"/>
      <c r="AS709" s="36"/>
      <c r="AT709" s="36"/>
      <c r="AU709" s="36"/>
      <c r="AV709" s="38"/>
      <c r="AW709" s="40"/>
    </row>
    <row r="710" spans="1:49" s="34" customFormat="1" ht="15.75" customHeight="1" x14ac:dyDescent="0.3">
      <c r="A710" s="35"/>
      <c r="B710" s="36"/>
      <c r="C710" s="37"/>
      <c r="D710" s="39"/>
      <c r="E710" s="40"/>
      <c r="F710" s="36"/>
      <c r="G710" s="37"/>
      <c r="H710" s="40"/>
      <c r="I710" s="40"/>
      <c r="J710" s="41"/>
      <c r="K710" s="41">
        <v>0</v>
      </c>
      <c r="L710" s="30">
        <f t="shared" si="142"/>
        <v>0</v>
      </c>
      <c r="M710" s="30">
        <f t="shared" si="142"/>
        <v>0</v>
      </c>
      <c r="N710" s="40"/>
      <c r="O710" s="40"/>
      <c r="P710" s="40"/>
      <c r="Q710" s="44"/>
      <c r="R710" s="37"/>
      <c r="S710" s="37"/>
      <c r="T710" s="48"/>
      <c r="U710" s="30" t="e">
        <f>M710/W710</f>
        <v>#DIV/0!</v>
      </c>
      <c r="V710" s="41" t="e">
        <f t="shared" si="146"/>
        <v>#DIV/0!</v>
      </c>
      <c r="W710" s="41">
        <f t="shared" si="141"/>
        <v>0</v>
      </c>
      <c r="X710" s="41">
        <f t="shared" si="144"/>
        <v>0</v>
      </c>
      <c r="Y710" s="41">
        <v>0</v>
      </c>
      <c r="Z710" s="41" t="e">
        <f t="shared" si="147"/>
        <v>#DIV/0!</v>
      </c>
      <c r="AA710" s="41">
        <v>0</v>
      </c>
      <c r="AB710" s="41" t="e">
        <f t="shared" si="148"/>
        <v>#DIV/0!</v>
      </c>
      <c r="AC710" s="41">
        <f t="shared" si="143"/>
        <v>0</v>
      </c>
      <c r="AD710" s="41">
        <v>0</v>
      </c>
      <c r="AE710" s="41" t="e">
        <f t="shared" si="149"/>
        <v>#DIV/0!</v>
      </c>
      <c r="AF710" s="41">
        <v>0</v>
      </c>
      <c r="AG710" s="41" t="e">
        <f t="shared" si="150"/>
        <v>#DIV/0!</v>
      </c>
      <c r="AH710" s="41">
        <f t="shared" si="151"/>
        <v>0</v>
      </c>
      <c r="AI710" s="41">
        <v>0</v>
      </c>
      <c r="AJ710" s="41">
        <v>0</v>
      </c>
      <c r="AK710" s="41">
        <v>0</v>
      </c>
      <c r="AL710" s="41">
        <v>0</v>
      </c>
      <c r="AM710" s="41" t="e">
        <f t="shared" si="145"/>
        <v>#DIV/0!</v>
      </c>
      <c r="AN710" s="41" t="e">
        <f t="shared" si="152"/>
        <v>#DIV/0!</v>
      </c>
      <c r="AO710" s="41" t="e">
        <f t="shared" si="153"/>
        <v>#DIV/0!</v>
      </c>
      <c r="AP710" s="40"/>
      <c r="AQ710" s="36"/>
      <c r="AR710" s="36"/>
      <c r="AS710" s="36"/>
      <c r="AT710" s="36"/>
      <c r="AU710" s="36"/>
      <c r="AV710" s="38"/>
      <c r="AW710" s="40"/>
    </row>
    <row r="711" spans="1:49" s="34" customFormat="1" ht="15.75" customHeight="1" x14ac:dyDescent="0.3">
      <c r="A711" s="35"/>
      <c r="B711" s="36"/>
      <c r="C711" s="37"/>
      <c r="D711" s="39"/>
      <c r="E711" s="40"/>
      <c r="F711" s="36"/>
      <c r="G711" s="37"/>
      <c r="H711" s="40"/>
      <c r="I711" s="40"/>
      <c r="J711" s="41"/>
      <c r="K711" s="41">
        <v>0</v>
      </c>
      <c r="L711" s="30">
        <f t="shared" si="142"/>
        <v>0</v>
      </c>
      <c r="M711" s="30">
        <f t="shared" si="142"/>
        <v>0</v>
      </c>
      <c r="N711" s="40"/>
      <c r="O711" s="40"/>
      <c r="P711" s="40"/>
      <c r="Q711" s="44"/>
      <c r="R711" s="37"/>
      <c r="S711" s="37"/>
      <c r="T711" s="48"/>
      <c r="U711" s="30" t="e">
        <f>M711/W711</f>
        <v>#DIV/0!</v>
      </c>
      <c r="V711" s="41" t="e">
        <f t="shared" si="146"/>
        <v>#DIV/0!</v>
      </c>
      <c r="W711" s="41">
        <f t="shared" si="141"/>
        <v>0</v>
      </c>
      <c r="X711" s="41">
        <f t="shared" si="144"/>
        <v>0</v>
      </c>
      <c r="Y711" s="41">
        <v>0</v>
      </c>
      <c r="Z711" s="41" t="e">
        <f t="shared" si="147"/>
        <v>#DIV/0!</v>
      </c>
      <c r="AA711" s="41">
        <v>0</v>
      </c>
      <c r="AB711" s="41" t="e">
        <f t="shared" si="148"/>
        <v>#DIV/0!</v>
      </c>
      <c r="AC711" s="41">
        <f t="shared" si="143"/>
        <v>0</v>
      </c>
      <c r="AD711" s="41">
        <v>0</v>
      </c>
      <c r="AE711" s="41" t="e">
        <f t="shared" si="149"/>
        <v>#DIV/0!</v>
      </c>
      <c r="AF711" s="41">
        <v>0</v>
      </c>
      <c r="AG711" s="41" t="e">
        <f t="shared" si="150"/>
        <v>#DIV/0!</v>
      </c>
      <c r="AH711" s="41">
        <f t="shared" si="151"/>
        <v>0</v>
      </c>
      <c r="AI711" s="41">
        <v>0</v>
      </c>
      <c r="AJ711" s="41">
        <v>0</v>
      </c>
      <c r="AK711" s="41">
        <v>0</v>
      </c>
      <c r="AL711" s="41">
        <v>0</v>
      </c>
      <c r="AM711" s="41" t="e">
        <f t="shared" si="145"/>
        <v>#DIV/0!</v>
      </c>
      <c r="AN711" s="41" t="e">
        <f t="shared" si="152"/>
        <v>#DIV/0!</v>
      </c>
      <c r="AO711" s="41" t="e">
        <f t="shared" si="153"/>
        <v>#DIV/0!</v>
      </c>
      <c r="AP711" s="40"/>
      <c r="AQ711" s="36"/>
      <c r="AR711" s="36"/>
      <c r="AS711" s="36"/>
      <c r="AT711" s="36"/>
      <c r="AU711" s="36"/>
      <c r="AV711" s="38"/>
      <c r="AW711" s="40"/>
    </row>
    <row r="712" spans="1:49" s="34" customFormat="1" ht="15.75" customHeight="1" x14ac:dyDescent="0.3">
      <c r="A712" s="35"/>
      <c r="B712" s="36"/>
      <c r="C712" s="37"/>
      <c r="D712" s="39"/>
      <c r="E712" s="40"/>
      <c r="F712" s="36"/>
      <c r="G712" s="37"/>
      <c r="H712" s="40"/>
      <c r="I712" s="40"/>
      <c r="J712" s="41"/>
      <c r="K712" s="41">
        <v>0</v>
      </c>
      <c r="L712" s="30">
        <f t="shared" si="142"/>
        <v>0</v>
      </c>
      <c r="M712" s="30">
        <f t="shared" si="142"/>
        <v>0</v>
      </c>
      <c r="N712" s="40"/>
      <c r="O712" s="40"/>
      <c r="P712" s="40"/>
      <c r="Q712" s="44"/>
      <c r="R712" s="37"/>
      <c r="S712" s="37"/>
      <c r="T712" s="48"/>
      <c r="U712" s="30" t="e">
        <f>M712/W712</f>
        <v>#DIV/0!</v>
      </c>
      <c r="V712" s="41" t="e">
        <f t="shared" si="146"/>
        <v>#DIV/0!</v>
      </c>
      <c r="W712" s="41">
        <f t="shared" si="141"/>
        <v>0</v>
      </c>
      <c r="X712" s="41">
        <f t="shared" si="144"/>
        <v>0</v>
      </c>
      <c r="Y712" s="41">
        <v>0</v>
      </c>
      <c r="Z712" s="41" t="e">
        <f t="shared" si="147"/>
        <v>#DIV/0!</v>
      </c>
      <c r="AA712" s="41">
        <v>0</v>
      </c>
      <c r="AB712" s="41" t="e">
        <f t="shared" si="148"/>
        <v>#DIV/0!</v>
      </c>
      <c r="AC712" s="41">
        <f t="shared" si="143"/>
        <v>0</v>
      </c>
      <c r="AD712" s="41">
        <v>0</v>
      </c>
      <c r="AE712" s="41" t="e">
        <f t="shared" si="149"/>
        <v>#DIV/0!</v>
      </c>
      <c r="AF712" s="41">
        <v>0</v>
      </c>
      <c r="AG712" s="41" t="e">
        <f t="shared" si="150"/>
        <v>#DIV/0!</v>
      </c>
      <c r="AH712" s="41">
        <f t="shared" si="151"/>
        <v>0</v>
      </c>
      <c r="AI712" s="41">
        <v>0</v>
      </c>
      <c r="AJ712" s="41">
        <v>0</v>
      </c>
      <c r="AK712" s="41">
        <v>0</v>
      </c>
      <c r="AL712" s="41">
        <v>0</v>
      </c>
      <c r="AM712" s="41" t="e">
        <f t="shared" si="145"/>
        <v>#DIV/0!</v>
      </c>
      <c r="AN712" s="41" t="e">
        <f t="shared" si="152"/>
        <v>#DIV/0!</v>
      </c>
      <c r="AO712" s="41" t="e">
        <f t="shared" si="153"/>
        <v>#DIV/0!</v>
      </c>
      <c r="AP712" s="40"/>
      <c r="AQ712" s="36"/>
      <c r="AR712" s="36"/>
      <c r="AS712" s="36"/>
      <c r="AT712" s="36"/>
      <c r="AU712" s="36"/>
      <c r="AV712" s="38"/>
      <c r="AW712" s="40"/>
    </row>
    <row r="713" spans="1:49" s="34" customFormat="1" ht="15.75" customHeight="1" x14ac:dyDescent="0.3">
      <c r="A713" s="35"/>
      <c r="B713" s="36"/>
      <c r="C713" s="37"/>
      <c r="D713" s="39"/>
      <c r="E713" s="40"/>
      <c r="F713" s="36"/>
      <c r="G713" s="37"/>
      <c r="H713" s="40"/>
      <c r="I713" s="40"/>
      <c r="J713" s="41"/>
      <c r="K713" s="41">
        <v>0</v>
      </c>
      <c r="L713" s="30">
        <f t="shared" si="142"/>
        <v>0</v>
      </c>
      <c r="M713" s="30">
        <f t="shared" si="142"/>
        <v>0</v>
      </c>
      <c r="N713" s="40"/>
      <c r="O713" s="40"/>
      <c r="P713" s="40"/>
      <c r="Q713" s="44"/>
      <c r="R713" s="37"/>
      <c r="S713" s="37"/>
      <c r="T713" s="48"/>
      <c r="U713" s="30" t="e">
        <f>M713/W713</f>
        <v>#DIV/0!</v>
      </c>
      <c r="V713" s="41" t="e">
        <f t="shared" si="146"/>
        <v>#DIV/0!</v>
      </c>
      <c r="W713" s="41">
        <f t="shared" si="141"/>
        <v>0</v>
      </c>
      <c r="X713" s="41">
        <f t="shared" si="144"/>
        <v>0</v>
      </c>
      <c r="Y713" s="41">
        <v>0</v>
      </c>
      <c r="Z713" s="41" t="e">
        <f t="shared" si="147"/>
        <v>#DIV/0!</v>
      </c>
      <c r="AA713" s="41">
        <v>0</v>
      </c>
      <c r="AB713" s="41" t="e">
        <f t="shared" si="148"/>
        <v>#DIV/0!</v>
      </c>
      <c r="AC713" s="41">
        <f t="shared" si="143"/>
        <v>0</v>
      </c>
      <c r="AD713" s="41">
        <v>0</v>
      </c>
      <c r="AE713" s="41" t="e">
        <f t="shared" si="149"/>
        <v>#DIV/0!</v>
      </c>
      <c r="AF713" s="41">
        <v>0</v>
      </c>
      <c r="AG713" s="41" t="e">
        <f t="shared" si="150"/>
        <v>#DIV/0!</v>
      </c>
      <c r="AH713" s="41">
        <f t="shared" si="151"/>
        <v>0</v>
      </c>
      <c r="AI713" s="41">
        <v>0</v>
      </c>
      <c r="AJ713" s="41">
        <v>0</v>
      </c>
      <c r="AK713" s="41">
        <v>0</v>
      </c>
      <c r="AL713" s="41">
        <v>0</v>
      </c>
      <c r="AM713" s="41" t="e">
        <f t="shared" si="145"/>
        <v>#DIV/0!</v>
      </c>
      <c r="AN713" s="41" t="e">
        <f t="shared" si="152"/>
        <v>#DIV/0!</v>
      </c>
      <c r="AO713" s="41" t="e">
        <f t="shared" si="153"/>
        <v>#DIV/0!</v>
      </c>
      <c r="AP713" s="40"/>
      <c r="AQ713" s="36"/>
      <c r="AR713" s="36"/>
      <c r="AS713" s="36"/>
      <c r="AT713" s="36"/>
      <c r="AU713" s="36"/>
      <c r="AV713" s="38"/>
      <c r="AW713" s="40"/>
    </row>
    <row r="714" spans="1:49" s="34" customFormat="1" ht="15.75" customHeight="1" x14ac:dyDescent="0.3">
      <c r="A714" s="35"/>
      <c r="B714" s="36"/>
      <c r="C714" s="37"/>
      <c r="D714" s="39"/>
      <c r="E714" s="40"/>
      <c r="F714" s="36"/>
      <c r="G714" s="37"/>
      <c r="H714" s="40"/>
      <c r="I714" s="40"/>
      <c r="J714" s="41"/>
      <c r="K714" s="41">
        <v>0</v>
      </c>
      <c r="L714" s="30">
        <f t="shared" si="142"/>
        <v>0</v>
      </c>
      <c r="M714" s="30">
        <f t="shared" si="142"/>
        <v>0</v>
      </c>
      <c r="N714" s="40"/>
      <c r="O714" s="40"/>
      <c r="P714" s="40"/>
      <c r="Q714" s="44"/>
      <c r="R714" s="37"/>
      <c r="S714" s="37"/>
      <c r="T714" s="48"/>
      <c r="U714" s="30" t="e">
        <f>M714/W714</f>
        <v>#DIV/0!</v>
      </c>
      <c r="V714" s="41" t="e">
        <f t="shared" si="146"/>
        <v>#DIV/0!</v>
      </c>
      <c r="W714" s="41">
        <f t="shared" si="141"/>
        <v>0</v>
      </c>
      <c r="X714" s="41">
        <f t="shared" si="144"/>
        <v>0</v>
      </c>
      <c r="Y714" s="41">
        <v>0</v>
      </c>
      <c r="Z714" s="41" t="e">
        <f t="shared" si="147"/>
        <v>#DIV/0!</v>
      </c>
      <c r="AA714" s="41">
        <v>0</v>
      </c>
      <c r="AB714" s="41" t="e">
        <f t="shared" si="148"/>
        <v>#DIV/0!</v>
      </c>
      <c r="AC714" s="41">
        <f t="shared" si="143"/>
        <v>0</v>
      </c>
      <c r="AD714" s="41">
        <v>0</v>
      </c>
      <c r="AE714" s="41" t="e">
        <f t="shared" si="149"/>
        <v>#DIV/0!</v>
      </c>
      <c r="AF714" s="41">
        <v>0</v>
      </c>
      <c r="AG714" s="41" t="e">
        <f t="shared" si="150"/>
        <v>#DIV/0!</v>
      </c>
      <c r="AH714" s="41">
        <f t="shared" si="151"/>
        <v>0</v>
      </c>
      <c r="AI714" s="41">
        <v>0</v>
      </c>
      <c r="AJ714" s="41">
        <v>0</v>
      </c>
      <c r="AK714" s="41">
        <v>0</v>
      </c>
      <c r="AL714" s="41">
        <v>0</v>
      </c>
      <c r="AM714" s="41" t="e">
        <f t="shared" si="145"/>
        <v>#DIV/0!</v>
      </c>
      <c r="AN714" s="41" t="e">
        <f t="shared" si="152"/>
        <v>#DIV/0!</v>
      </c>
      <c r="AO714" s="41" t="e">
        <f t="shared" si="153"/>
        <v>#DIV/0!</v>
      </c>
      <c r="AP714" s="40"/>
      <c r="AQ714" s="36"/>
      <c r="AR714" s="36"/>
      <c r="AS714" s="36"/>
      <c r="AT714" s="36"/>
      <c r="AU714" s="36"/>
      <c r="AV714" s="38"/>
      <c r="AW714" s="40"/>
    </row>
    <row r="715" spans="1:49" s="34" customFormat="1" ht="15.75" customHeight="1" x14ac:dyDescent="0.3">
      <c r="A715" s="35"/>
      <c r="B715" s="36"/>
      <c r="C715" s="37"/>
      <c r="D715" s="39"/>
      <c r="E715" s="40"/>
      <c r="F715" s="36"/>
      <c r="G715" s="37"/>
      <c r="H715" s="40"/>
      <c r="I715" s="40"/>
      <c r="J715" s="41"/>
      <c r="K715" s="41">
        <v>0</v>
      </c>
      <c r="L715" s="30">
        <f t="shared" si="142"/>
        <v>0</v>
      </c>
      <c r="M715" s="30">
        <f t="shared" si="142"/>
        <v>0</v>
      </c>
      <c r="N715" s="40"/>
      <c r="O715" s="40"/>
      <c r="P715" s="40"/>
      <c r="Q715" s="44"/>
      <c r="R715" s="37"/>
      <c r="S715" s="37"/>
      <c r="T715" s="48"/>
      <c r="U715" s="30" t="e">
        <f>M715/W715</f>
        <v>#DIV/0!</v>
      </c>
      <c r="V715" s="41" t="e">
        <f t="shared" si="146"/>
        <v>#DIV/0!</v>
      </c>
      <c r="W715" s="41">
        <f t="shared" si="141"/>
        <v>0</v>
      </c>
      <c r="X715" s="41">
        <f t="shared" si="144"/>
        <v>0</v>
      </c>
      <c r="Y715" s="41">
        <v>0</v>
      </c>
      <c r="Z715" s="41" t="e">
        <f t="shared" si="147"/>
        <v>#DIV/0!</v>
      </c>
      <c r="AA715" s="41">
        <v>0</v>
      </c>
      <c r="AB715" s="41" t="e">
        <f t="shared" si="148"/>
        <v>#DIV/0!</v>
      </c>
      <c r="AC715" s="41">
        <f t="shared" si="143"/>
        <v>0</v>
      </c>
      <c r="AD715" s="41">
        <v>0</v>
      </c>
      <c r="AE715" s="41" t="e">
        <f t="shared" si="149"/>
        <v>#DIV/0!</v>
      </c>
      <c r="AF715" s="41">
        <v>0</v>
      </c>
      <c r="AG715" s="41" t="e">
        <f t="shared" si="150"/>
        <v>#DIV/0!</v>
      </c>
      <c r="AH715" s="41">
        <f t="shared" si="151"/>
        <v>0</v>
      </c>
      <c r="AI715" s="41">
        <v>0</v>
      </c>
      <c r="AJ715" s="41">
        <v>0</v>
      </c>
      <c r="AK715" s="41">
        <v>0</v>
      </c>
      <c r="AL715" s="41">
        <v>0</v>
      </c>
      <c r="AM715" s="41" t="e">
        <f t="shared" si="145"/>
        <v>#DIV/0!</v>
      </c>
      <c r="AN715" s="41" t="e">
        <f t="shared" si="152"/>
        <v>#DIV/0!</v>
      </c>
      <c r="AO715" s="41" t="e">
        <f t="shared" si="153"/>
        <v>#DIV/0!</v>
      </c>
      <c r="AP715" s="40"/>
      <c r="AQ715" s="36"/>
      <c r="AR715" s="36"/>
      <c r="AS715" s="36"/>
      <c r="AT715" s="36"/>
      <c r="AU715" s="36"/>
      <c r="AV715" s="38"/>
      <c r="AW715" s="40"/>
    </row>
    <row r="716" spans="1:49" s="34" customFormat="1" ht="15.75" customHeight="1" x14ac:dyDescent="0.3">
      <c r="A716" s="35"/>
      <c r="B716" s="36"/>
      <c r="C716" s="37"/>
      <c r="D716" s="39"/>
      <c r="E716" s="40"/>
      <c r="F716" s="36"/>
      <c r="G716" s="37"/>
      <c r="H716" s="40"/>
      <c r="I716" s="40"/>
      <c r="J716" s="41"/>
      <c r="K716" s="41">
        <v>0</v>
      </c>
      <c r="L716" s="30">
        <f t="shared" si="142"/>
        <v>0</v>
      </c>
      <c r="M716" s="30">
        <f t="shared" si="142"/>
        <v>0</v>
      </c>
      <c r="N716" s="40"/>
      <c r="O716" s="40"/>
      <c r="P716" s="40"/>
      <c r="Q716" s="44"/>
      <c r="R716" s="37"/>
      <c r="S716" s="37"/>
      <c r="T716" s="48"/>
      <c r="U716" s="30" t="e">
        <f>M716/W716</f>
        <v>#DIV/0!</v>
      </c>
      <c r="V716" s="41" t="e">
        <f t="shared" si="146"/>
        <v>#DIV/0!</v>
      </c>
      <c r="W716" s="41">
        <f t="shared" si="141"/>
        <v>0</v>
      </c>
      <c r="X716" s="41">
        <f t="shared" si="144"/>
        <v>0</v>
      </c>
      <c r="Y716" s="41">
        <v>0</v>
      </c>
      <c r="Z716" s="41" t="e">
        <f t="shared" si="147"/>
        <v>#DIV/0!</v>
      </c>
      <c r="AA716" s="41">
        <v>0</v>
      </c>
      <c r="AB716" s="41" t="e">
        <f t="shared" si="148"/>
        <v>#DIV/0!</v>
      </c>
      <c r="AC716" s="41">
        <f t="shared" si="143"/>
        <v>0</v>
      </c>
      <c r="AD716" s="41">
        <v>0</v>
      </c>
      <c r="AE716" s="41" t="e">
        <f t="shared" si="149"/>
        <v>#DIV/0!</v>
      </c>
      <c r="AF716" s="41">
        <v>0</v>
      </c>
      <c r="AG716" s="41" t="e">
        <f t="shared" si="150"/>
        <v>#DIV/0!</v>
      </c>
      <c r="AH716" s="41">
        <f t="shared" si="151"/>
        <v>0</v>
      </c>
      <c r="AI716" s="41">
        <v>0</v>
      </c>
      <c r="AJ716" s="41">
        <v>0</v>
      </c>
      <c r="AK716" s="41">
        <v>0</v>
      </c>
      <c r="AL716" s="41">
        <v>0</v>
      </c>
      <c r="AM716" s="41" t="e">
        <f t="shared" si="145"/>
        <v>#DIV/0!</v>
      </c>
      <c r="AN716" s="41" t="e">
        <f t="shared" si="152"/>
        <v>#DIV/0!</v>
      </c>
      <c r="AO716" s="41" t="e">
        <f t="shared" si="153"/>
        <v>#DIV/0!</v>
      </c>
      <c r="AP716" s="40"/>
      <c r="AQ716" s="36"/>
      <c r="AR716" s="36"/>
      <c r="AS716" s="36"/>
      <c r="AT716" s="36"/>
      <c r="AU716" s="36"/>
      <c r="AV716" s="38"/>
      <c r="AW716" s="40"/>
    </row>
    <row r="717" spans="1:49" s="34" customFormat="1" ht="15.75" customHeight="1" x14ac:dyDescent="0.3">
      <c r="A717" s="35"/>
      <c r="B717" s="36"/>
      <c r="C717" s="37"/>
      <c r="D717" s="39"/>
      <c r="E717" s="40"/>
      <c r="F717" s="36"/>
      <c r="G717" s="37"/>
      <c r="H717" s="40"/>
      <c r="I717" s="40"/>
      <c r="J717" s="41"/>
      <c r="K717" s="41">
        <v>0</v>
      </c>
      <c r="L717" s="30">
        <f t="shared" si="142"/>
        <v>0</v>
      </c>
      <c r="M717" s="30">
        <f t="shared" si="142"/>
        <v>0</v>
      </c>
      <c r="N717" s="40"/>
      <c r="O717" s="40"/>
      <c r="P717" s="40"/>
      <c r="Q717" s="44"/>
      <c r="R717" s="37"/>
      <c r="S717" s="37"/>
      <c r="T717" s="48"/>
      <c r="U717" s="30" t="e">
        <f>M717/W717</f>
        <v>#DIV/0!</v>
      </c>
      <c r="V717" s="41" t="e">
        <f t="shared" si="146"/>
        <v>#DIV/0!</v>
      </c>
      <c r="W717" s="41">
        <f t="shared" si="141"/>
        <v>0</v>
      </c>
      <c r="X717" s="41">
        <f t="shared" si="144"/>
        <v>0</v>
      </c>
      <c r="Y717" s="41">
        <v>0</v>
      </c>
      <c r="Z717" s="41" t="e">
        <f t="shared" si="147"/>
        <v>#DIV/0!</v>
      </c>
      <c r="AA717" s="41">
        <v>0</v>
      </c>
      <c r="AB717" s="41" t="e">
        <f t="shared" si="148"/>
        <v>#DIV/0!</v>
      </c>
      <c r="AC717" s="41">
        <f t="shared" si="143"/>
        <v>0</v>
      </c>
      <c r="AD717" s="41">
        <v>0</v>
      </c>
      <c r="AE717" s="41" t="e">
        <f t="shared" si="149"/>
        <v>#DIV/0!</v>
      </c>
      <c r="AF717" s="41">
        <v>0</v>
      </c>
      <c r="AG717" s="41" t="e">
        <f t="shared" si="150"/>
        <v>#DIV/0!</v>
      </c>
      <c r="AH717" s="41">
        <f t="shared" si="151"/>
        <v>0</v>
      </c>
      <c r="AI717" s="41">
        <v>0</v>
      </c>
      <c r="AJ717" s="41">
        <v>0</v>
      </c>
      <c r="AK717" s="41">
        <v>0</v>
      </c>
      <c r="AL717" s="41">
        <v>0</v>
      </c>
      <c r="AM717" s="41" t="e">
        <f t="shared" si="145"/>
        <v>#DIV/0!</v>
      </c>
      <c r="AN717" s="41" t="e">
        <f t="shared" si="152"/>
        <v>#DIV/0!</v>
      </c>
      <c r="AO717" s="41" t="e">
        <f t="shared" si="153"/>
        <v>#DIV/0!</v>
      </c>
      <c r="AP717" s="40"/>
      <c r="AQ717" s="36"/>
      <c r="AR717" s="36"/>
      <c r="AS717" s="36"/>
      <c r="AT717" s="36"/>
      <c r="AU717" s="36"/>
      <c r="AV717" s="38"/>
      <c r="AW717" s="40"/>
    </row>
    <row r="718" spans="1:49" s="34" customFormat="1" ht="15.75" customHeight="1" x14ac:dyDescent="0.3">
      <c r="A718" s="35"/>
      <c r="B718" s="36"/>
      <c r="C718" s="37"/>
      <c r="D718" s="39"/>
      <c r="E718" s="40"/>
      <c r="F718" s="36"/>
      <c r="G718" s="37"/>
      <c r="H718" s="40"/>
      <c r="I718" s="40"/>
      <c r="J718" s="41"/>
      <c r="K718" s="41">
        <v>0</v>
      </c>
      <c r="L718" s="30">
        <f t="shared" si="142"/>
        <v>0</v>
      </c>
      <c r="M718" s="30">
        <f t="shared" si="142"/>
        <v>0</v>
      </c>
      <c r="N718" s="40"/>
      <c r="O718" s="40"/>
      <c r="P718" s="40"/>
      <c r="Q718" s="44"/>
      <c r="R718" s="37"/>
      <c r="S718" s="37"/>
      <c r="T718" s="48"/>
      <c r="U718" s="30" t="e">
        <f>M718/W718</f>
        <v>#DIV/0!</v>
      </c>
      <c r="V718" s="41" t="e">
        <f t="shared" si="146"/>
        <v>#DIV/0!</v>
      </c>
      <c r="W718" s="41">
        <f t="shared" si="141"/>
        <v>0</v>
      </c>
      <c r="X718" s="41">
        <f t="shared" si="144"/>
        <v>0</v>
      </c>
      <c r="Y718" s="41">
        <v>0</v>
      </c>
      <c r="Z718" s="41" t="e">
        <f t="shared" si="147"/>
        <v>#DIV/0!</v>
      </c>
      <c r="AA718" s="41">
        <v>0</v>
      </c>
      <c r="AB718" s="41" t="e">
        <f t="shared" si="148"/>
        <v>#DIV/0!</v>
      </c>
      <c r="AC718" s="41">
        <f t="shared" si="143"/>
        <v>0</v>
      </c>
      <c r="AD718" s="41">
        <v>0</v>
      </c>
      <c r="AE718" s="41" t="e">
        <f t="shared" si="149"/>
        <v>#DIV/0!</v>
      </c>
      <c r="AF718" s="41">
        <v>0</v>
      </c>
      <c r="AG718" s="41" t="e">
        <f t="shared" si="150"/>
        <v>#DIV/0!</v>
      </c>
      <c r="AH718" s="41">
        <f t="shared" si="151"/>
        <v>0</v>
      </c>
      <c r="AI718" s="41">
        <v>0</v>
      </c>
      <c r="AJ718" s="41">
        <v>0</v>
      </c>
      <c r="AK718" s="41">
        <v>0</v>
      </c>
      <c r="AL718" s="41">
        <v>0</v>
      </c>
      <c r="AM718" s="41" t="e">
        <f t="shared" si="145"/>
        <v>#DIV/0!</v>
      </c>
      <c r="AN718" s="41" t="e">
        <f t="shared" si="152"/>
        <v>#DIV/0!</v>
      </c>
      <c r="AO718" s="41" t="e">
        <f t="shared" si="153"/>
        <v>#DIV/0!</v>
      </c>
      <c r="AP718" s="40"/>
      <c r="AQ718" s="36"/>
      <c r="AR718" s="36"/>
      <c r="AS718" s="36"/>
      <c r="AT718" s="36"/>
      <c r="AU718" s="36"/>
      <c r="AV718" s="38"/>
      <c r="AW718" s="40"/>
    </row>
    <row r="719" spans="1:49" s="34" customFormat="1" ht="15.75" customHeight="1" x14ac:dyDescent="0.3">
      <c r="A719" s="35"/>
      <c r="B719" s="36"/>
      <c r="C719" s="37"/>
      <c r="D719" s="39"/>
      <c r="E719" s="40"/>
      <c r="F719" s="36"/>
      <c r="G719" s="37"/>
      <c r="H719" s="40"/>
      <c r="I719" s="40"/>
      <c r="J719" s="41"/>
      <c r="K719" s="41">
        <v>0</v>
      </c>
      <c r="L719" s="30">
        <f t="shared" si="142"/>
        <v>0</v>
      </c>
      <c r="M719" s="30">
        <f t="shared" si="142"/>
        <v>0</v>
      </c>
      <c r="N719" s="40"/>
      <c r="O719" s="40"/>
      <c r="P719" s="40"/>
      <c r="Q719" s="44"/>
      <c r="R719" s="37"/>
      <c r="S719" s="37"/>
      <c r="T719" s="48"/>
      <c r="U719" s="30" t="e">
        <f>M719/W719</f>
        <v>#DIV/0!</v>
      </c>
      <c r="V719" s="41" t="e">
        <f t="shared" si="146"/>
        <v>#DIV/0!</v>
      </c>
      <c r="W719" s="41">
        <f t="shared" si="141"/>
        <v>0</v>
      </c>
      <c r="X719" s="41">
        <f t="shared" si="144"/>
        <v>0</v>
      </c>
      <c r="Y719" s="41">
        <v>0</v>
      </c>
      <c r="Z719" s="41" t="e">
        <f t="shared" si="147"/>
        <v>#DIV/0!</v>
      </c>
      <c r="AA719" s="41">
        <v>0</v>
      </c>
      <c r="AB719" s="41" t="e">
        <f t="shared" si="148"/>
        <v>#DIV/0!</v>
      </c>
      <c r="AC719" s="41">
        <f t="shared" si="143"/>
        <v>0</v>
      </c>
      <c r="AD719" s="41">
        <v>0</v>
      </c>
      <c r="AE719" s="41" t="e">
        <f t="shared" si="149"/>
        <v>#DIV/0!</v>
      </c>
      <c r="AF719" s="41">
        <v>0</v>
      </c>
      <c r="AG719" s="41" t="e">
        <f t="shared" si="150"/>
        <v>#DIV/0!</v>
      </c>
      <c r="AH719" s="41">
        <f t="shared" si="151"/>
        <v>0</v>
      </c>
      <c r="AI719" s="41">
        <v>0</v>
      </c>
      <c r="AJ719" s="41">
        <v>0</v>
      </c>
      <c r="AK719" s="41">
        <v>0</v>
      </c>
      <c r="AL719" s="41">
        <v>0</v>
      </c>
      <c r="AM719" s="41" t="e">
        <f t="shared" si="145"/>
        <v>#DIV/0!</v>
      </c>
      <c r="AN719" s="41" t="e">
        <f t="shared" si="152"/>
        <v>#DIV/0!</v>
      </c>
      <c r="AO719" s="41" t="e">
        <f t="shared" si="153"/>
        <v>#DIV/0!</v>
      </c>
      <c r="AP719" s="40"/>
      <c r="AQ719" s="36"/>
      <c r="AR719" s="36"/>
      <c r="AS719" s="36"/>
      <c r="AT719" s="36"/>
      <c r="AU719" s="36"/>
      <c r="AV719" s="38"/>
      <c r="AW719" s="40"/>
    </row>
    <row r="720" spans="1:49" s="34" customFormat="1" ht="15.75" customHeight="1" x14ac:dyDescent="0.3">
      <c r="A720" s="35"/>
      <c r="B720" s="36"/>
      <c r="C720" s="37"/>
      <c r="D720" s="39"/>
      <c r="E720" s="40"/>
      <c r="F720" s="36"/>
      <c r="G720" s="37"/>
      <c r="H720" s="40"/>
      <c r="I720" s="40"/>
      <c r="J720" s="41"/>
      <c r="K720" s="41">
        <v>0</v>
      </c>
      <c r="L720" s="30">
        <f t="shared" si="142"/>
        <v>0</v>
      </c>
      <c r="M720" s="30">
        <f t="shared" si="142"/>
        <v>0</v>
      </c>
      <c r="N720" s="40"/>
      <c r="O720" s="40"/>
      <c r="P720" s="40"/>
      <c r="Q720" s="44"/>
      <c r="R720" s="37"/>
      <c r="S720" s="37"/>
      <c r="T720" s="48"/>
      <c r="U720" s="30" t="e">
        <f>M720/W720</f>
        <v>#DIV/0!</v>
      </c>
      <c r="V720" s="41" t="e">
        <f t="shared" si="146"/>
        <v>#DIV/0!</v>
      </c>
      <c r="W720" s="41">
        <f t="shared" si="141"/>
        <v>0</v>
      </c>
      <c r="X720" s="41">
        <f t="shared" si="144"/>
        <v>0</v>
      </c>
      <c r="Y720" s="41">
        <v>0</v>
      </c>
      <c r="Z720" s="41" t="e">
        <f t="shared" si="147"/>
        <v>#DIV/0!</v>
      </c>
      <c r="AA720" s="41">
        <v>0</v>
      </c>
      <c r="AB720" s="41" t="e">
        <f t="shared" si="148"/>
        <v>#DIV/0!</v>
      </c>
      <c r="AC720" s="41">
        <f t="shared" si="143"/>
        <v>0</v>
      </c>
      <c r="AD720" s="41">
        <v>0</v>
      </c>
      <c r="AE720" s="41" t="e">
        <f t="shared" si="149"/>
        <v>#DIV/0!</v>
      </c>
      <c r="AF720" s="41">
        <v>0</v>
      </c>
      <c r="AG720" s="41" t="e">
        <f t="shared" si="150"/>
        <v>#DIV/0!</v>
      </c>
      <c r="AH720" s="41">
        <f t="shared" si="151"/>
        <v>0</v>
      </c>
      <c r="AI720" s="41">
        <v>0</v>
      </c>
      <c r="AJ720" s="41">
        <v>0</v>
      </c>
      <c r="AK720" s="41">
        <v>0</v>
      </c>
      <c r="AL720" s="41">
        <v>0</v>
      </c>
      <c r="AM720" s="41" t="e">
        <f t="shared" si="145"/>
        <v>#DIV/0!</v>
      </c>
      <c r="AN720" s="41" t="e">
        <f t="shared" si="152"/>
        <v>#DIV/0!</v>
      </c>
      <c r="AO720" s="41" t="e">
        <f t="shared" si="153"/>
        <v>#DIV/0!</v>
      </c>
      <c r="AP720" s="40"/>
      <c r="AQ720" s="36"/>
      <c r="AR720" s="36"/>
      <c r="AS720" s="36"/>
      <c r="AT720" s="36"/>
      <c r="AU720" s="36"/>
      <c r="AV720" s="38"/>
      <c r="AW720" s="40"/>
    </row>
    <row r="721" spans="1:49" s="34" customFormat="1" ht="15.75" customHeight="1" x14ac:dyDescent="0.3">
      <c r="A721" s="35"/>
      <c r="B721" s="36"/>
      <c r="C721" s="37"/>
      <c r="D721" s="39"/>
      <c r="E721" s="40"/>
      <c r="F721" s="36"/>
      <c r="G721" s="37"/>
      <c r="H721" s="40"/>
      <c r="I721" s="40"/>
      <c r="J721" s="41"/>
      <c r="K721" s="41">
        <v>0</v>
      </c>
      <c r="L721" s="30">
        <f t="shared" si="142"/>
        <v>0</v>
      </c>
      <c r="M721" s="30">
        <f t="shared" si="142"/>
        <v>0</v>
      </c>
      <c r="N721" s="40"/>
      <c r="O721" s="40"/>
      <c r="P721" s="40"/>
      <c r="Q721" s="44"/>
      <c r="R721" s="37"/>
      <c r="S721" s="37"/>
      <c r="T721" s="48"/>
      <c r="U721" s="30" t="e">
        <f>M721/W721</f>
        <v>#DIV/0!</v>
      </c>
      <c r="V721" s="41" t="e">
        <f t="shared" si="146"/>
        <v>#DIV/0!</v>
      </c>
      <c r="W721" s="41">
        <f t="shared" si="141"/>
        <v>0</v>
      </c>
      <c r="X721" s="41">
        <f t="shared" si="144"/>
        <v>0</v>
      </c>
      <c r="Y721" s="41">
        <v>0</v>
      </c>
      <c r="Z721" s="41" t="e">
        <f t="shared" si="147"/>
        <v>#DIV/0!</v>
      </c>
      <c r="AA721" s="41">
        <v>0</v>
      </c>
      <c r="AB721" s="41" t="e">
        <f t="shared" si="148"/>
        <v>#DIV/0!</v>
      </c>
      <c r="AC721" s="41">
        <f t="shared" si="143"/>
        <v>0</v>
      </c>
      <c r="AD721" s="41">
        <v>0</v>
      </c>
      <c r="AE721" s="41" t="e">
        <f t="shared" si="149"/>
        <v>#DIV/0!</v>
      </c>
      <c r="AF721" s="41">
        <v>0</v>
      </c>
      <c r="AG721" s="41" t="e">
        <f t="shared" si="150"/>
        <v>#DIV/0!</v>
      </c>
      <c r="AH721" s="41">
        <f t="shared" si="151"/>
        <v>0</v>
      </c>
      <c r="AI721" s="41">
        <v>0</v>
      </c>
      <c r="AJ721" s="41">
        <v>0</v>
      </c>
      <c r="AK721" s="41">
        <v>0</v>
      </c>
      <c r="AL721" s="41">
        <v>0</v>
      </c>
      <c r="AM721" s="41" t="e">
        <f t="shared" si="145"/>
        <v>#DIV/0!</v>
      </c>
      <c r="AN721" s="41" t="e">
        <f t="shared" si="152"/>
        <v>#DIV/0!</v>
      </c>
      <c r="AO721" s="41" t="e">
        <f t="shared" si="153"/>
        <v>#DIV/0!</v>
      </c>
      <c r="AP721" s="40"/>
      <c r="AQ721" s="36"/>
      <c r="AR721" s="36"/>
      <c r="AS721" s="36"/>
      <c r="AT721" s="36"/>
      <c r="AU721" s="36"/>
      <c r="AV721" s="38"/>
      <c r="AW721" s="40"/>
    </row>
    <row r="722" spans="1:49" s="34" customFormat="1" ht="15.75" customHeight="1" x14ac:dyDescent="0.3">
      <c r="A722" s="35"/>
      <c r="B722" s="36"/>
      <c r="C722" s="37"/>
      <c r="D722" s="39"/>
      <c r="E722" s="40"/>
      <c r="F722" s="36"/>
      <c r="G722" s="37"/>
      <c r="H722" s="40"/>
      <c r="I722" s="40"/>
      <c r="J722" s="41"/>
      <c r="K722" s="41">
        <v>0</v>
      </c>
      <c r="L722" s="30">
        <f t="shared" si="142"/>
        <v>0</v>
      </c>
      <c r="M722" s="30">
        <f t="shared" si="142"/>
        <v>0</v>
      </c>
      <c r="N722" s="40"/>
      <c r="O722" s="40"/>
      <c r="P722" s="40"/>
      <c r="Q722" s="44"/>
      <c r="R722" s="37"/>
      <c r="S722" s="37"/>
      <c r="T722" s="48"/>
      <c r="U722" s="30" t="e">
        <f>M722/W722</f>
        <v>#DIV/0!</v>
      </c>
      <c r="V722" s="41" t="e">
        <f t="shared" si="146"/>
        <v>#DIV/0!</v>
      </c>
      <c r="W722" s="41">
        <f t="shared" si="141"/>
        <v>0</v>
      </c>
      <c r="X722" s="41">
        <f t="shared" si="144"/>
        <v>0</v>
      </c>
      <c r="Y722" s="41">
        <v>0</v>
      </c>
      <c r="Z722" s="41" t="e">
        <f t="shared" si="147"/>
        <v>#DIV/0!</v>
      </c>
      <c r="AA722" s="41">
        <v>0</v>
      </c>
      <c r="AB722" s="41" t="e">
        <f t="shared" si="148"/>
        <v>#DIV/0!</v>
      </c>
      <c r="AC722" s="41">
        <f t="shared" si="143"/>
        <v>0</v>
      </c>
      <c r="AD722" s="41">
        <v>0</v>
      </c>
      <c r="AE722" s="41" t="e">
        <f t="shared" si="149"/>
        <v>#DIV/0!</v>
      </c>
      <c r="AF722" s="41">
        <v>0</v>
      </c>
      <c r="AG722" s="41" t="e">
        <f t="shared" si="150"/>
        <v>#DIV/0!</v>
      </c>
      <c r="AH722" s="41">
        <f t="shared" si="151"/>
        <v>0</v>
      </c>
      <c r="AI722" s="41">
        <v>0</v>
      </c>
      <c r="AJ722" s="41">
        <v>0</v>
      </c>
      <c r="AK722" s="41">
        <v>0</v>
      </c>
      <c r="AL722" s="41">
        <v>0</v>
      </c>
      <c r="AM722" s="41" t="e">
        <f t="shared" si="145"/>
        <v>#DIV/0!</v>
      </c>
      <c r="AN722" s="41" t="e">
        <f t="shared" si="152"/>
        <v>#DIV/0!</v>
      </c>
      <c r="AO722" s="41" t="e">
        <f t="shared" si="153"/>
        <v>#DIV/0!</v>
      </c>
      <c r="AP722" s="40"/>
      <c r="AQ722" s="36"/>
      <c r="AR722" s="36"/>
      <c r="AS722" s="36"/>
      <c r="AT722" s="36"/>
      <c r="AU722" s="36"/>
      <c r="AV722" s="38"/>
      <c r="AW722" s="40"/>
    </row>
    <row r="723" spans="1:49" s="34" customFormat="1" ht="15.75" customHeight="1" x14ac:dyDescent="0.3">
      <c r="A723" s="35"/>
      <c r="B723" s="36"/>
      <c r="C723" s="37"/>
      <c r="D723" s="39"/>
      <c r="E723" s="40"/>
      <c r="F723" s="36"/>
      <c r="G723" s="37"/>
      <c r="H723" s="40"/>
      <c r="I723" s="40"/>
      <c r="J723" s="41"/>
      <c r="K723" s="41">
        <v>0</v>
      </c>
      <c r="L723" s="30">
        <f t="shared" si="142"/>
        <v>0</v>
      </c>
      <c r="M723" s="30">
        <f t="shared" si="142"/>
        <v>0</v>
      </c>
      <c r="N723" s="40"/>
      <c r="O723" s="40"/>
      <c r="P723" s="40"/>
      <c r="Q723" s="44"/>
      <c r="R723" s="37"/>
      <c r="S723" s="37"/>
      <c r="T723" s="48"/>
      <c r="U723" s="30" t="e">
        <f>M723/W723</f>
        <v>#DIV/0!</v>
      </c>
      <c r="V723" s="41" t="e">
        <f t="shared" si="146"/>
        <v>#DIV/0!</v>
      </c>
      <c r="W723" s="41">
        <f t="shared" si="141"/>
        <v>0</v>
      </c>
      <c r="X723" s="41">
        <f t="shared" si="144"/>
        <v>0</v>
      </c>
      <c r="Y723" s="41">
        <v>0</v>
      </c>
      <c r="Z723" s="41" t="e">
        <f t="shared" si="147"/>
        <v>#DIV/0!</v>
      </c>
      <c r="AA723" s="41">
        <v>0</v>
      </c>
      <c r="AB723" s="41" t="e">
        <f t="shared" si="148"/>
        <v>#DIV/0!</v>
      </c>
      <c r="AC723" s="41">
        <f t="shared" si="143"/>
        <v>0</v>
      </c>
      <c r="AD723" s="41">
        <v>0</v>
      </c>
      <c r="AE723" s="41" t="e">
        <f t="shared" si="149"/>
        <v>#DIV/0!</v>
      </c>
      <c r="AF723" s="41">
        <v>0</v>
      </c>
      <c r="AG723" s="41" t="e">
        <f t="shared" si="150"/>
        <v>#DIV/0!</v>
      </c>
      <c r="AH723" s="41">
        <f t="shared" si="151"/>
        <v>0</v>
      </c>
      <c r="AI723" s="41">
        <v>0</v>
      </c>
      <c r="AJ723" s="41">
        <v>0</v>
      </c>
      <c r="AK723" s="41">
        <v>0</v>
      </c>
      <c r="AL723" s="41">
        <v>0</v>
      </c>
      <c r="AM723" s="41" t="e">
        <f t="shared" si="145"/>
        <v>#DIV/0!</v>
      </c>
      <c r="AN723" s="41" t="e">
        <f t="shared" si="152"/>
        <v>#DIV/0!</v>
      </c>
      <c r="AO723" s="41" t="e">
        <f t="shared" si="153"/>
        <v>#DIV/0!</v>
      </c>
      <c r="AP723" s="40"/>
      <c r="AQ723" s="36"/>
      <c r="AR723" s="36"/>
      <c r="AS723" s="36"/>
      <c r="AT723" s="36"/>
      <c r="AU723" s="36"/>
      <c r="AV723" s="38"/>
      <c r="AW723" s="40"/>
    </row>
    <row r="724" spans="1:49" s="34" customFormat="1" ht="15.75" customHeight="1" x14ac:dyDescent="0.3">
      <c r="A724" s="35"/>
      <c r="B724" s="36"/>
      <c r="C724" s="37"/>
      <c r="D724" s="39"/>
      <c r="E724" s="40"/>
      <c r="F724" s="36"/>
      <c r="G724" s="37"/>
      <c r="H724" s="40"/>
      <c r="I724" s="40"/>
      <c r="J724" s="41"/>
      <c r="K724" s="41">
        <v>0</v>
      </c>
      <c r="L724" s="30">
        <f t="shared" si="142"/>
        <v>0</v>
      </c>
      <c r="M724" s="30">
        <f t="shared" si="142"/>
        <v>0</v>
      </c>
      <c r="N724" s="40"/>
      <c r="O724" s="40"/>
      <c r="P724" s="40"/>
      <c r="Q724" s="44"/>
      <c r="R724" s="37"/>
      <c r="S724" s="37"/>
      <c r="T724" s="48"/>
      <c r="U724" s="30" t="e">
        <f>M724/W724</f>
        <v>#DIV/0!</v>
      </c>
      <c r="V724" s="41" t="e">
        <f t="shared" si="146"/>
        <v>#DIV/0!</v>
      </c>
      <c r="W724" s="41">
        <f t="shared" si="141"/>
        <v>0</v>
      </c>
      <c r="X724" s="41">
        <f t="shared" si="144"/>
        <v>0</v>
      </c>
      <c r="Y724" s="41">
        <v>0</v>
      </c>
      <c r="Z724" s="41" t="e">
        <f t="shared" si="147"/>
        <v>#DIV/0!</v>
      </c>
      <c r="AA724" s="41">
        <v>0</v>
      </c>
      <c r="AB724" s="41" t="e">
        <f t="shared" si="148"/>
        <v>#DIV/0!</v>
      </c>
      <c r="AC724" s="41">
        <f t="shared" si="143"/>
        <v>0</v>
      </c>
      <c r="AD724" s="41">
        <v>0</v>
      </c>
      <c r="AE724" s="41" t="e">
        <f t="shared" si="149"/>
        <v>#DIV/0!</v>
      </c>
      <c r="AF724" s="41">
        <v>0</v>
      </c>
      <c r="AG724" s="41" t="e">
        <f t="shared" si="150"/>
        <v>#DIV/0!</v>
      </c>
      <c r="AH724" s="41">
        <f t="shared" si="151"/>
        <v>0</v>
      </c>
      <c r="AI724" s="41">
        <v>0</v>
      </c>
      <c r="AJ724" s="41">
        <v>0</v>
      </c>
      <c r="AK724" s="41">
        <v>0</v>
      </c>
      <c r="AL724" s="41">
        <v>0</v>
      </c>
      <c r="AM724" s="41" t="e">
        <f t="shared" si="145"/>
        <v>#DIV/0!</v>
      </c>
      <c r="AN724" s="41" t="e">
        <f t="shared" si="152"/>
        <v>#DIV/0!</v>
      </c>
      <c r="AO724" s="41" t="e">
        <f t="shared" si="153"/>
        <v>#DIV/0!</v>
      </c>
      <c r="AP724" s="40"/>
      <c r="AQ724" s="36"/>
      <c r="AR724" s="36"/>
      <c r="AS724" s="36"/>
      <c r="AT724" s="36"/>
      <c r="AU724" s="36"/>
      <c r="AV724" s="38"/>
      <c r="AW724" s="40"/>
    </row>
    <row r="725" spans="1:49" s="34" customFormat="1" ht="15.75" customHeight="1" x14ac:dyDescent="0.3">
      <c r="A725" s="35"/>
      <c r="B725" s="36"/>
      <c r="C725" s="37"/>
      <c r="D725" s="39"/>
      <c r="E725" s="40"/>
      <c r="F725" s="36"/>
      <c r="G725" s="37"/>
      <c r="H725" s="40"/>
      <c r="I725" s="40"/>
      <c r="J725" s="41"/>
      <c r="K725" s="41">
        <v>0</v>
      </c>
      <c r="L725" s="30">
        <f t="shared" si="142"/>
        <v>0</v>
      </c>
      <c r="M725" s="30">
        <f t="shared" si="142"/>
        <v>0</v>
      </c>
      <c r="N725" s="40"/>
      <c r="O725" s="40"/>
      <c r="P725" s="40"/>
      <c r="Q725" s="44"/>
      <c r="R725" s="37"/>
      <c r="S725" s="37"/>
      <c r="T725" s="48"/>
      <c r="U725" s="30" t="e">
        <f>M725/W725</f>
        <v>#DIV/0!</v>
      </c>
      <c r="V725" s="41" t="e">
        <f t="shared" si="146"/>
        <v>#DIV/0!</v>
      </c>
      <c r="W725" s="41">
        <f t="shared" ref="W725:W788" si="154">X725+AC725+AH725</f>
        <v>0</v>
      </c>
      <c r="X725" s="41">
        <f t="shared" si="144"/>
        <v>0</v>
      </c>
      <c r="Y725" s="41">
        <v>0</v>
      </c>
      <c r="Z725" s="41" t="e">
        <f t="shared" si="147"/>
        <v>#DIV/0!</v>
      </c>
      <c r="AA725" s="41">
        <v>0</v>
      </c>
      <c r="AB725" s="41" t="e">
        <f t="shared" si="148"/>
        <v>#DIV/0!</v>
      </c>
      <c r="AC725" s="41">
        <f t="shared" si="143"/>
        <v>0</v>
      </c>
      <c r="AD725" s="41">
        <v>0</v>
      </c>
      <c r="AE725" s="41" t="e">
        <f t="shared" si="149"/>
        <v>#DIV/0!</v>
      </c>
      <c r="AF725" s="41">
        <v>0</v>
      </c>
      <c r="AG725" s="41" t="e">
        <f t="shared" si="150"/>
        <v>#DIV/0!</v>
      </c>
      <c r="AH725" s="41">
        <f t="shared" si="151"/>
        <v>0</v>
      </c>
      <c r="AI725" s="41">
        <v>0</v>
      </c>
      <c r="AJ725" s="41">
        <v>0</v>
      </c>
      <c r="AK725" s="41">
        <v>0</v>
      </c>
      <c r="AL725" s="41">
        <v>0</v>
      </c>
      <c r="AM725" s="41" t="e">
        <f t="shared" si="145"/>
        <v>#DIV/0!</v>
      </c>
      <c r="AN725" s="41" t="e">
        <f t="shared" si="152"/>
        <v>#DIV/0!</v>
      </c>
      <c r="AO725" s="41" t="e">
        <f t="shared" si="153"/>
        <v>#DIV/0!</v>
      </c>
      <c r="AP725" s="40"/>
      <c r="AQ725" s="36"/>
      <c r="AR725" s="36"/>
      <c r="AS725" s="36"/>
      <c r="AT725" s="36"/>
      <c r="AU725" s="36"/>
      <c r="AV725" s="38"/>
      <c r="AW725" s="40"/>
    </row>
    <row r="726" spans="1:49" s="34" customFormat="1" ht="15.75" customHeight="1" x14ac:dyDescent="0.3">
      <c r="A726" s="35"/>
      <c r="B726" s="36"/>
      <c r="C726" s="37"/>
      <c r="D726" s="39"/>
      <c r="E726" s="40"/>
      <c r="F726" s="36"/>
      <c r="G726" s="37"/>
      <c r="H726" s="40"/>
      <c r="I726" s="40"/>
      <c r="J726" s="41"/>
      <c r="K726" s="41">
        <v>0</v>
      </c>
      <c r="L726" s="30">
        <f t="shared" si="142"/>
        <v>0</v>
      </c>
      <c r="M726" s="30">
        <f t="shared" si="142"/>
        <v>0</v>
      </c>
      <c r="N726" s="40"/>
      <c r="O726" s="40"/>
      <c r="P726" s="40"/>
      <c r="Q726" s="44"/>
      <c r="R726" s="37"/>
      <c r="S726" s="37"/>
      <c r="T726" s="48"/>
      <c r="U726" s="30" t="e">
        <f>M726/W726</f>
        <v>#DIV/0!</v>
      </c>
      <c r="V726" s="41" t="e">
        <f t="shared" si="146"/>
        <v>#DIV/0!</v>
      </c>
      <c r="W726" s="41">
        <f t="shared" si="154"/>
        <v>0</v>
      </c>
      <c r="X726" s="41">
        <f t="shared" si="144"/>
        <v>0</v>
      </c>
      <c r="Y726" s="41">
        <v>0</v>
      </c>
      <c r="Z726" s="41" t="e">
        <f t="shared" si="147"/>
        <v>#DIV/0!</v>
      </c>
      <c r="AA726" s="41">
        <v>0</v>
      </c>
      <c r="AB726" s="41" t="e">
        <f t="shared" si="148"/>
        <v>#DIV/0!</v>
      </c>
      <c r="AC726" s="41">
        <f t="shared" si="143"/>
        <v>0</v>
      </c>
      <c r="AD726" s="41">
        <v>0</v>
      </c>
      <c r="AE726" s="41" t="e">
        <f t="shared" si="149"/>
        <v>#DIV/0!</v>
      </c>
      <c r="AF726" s="41">
        <v>0</v>
      </c>
      <c r="AG726" s="41" t="e">
        <f t="shared" si="150"/>
        <v>#DIV/0!</v>
      </c>
      <c r="AH726" s="41">
        <f t="shared" si="151"/>
        <v>0</v>
      </c>
      <c r="AI726" s="41">
        <v>0</v>
      </c>
      <c r="AJ726" s="41">
        <v>0</v>
      </c>
      <c r="AK726" s="41">
        <v>0</v>
      </c>
      <c r="AL726" s="41">
        <v>0</v>
      </c>
      <c r="AM726" s="41" t="e">
        <f t="shared" si="145"/>
        <v>#DIV/0!</v>
      </c>
      <c r="AN726" s="41" t="e">
        <f t="shared" si="152"/>
        <v>#DIV/0!</v>
      </c>
      <c r="AO726" s="41" t="e">
        <f t="shared" si="153"/>
        <v>#DIV/0!</v>
      </c>
      <c r="AP726" s="40"/>
      <c r="AQ726" s="36"/>
      <c r="AR726" s="36"/>
      <c r="AS726" s="36"/>
      <c r="AT726" s="36"/>
      <c r="AU726" s="36"/>
      <c r="AV726" s="38"/>
      <c r="AW726" s="40"/>
    </row>
    <row r="727" spans="1:49" s="34" customFormat="1" ht="15.75" customHeight="1" x14ac:dyDescent="0.3">
      <c r="A727" s="35"/>
      <c r="B727" s="36"/>
      <c r="C727" s="37"/>
      <c r="D727" s="39"/>
      <c r="E727" s="40"/>
      <c r="F727" s="36"/>
      <c r="G727" s="37"/>
      <c r="H727" s="40"/>
      <c r="I727" s="40"/>
      <c r="J727" s="41"/>
      <c r="K727" s="41">
        <v>0</v>
      </c>
      <c r="L727" s="30">
        <f t="shared" si="142"/>
        <v>0</v>
      </c>
      <c r="M727" s="30">
        <f t="shared" si="142"/>
        <v>0</v>
      </c>
      <c r="N727" s="40"/>
      <c r="O727" s="40"/>
      <c r="P727" s="40"/>
      <c r="Q727" s="44"/>
      <c r="R727" s="37"/>
      <c r="S727" s="37"/>
      <c r="T727" s="48"/>
      <c r="U727" s="30" t="e">
        <f>M727/W727</f>
        <v>#DIV/0!</v>
      </c>
      <c r="V727" s="41" t="e">
        <f t="shared" si="146"/>
        <v>#DIV/0!</v>
      </c>
      <c r="W727" s="41">
        <f t="shared" si="154"/>
        <v>0</v>
      </c>
      <c r="X727" s="41">
        <f t="shared" si="144"/>
        <v>0</v>
      </c>
      <c r="Y727" s="41">
        <v>0</v>
      </c>
      <c r="Z727" s="41" t="e">
        <f t="shared" si="147"/>
        <v>#DIV/0!</v>
      </c>
      <c r="AA727" s="41">
        <v>0</v>
      </c>
      <c r="AB727" s="41" t="e">
        <f t="shared" si="148"/>
        <v>#DIV/0!</v>
      </c>
      <c r="AC727" s="41">
        <f t="shared" si="143"/>
        <v>0</v>
      </c>
      <c r="AD727" s="41">
        <v>0</v>
      </c>
      <c r="AE727" s="41" t="e">
        <f t="shared" si="149"/>
        <v>#DIV/0!</v>
      </c>
      <c r="AF727" s="41">
        <v>0</v>
      </c>
      <c r="AG727" s="41" t="e">
        <f t="shared" si="150"/>
        <v>#DIV/0!</v>
      </c>
      <c r="AH727" s="41">
        <f t="shared" si="151"/>
        <v>0</v>
      </c>
      <c r="AI727" s="41">
        <v>0</v>
      </c>
      <c r="AJ727" s="41">
        <v>0</v>
      </c>
      <c r="AK727" s="41">
        <v>0</v>
      </c>
      <c r="AL727" s="41">
        <v>0</v>
      </c>
      <c r="AM727" s="41" t="e">
        <f t="shared" si="145"/>
        <v>#DIV/0!</v>
      </c>
      <c r="AN727" s="41" t="e">
        <f t="shared" si="152"/>
        <v>#DIV/0!</v>
      </c>
      <c r="AO727" s="41" t="e">
        <f t="shared" si="153"/>
        <v>#DIV/0!</v>
      </c>
      <c r="AP727" s="40"/>
      <c r="AQ727" s="36"/>
      <c r="AR727" s="36"/>
      <c r="AS727" s="36"/>
      <c r="AT727" s="36"/>
      <c r="AU727" s="36"/>
      <c r="AV727" s="38"/>
      <c r="AW727" s="40"/>
    </row>
    <row r="728" spans="1:49" s="34" customFormat="1" ht="15.75" customHeight="1" x14ac:dyDescent="0.3">
      <c r="A728" s="35"/>
      <c r="B728" s="36"/>
      <c r="C728" s="37"/>
      <c r="D728" s="39"/>
      <c r="E728" s="40"/>
      <c r="F728" s="36"/>
      <c r="G728" s="37"/>
      <c r="H728" s="40"/>
      <c r="I728" s="40"/>
      <c r="J728" s="41"/>
      <c r="K728" s="41">
        <v>0</v>
      </c>
      <c r="L728" s="30">
        <f t="shared" si="142"/>
        <v>0</v>
      </c>
      <c r="M728" s="30">
        <f t="shared" si="142"/>
        <v>0</v>
      </c>
      <c r="N728" s="40"/>
      <c r="O728" s="40"/>
      <c r="P728" s="40"/>
      <c r="Q728" s="44"/>
      <c r="R728" s="37"/>
      <c r="S728" s="37"/>
      <c r="T728" s="48"/>
      <c r="U728" s="30" t="e">
        <f>M728/W728</f>
        <v>#DIV/0!</v>
      </c>
      <c r="V728" s="41" t="e">
        <f t="shared" si="146"/>
        <v>#DIV/0!</v>
      </c>
      <c r="W728" s="41">
        <f t="shared" si="154"/>
        <v>0</v>
      </c>
      <c r="X728" s="41">
        <f t="shared" si="144"/>
        <v>0</v>
      </c>
      <c r="Y728" s="41">
        <v>0</v>
      </c>
      <c r="Z728" s="41" t="e">
        <f t="shared" si="147"/>
        <v>#DIV/0!</v>
      </c>
      <c r="AA728" s="41">
        <v>0</v>
      </c>
      <c r="AB728" s="41" t="e">
        <f t="shared" si="148"/>
        <v>#DIV/0!</v>
      </c>
      <c r="AC728" s="41">
        <f t="shared" si="143"/>
        <v>0</v>
      </c>
      <c r="AD728" s="41">
        <v>0</v>
      </c>
      <c r="AE728" s="41" t="e">
        <f t="shared" si="149"/>
        <v>#DIV/0!</v>
      </c>
      <c r="AF728" s="41">
        <v>0</v>
      </c>
      <c r="AG728" s="41" t="e">
        <f t="shared" si="150"/>
        <v>#DIV/0!</v>
      </c>
      <c r="AH728" s="41">
        <f t="shared" si="151"/>
        <v>0</v>
      </c>
      <c r="AI728" s="41">
        <v>0</v>
      </c>
      <c r="AJ728" s="41">
        <v>0</v>
      </c>
      <c r="AK728" s="41">
        <v>0</v>
      </c>
      <c r="AL728" s="41">
        <v>0</v>
      </c>
      <c r="AM728" s="41" t="e">
        <f t="shared" si="145"/>
        <v>#DIV/0!</v>
      </c>
      <c r="AN728" s="41" t="e">
        <f t="shared" si="152"/>
        <v>#DIV/0!</v>
      </c>
      <c r="AO728" s="41" t="e">
        <f t="shared" si="153"/>
        <v>#DIV/0!</v>
      </c>
      <c r="AP728" s="40"/>
      <c r="AQ728" s="36"/>
      <c r="AR728" s="36"/>
      <c r="AS728" s="36"/>
      <c r="AT728" s="36"/>
      <c r="AU728" s="36"/>
      <c r="AV728" s="38"/>
      <c r="AW728" s="40"/>
    </row>
    <row r="729" spans="1:49" s="34" customFormat="1" ht="15.75" customHeight="1" x14ac:dyDescent="0.3">
      <c r="A729" s="35"/>
      <c r="B729" s="36"/>
      <c r="C729" s="37"/>
      <c r="D729" s="39"/>
      <c r="E729" s="40"/>
      <c r="F729" s="36"/>
      <c r="G729" s="37"/>
      <c r="H729" s="40"/>
      <c r="I729" s="40"/>
      <c r="J729" s="41"/>
      <c r="K729" s="41">
        <v>0</v>
      </c>
      <c r="L729" s="30">
        <f t="shared" si="142"/>
        <v>0</v>
      </c>
      <c r="M729" s="30">
        <f t="shared" si="142"/>
        <v>0</v>
      </c>
      <c r="N729" s="40"/>
      <c r="O729" s="40"/>
      <c r="P729" s="40"/>
      <c r="Q729" s="44"/>
      <c r="R729" s="37"/>
      <c r="S729" s="37"/>
      <c r="T729" s="48"/>
      <c r="U729" s="30" t="e">
        <f>M729/W729</f>
        <v>#DIV/0!</v>
      </c>
      <c r="V729" s="41" t="e">
        <f t="shared" si="146"/>
        <v>#DIV/0!</v>
      </c>
      <c r="W729" s="41">
        <f t="shared" si="154"/>
        <v>0</v>
      </c>
      <c r="X729" s="41">
        <f t="shared" si="144"/>
        <v>0</v>
      </c>
      <c r="Y729" s="41">
        <v>0</v>
      </c>
      <c r="Z729" s="41" t="e">
        <f t="shared" si="147"/>
        <v>#DIV/0!</v>
      </c>
      <c r="AA729" s="41">
        <v>0</v>
      </c>
      <c r="AB729" s="41" t="e">
        <f t="shared" si="148"/>
        <v>#DIV/0!</v>
      </c>
      <c r="AC729" s="41">
        <f t="shared" si="143"/>
        <v>0</v>
      </c>
      <c r="AD729" s="41">
        <v>0</v>
      </c>
      <c r="AE729" s="41" t="e">
        <f t="shared" si="149"/>
        <v>#DIV/0!</v>
      </c>
      <c r="AF729" s="41">
        <v>0</v>
      </c>
      <c r="AG729" s="41" t="e">
        <f t="shared" si="150"/>
        <v>#DIV/0!</v>
      </c>
      <c r="AH729" s="41">
        <f t="shared" si="151"/>
        <v>0</v>
      </c>
      <c r="AI729" s="41">
        <v>0</v>
      </c>
      <c r="AJ729" s="41">
        <v>0</v>
      </c>
      <c r="AK729" s="41">
        <v>0</v>
      </c>
      <c r="AL729" s="41">
        <v>0</v>
      </c>
      <c r="AM729" s="41" t="e">
        <f t="shared" si="145"/>
        <v>#DIV/0!</v>
      </c>
      <c r="AN729" s="41" t="e">
        <f t="shared" si="152"/>
        <v>#DIV/0!</v>
      </c>
      <c r="AO729" s="41" t="e">
        <f t="shared" si="153"/>
        <v>#DIV/0!</v>
      </c>
      <c r="AP729" s="40"/>
      <c r="AQ729" s="36"/>
      <c r="AR729" s="36"/>
      <c r="AS729" s="36"/>
      <c r="AT729" s="36"/>
      <c r="AU729" s="36"/>
      <c r="AV729" s="38"/>
      <c r="AW729" s="40"/>
    </row>
    <row r="730" spans="1:49" s="34" customFormat="1" ht="15.75" customHeight="1" x14ac:dyDescent="0.3">
      <c r="A730" s="35"/>
      <c r="B730" s="36"/>
      <c r="C730" s="37"/>
      <c r="D730" s="39"/>
      <c r="E730" s="40"/>
      <c r="F730" s="36"/>
      <c r="G730" s="37"/>
      <c r="H730" s="40"/>
      <c r="I730" s="40"/>
      <c r="J730" s="41"/>
      <c r="K730" s="41">
        <v>0</v>
      </c>
      <c r="L730" s="30">
        <f t="shared" si="142"/>
        <v>0</v>
      </c>
      <c r="M730" s="30">
        <f t="shared" si="142"/>
        <v>0</v>
      </c>
      <c r="N730" s="40"/>
      <c r="O730" s="40"/>
      <c r="P730" s="40"/>
      <c r="Q730" s="44"/>
      <c r="R730" s="37"/>
      <c r="S730" s="37"/>
      <c r="T730" s="48"/>
      <c r="U730" s="30" t="e">
        <f>M730/W730</f>
        <v>#DIV/0!</v>
      </c>
      <c r="V730" s="41" t="e">
        <f t="shared" si="146"/>
        <v>#DIV/0!</v>
      </c>
      <c r="W730" s="41">
        <f t="shared" si="154"/>
        <v>0</v>
      </c>
      <c r="X730" s="41">
        <f t="shared" si="144"/>
        <v>0</v>
      </c>
      <c r="Y730" s="41">
        <v>0</v>
      </c>
      <c r="Z730" s="41" t="e">
        <f t="shared" si="147"/>
        <v>#DIV/0!</v>
      </c>
      <c r="AA730" s="41">
        <v>0</v>
      </c>
      <c r="AB730" s="41" t="e">
        <f t="shared" si="148"/>
        <v>#DIV/0!</v>
      </c>
      <c r="AC730" s="41">
        <f t="shared" si="143"/>
        <v>0</v>
      </c>
      <c r="AD730" s="41">
        <v>0</v>
      </c>
      <c r="AE730" s="41" t="e">
        <f t="shared" si="149"/>
        <v>#DIV/0!</v>
      </c>
      <c r="AF730" s="41">
        <v>0</v>
      </c>
      <c r="AG730" s="41" t="e">
        <f t="shared" si="150"/>
        <v>#DIV/0!</v>
      </c>
      <c r="AH730" s="41">
        <f t="shared" si="151"/>
        <v>0</v>
      </c>
      <c r="AI730" s="41">
        <v>0</v>
      </c>
      <c r="AJ730" s="41">
        <v>0</v>
      </c>
      <c r="AK730" s="41">
        <v>0</v>
      </c>
      <c r="AL730" s="41">
        <v>0</v>
      </c>
      <c r="AM730" s="41" t="e">
        <f t="shared" si="145"/>
        <v>#DIV/0!</v>
      </c>
      <c r="AN730" s="41" t="e">
        <f t="shared" si="152"/>
        <v>#DIV/0!</v>
      </c>
      <c r="AO730" s="41" t="e">
        <f t="shared" si="153"/>
        <v>#DIV/0!</v>
      </c>
      <c r="AP730" s="40"/>
      <c r="AQ730" s="36"/>
      <c r="AR730" s="36"/>
      <c r="AS730" s="36"/>
      <c r="AT730" s="36"/>
      <c r="AU730" s="36"/>
      <c r="AV730" s="38"/>
      <c r="AW730" s="40"/>
    </row>
    <row r="731" spans="1:49" s="34" customFormat="1" ht="15.75" customHeight="1" x14ac:dyDescent="0.3">
      <c r="A731" s="35"/>
      <c r="B731" s="36"/>
      <c r="C731" s="37"/>
      <c r="D731" s="39"/>
      <c r="E731" s="40"/>
      <c r="F731" s="36"/>
      <c r="G731" s="37"/>
      <c r="H731" s="40"/>
      <c r="I731" s="40"/>
      <c r="J731" s="41"/>
      <c r="K731" s="41">
        <v>0</v>
      </c>
      <c r="L731" s="30">
        <f t="shared" si="142"/>
        <v>0</v>
      </c>
      <c r="M731" s="30">
        <f t="shared" si="142"/>
        <v>0</v>
      </c>
      <c r="N731" s="40"/>
      <c r="O731" s="40"/>
      <c r="P731" s="40"/>
      <c r="Q731" s="44"/>
      <c r="R731" s="37"/>
      <c r="S731" s="37"/>
      <c r="T731" s="48"/>
      <c r="U731" s="30" t="e">
        <f>M731/W731</f>
        <v>#DIV/0!</v>
      </c>
      <c r="V731" s="41" t="e">
        <f t="shared" si="146"/>
        <v>#DIV/0!</v>
      </c>
      <c r="W731" s="41">
        <f t="shared" si="154"/>
        <v>0</v>
      </c>
      <c r="X731" s="41">
        <f t="shared" si="144"/>
        <v>0</v>
      </c>
      <c r="Y731" s="41">
        <v>0</v>
      </c>
      <c r="Z731" s="41" t="e">
        <f t="shared" si="147"/>
        <v>#DIV/0!</v>
      </c>
      <c r="AA731" s="41">
        <v>0</v>
      </c>
      <c r="AB731" s="41" t="e">
        <f t="shared" si="148"/>
        <v>#DIV/0!</v>
      </c>
      <c r="AC731" s="41">
        <f t="shared" si="143"/>
        <v>0</v>
      </c>
      <c r="AD731" s="41">
        <v>0</v>
      </c>
      <c r="AE731" s="41" t="e">
        <f t="shared" si="149"/>
        <v>#DIV/0!</v>
      </c>
      <c r="AF731" s="41">
        <v>0</v>
      </c>
      <c r="AG731" s="41" t="e">
        <f t="shared" si="150"/>
        <v>#DIV/0!</v>
      </c>
      <c r="AH731" s="41">
        <f t="shared" si="151"/>
        <v>0</v>
      </c>
      <c r="AI731" s="41">
        <v>0</v>
      </c>
      <c r="AJ731" s="41">
        <v>0</v>
      </c>
      <c r="AK731" s="41">
        <v>0</v>
      </c>
      <c r="AL731" s="41">
        <v>0</v>
      </c>
      <c r="AM731" s="41" t="e">
        <f t="shared" si="145"/>
        <v>#DIV/0!</v>
      </c>
      <c r="AN731" s="41" t="e">
        <f t="shared" si="152"/>
        <v>#DIV/0!</v>
      </c>
      <c r="AO731" s="41" t="e">
        <f t="shared" si="153"/>
        <v>#DIV/0!</v>
      </c>
      <c r="AP731" s="40"/>
      <c r="AQ731" s="36"/>
      <c r="AR731" s="36"/>
      <c r="AS731" s="36"/>
      <c r="AT731" s="36"/>
      <c r="AU731" s="36"/>
      <c r="AV731" s="38"/>
      <c r="AW731" s="40"/>
    </row>
    <row r="732" spans="1:49" s="34" customFormat="1" ht="15.75" customHeight="1" x14ac:dyDescent="0.3">
      <c r="A732" s="35"/>
      <c r="B732" s="36"/>
      <c r="C732" s="37"/>
      <c r="D732" s="39"/>
      <c r="E732" s="40"/>
      <c r="F732" s="36"/>
      <c r="G732" s="37"/>
      <c r="H732" s="40"/>
      <c r="I732" s="40"/>
      <c r="J732" s="41"/>
      <c r="K732" s="41">
        <v>0</v>
      </c>
      <c r="L732" s="30">
        <f t="shared" si="142"/>
        <v>0</v>
      </c>
      <c r="M732" s="30">
        <f t="shared" si="142"/>
        <v>0</v>
      </c>
      <c r="N732" s="40"/>
      <c r="O732" s="40"/>
      <c r="P732" s="40"/>
      <c r="Q732" s="44"/>
      <c r="R732" s="37"/>
      <c r="S732" s="37"/>
      <c r="T732" s="48"/>
      <c r="U732" s="30" t="e">
        <f>M732/W732</f>
        <v>#DIV/0!</v>
      </c>
      <c r="V732" s="41" t="e">
        <f t="shared" si="146"/>
        <v>#DIV/0!</v>
      </c>
      <c r="W732" s="41">
        <f t="shared" si="154"/>
        <v>0</v>
      </c>
      <c r="X732" s="41">
        <f t="shared" si="144"/>
        <v>0</v>
      </c>
      <c r="Y732" s="41">
        <v>0</v>
      </c>
      <c r="Z732" s="41" t="e">
        <f t="shared" si="147"/>
        <v>#DIV/0!</v>
      </c>
      <c r="AA732" s="41">
        <v>0</v>
      </c>
      <c r="AB732" s="41" t="e">
        <f t="shared" si="148"/>
        <v>#DIV/0!</v>
      </c>
      <c r="AC732" s="41">
        <f t="shared" si="143"/>
        <v>0</v>
      </c>
      <c r="AD732" s="41">
        <v>0</v>
      </c>
      <c r="AE732" s="41" t="e">
        <f t="shared" si="149"/>
        <v>#DIV/0!</v>
      </c>
      <c r="AF732" s="41">
        <v>0</v>
      </c>
      <c r="AG732" s="41" t="e">
        <f t="shared" si="150"/>
        <v>#DIV/0!</v>
      </c>
      <c r="AH732" s="41">
        <f t="shared" si="151"/>
        <v>0</v>
      </c>
      <c r="AI732" s="41">
        <v>0</v>
      </c>
      <c r="AJ732" s="41">
        <v>0</v>
      </c>
      <c r="AK732" s="41">
        <v>0</v>
      </c>
      <c r="AL732" s="41">
        <v>0</v>
      </c>
      <c r="AM732" s="41" t="e">
        <f t="shared" si="145"/>
        <v>#DIV/0!</v>
      </c>
      <c r="AN732" s="41" t="e">
        <f t="shared" si="152"/>
        <v>#DIV/0!</v>
      </c>
      <c r="AO732" s="41" t="e">
        <f t="shared" si="153"/>
        <v>#DIV/0!</v>
      </c>
      <c r="AP732" s="40"/>
      <c r="AQ732" s="36"/>
      <c r="AR732" s="36"/>
      <c r="AS732" s="36"/>
      <c r="AT732" s="36"/>
      <c r="AU732" s="36"/>
      <c r="AV732" s="38"/>
      <c r="AW732" s="40"/>
    </row>
    <row r="733" spans="1:49" s="34" customFormat="1" ht="15.75" customHeight="1" x14ac:dyDescent="0.3">
      <c r="A733" s="35"/>
      <c r="B733" s="36"/>
      <c r="C733" s="37"/>
      <c r="D733" s="39"/>
      <c r="E733" s="40"/>
      <c r="F733" s="36"/>
      <c r="G733" s="37"/>
      <c r="H733" s="40"/>
      <c r="I733" s="40"/>
      <c r="J733" s="41"/>
      <c r="K733" s="41">
        <v>0</v>
      </c>
      <c r="L733" s="30">
        <f t="shared" si="142"/>
        <v>0</v>
      </c>
      <c r="M733" s="30">
        <f t="shared" si="142"/>
        <v>0</v>
      </c>
      <c r="N733" s="40"/>
      <c r="O733" s="40"/>
      <c r="P733" s="40"/>
      <c r="Q733" s="44"/>
      <c r="R733" s="37"/>
      <c r="S733" s="37"/>
      <c r="T733" s="48"/>
      <c r="U733" s="30" t="e">
        <f>M733/W733</f>
        <v>#DIV/0!</v>
      </c>
      <c r="V733" s="41" t="e">
        <f t="shared" si="146"/>
        <v>#DIV/0!</v>
      </c>
      <c r="W733" s="41">
        <f t="shared" si="154"/>
        <v>0</v>
      </c>
      <c r="X733" s="41">
        <f t="shared" si="144"/>
        <v>0</v>
      </c>
      <c r="Y733" s="41">
        <v>0</v>
      </c>
      <c r="Z733" s="41" t="e">
        <f t="shared" si="147"/>
        <v>#DIV/0!</v>
      </c>
      <c r="AA733" s="41">
        <v>0</v>
      </c>
      <c r="AB733" s="41" t="e">
        <f t="shared" si="148"/>
        <v>#DIV/0!</v>
      </c>
      <c r="AC733" s="41">
        <f t="shared" si="143"/>
        <v>0</v>
      </c>
      <c r="AD733" s="41">
        <v>0</v>
      </c>
      <c r="AE733" s="41" t="e">
        <f t="shared" si="149"/>
        <v>#DIV/0!</v>
      </c>
      <c r="AF733" s="41">
        <v>0</v>
      </c>
      <c r="AG733" s="41" t="e">
        <f t="shared" si="150"/>
        <v>#DIV/0!</v>
      </c>
      <c r="AH733" s="41">
        <f t="shared" si="151"/>
        <v>0</v>
      </c>
      <c r="AI733" s="41">
        <v>0</v>
      </c>
      <c r="AJ733" s="41">
        <v>0</v>
      </c>
      <c r="AK733" s="41">
        <v>0</v>
      </c>
      <c r="AL733" s="41">
        <v>0</v>
      </c>
      <c r="AM733" s="41" t="e">
        <f t="shared" si="145"/>
        <v>#DIV/0!</v>
      </c>
      <c r="AN733" s="41" t="e">
        <f t="shared" si="152"/>
        <v>#DIV/0!</v>
      </c>
      <c r="AO733" s="41" t="e">
        <f t="shared" si="153"/>
        <v>#DIV/0!</v>
      </c>
      <c r="AP733" s="40"/>
      <c r="AQ733" s="36"/>
      <c r="AR733" s="36"/>
      <c r="AS733" s="36"/>
      <c r="AT733" s="36"/>
      <c r="AU733" s="36"/>
      <c r="AV733" s="38"/>
      <c r="AW733" s="40"/>
    </row>
    <row r="734" spans="1:49" s="34" customFormat="1" ht="15.75" customHeight="1" x14ac:dyDescent="0.3">
      <c r="A734" s="35"/>
      <c r="B734" s="36"/>
      <c r="C734" s="37"/>
      <c r="D734" s="39"/>
      <c r="E734" s="40"/>
      <c r="F734" s="36"/>
      <c r="G734" s="37"/>
      <c r="H734" s="40"/>
      <c r="I734" s="40"/>
      <c r="J734" s="41"/>
      <c r="K734" s="41">
        <v>0</v>
      </c>
      <c r="L734" s="30">
        <f t="shared" si="142"/>
        <v>0</v>
      </c>
      <c r="M734" s="30">
        <f t="shared" si="142"/>
        <v>0</v>
      </c>
      <c r="N734" s="40"/>
      <c r="O734" s="40"/>
      <c r="P734" s="40"/>
      <c r="Q734" s="44"/>
      <c r="R734" s="37"/>
      <c r="S734" s="37"/>
      <c r="T734" s="48"/>
      <c r="U734" s="30" t="e">
        <f>M734/W734</f>
        <v>#DIV/0!</v>
      </c>
      <c r="V734" s="41" t="e">
        <f t="shared" si="146"/>
        <v>#DIV/0!</v>
      </c>
      <c r="W734" s="41">
        <f t="shared" si="154"/>
        <v>0</v>
      </c>
      <c r="X734" s="41">
        <f t="shared" si="144"/>
        <v>0</v>
      </c>
      <c r="Y734" s="41">
        <v>0</v>
      </c>
      <c r="Z734" s="41" t="e">
        <f t="shared" si="147"/>
        <v>#DIV/0!</v>
      </c>
      <c r="AA734" s="41">
        <v>0</v>
      </c>
      <c r="AB734" s="41" t="e">
        <f t="shared" si="148"/>
        <v>#DIV/0!</v>
      </c>
      <c r="AC734" s="41">
        <f t="shared" si="143"/>
        <v>0</v>
      </c>
      <c r="AD734" s="41">
        <v>0</v>
      </c>
      <c r="AE734" s="41" t="e">
        <f t="shared" si="149"/>
        <v>#DIV/0!</v>
      </c>
      <c r="AF734" s="41">
        <v>0</v>
      </c>
      <c r="AG734" s="41" t="e">
        <f t="shared" si="150"/>
        <v>#DIV/0!</v>
      </c>
      <c r="AH734" s="41">
        <f t="shared" si="151"/>
        <v>0</v>
      </c>
      <c r="AI734" s="41">
        <v>0</v>
      </c>
      <c r="AJ734" s="41">
        <v>0</v>
      </c>
      <c r="AK734" s="41">
        <v>0</v>
      </c>
      <c r="AL734" s="41">
        <v>0</v>
      </c>
      <c r="AM734" s="41" t="e">
        <f t="shared" si="145"/>
        <v>#DIV/0!</v>
      </c>
      <c r="AN734" s="41" t="e">
        <f t="shared" si="152"/>
        <v>#DIV/0!</v>
      </c>
      <c r="AO734" s="41" t="e">
        <f t="shared" si="153"/>
        <v>#DIV/0!</v>
      </c>
      <c r="AP734" s="40"/>
      <c r="AQ734" s="36"/>
      <c r="AR734" s="36"/>
      <c r="AS734" s="36"/>
      <c r="AT734" s="36"/>
      <c r="AU734" s="36"/>
      <c r="AV734" s="38"/>
      <c r="AW734" s="40"/>
    </row>
    <row r="735" spans="1:49" s="34" customFormat="1" ht="15.75" customHeight="1" x14ac:dyDescent="0.3">
      <c r="A735" s="35"/>
      <c r="B735" s="36"/>
      <c r="C735" s="37"/>
      <c r="D735" s="39"/>
      <c r="E735" s="40"/>
      <c r="F735" s="36"/>
      <c r="G735" s="37"/>
      <c r="H735" s="40"/>
      <c r="I735" s="40"/>
      <c r="J735" s="41"/>
      <c r="K735" s="41">
        <v>0</v>
      </c>
      <c r="L735" s="30">
        <f t="shared" si="142"/>
        <v>0</v>
      </c>
      <c r="M735" s="30">
        <f t="shared" si="142"/>
        <v>0</v>
      </c>
      <c r="N735" s="40"/>
      <c r="O735" s="40"/>
      <c r="P735" s="40"/>
      <c r="Q735" s="44"/>
      <c r="R735" s="37"/>
      <c r="S735" s="37"/>
      <c r="T735" s="48"/>
      <c r="U735" s="30" t="e">
        <f>M735/W735</f>
        <v>#DIV/0!</v>
      </c>
      <c r="V735" s="41" t="e">
        <f t="shared" si="146"/>
        <v>#DIV/0!</v>
      </c>
      <c r="W735" s="41">
        <f t="shared" si="154"/>
        <v>0</v>
      </c>
      <c r="X735" s="41">
        <f t="shared" si="144"/>
        <v>0</v>
      </c>
      <c r="Y735" s="41">
        <v>0</v>
      </c>
      <c r="Z735" s="41" t="e">
        <f t="shared" si="147"/>
        <v>#DIV/0!</v>
      </c>
      <c r="AA735" s="41">
        <v>0</v>
      </c>
      <c r="AB735" s="41" t="e">
        <f t="shared" si="148"/>
        <v>#DIV/0!</v>
      </c>
      <c r="AC735" s="41">
        <f t="shared" si="143"/>
        <v>0</v>
      </c>
      <c r="AD735" s="41">
        <v>0</v>
      </c>
      <c r="AE735" s="41" t="e">
        <f t="shared" si="149"/>
        <v>#DIV/0!</v>
      </c>
      <c r="AF735" s="41">
        <v>0</v>
      </c>
      <c r="AG735" s="41" t="e">
        <f t="shared" si="150"/>
        <v>#DIV/0!</v>
      </c>
      <c r="AH735" s="41">
        <f t="shared" si="151"/>
        <v>0</v>
      </c>
      <c r="AI735" s="41">
        <v>0</v>
      </c>
      <c r="AJ735" s="41">
        <v>0</v>
      </c>
      <c r="AK735" s="41">
        <v>0</v>
      </c>
      <c r="AL735" s="41">
        <v>0</v>
      </c>
      <c r="AM735" s="41" t="e">
        <f t="shared" si="145"/>
        <v>#DIV/0!</v>
      </c>
      <c r="AN735" s="41" t="e">
        <f t="shared" si="152"/>
        <v>#DIV/0!</v>
      </c>
      <c r="AO735" s="41" t="e">
        <f t="shared" si="153"/>
        <v>#DIV/0!</v>
      </c>
      <c r="AP735" s="40"/>
      <c r="AQ735" s="36"/>
      <c r="AR735" s="36"/>
      <c r="AS735" s="36"/>
      <c r="AT735" s="36"/>
      <c r="AU735" s="36"/>
      <c r="AV735" s="38"/>
      <c r="AW735" s="40"/>
    </row>
    <row r="736" spans="1:49" s="34" customFormat="1" ht="15.75" customHeight="1" x14ac:dyDescent="0.3">
      <c r="A736" s="35"/>
      <c r="B736" s="36"/>
      <c r="C736" s="37"/>
      <c r="D736" s="39"/>
      <c r="E736" s="40"/>
      <c r="F736" s="36"/>
      <c r="G736" s="37"/>
      <c r="H736" s="40"/>
      <c r="I736" s="40"/>
      <c r="J736" s="41"/>
      <c r="K736" s="41">
        <v>0</v>
      </c>
      <c r="L736" s="30">
        <f t="shared" si="142"/>
        <v>0</v>
      </c>
      <c r="M736" s="30">
        <f t="shared" si="142"/>
        <v>0</v>
      </c>
      <c r="N736" s="40"/>
      <c r="O736" s="40"/>
      <c r="P736" s="40"/>
      <c r="Q736" s="44"/>
      <c r="R736" s="37"/>
      <c r="S736" s="37"/>
      <c r="T736" s="48"/>
      <c r="U736" s="30" t="e">
        <f>M736/W736</f>
        <v>#DIV/0!</v>
      </c>
      <c r="V736" s="41" t="e">
        <f t="shared" si="146"/>
        <v>#DIV/0!</v>
      </c>
      <c r="W736" s="41">
        <f t="shared" si="154"/>
        <v>0</v>
      </c>
      <c r="X736" s="41">
        <f t="shared" si="144"/>
        <v>0</v>
      </c>
      <c r="Y736" s="41">
        <v>0</v>
      </c>
      <c r="Z736" s="41" t="e">
        <f t="shared" si="147"/>
        <v>#DIV/0!</v>
      </c>
      <c r="AA736" s="41">
        <v>0</v>
      </c>
      <c r="AB736" s="41" t="e">
        <f t="shared" si="148"/>
        <v>#DIV/0!</v>
      </c>
      <c r="AC736" s="41">
        <f t="shared" si="143"/>
        <v>0</v>
      </c>
      <c r="AD736" s="41">
        <v>0</v>
      </c>
      <c r="AE736" s="41" t="e">
        <f t="shared" si="149"/>
        <v>#DIV/0!</v>
      </c>
      <c r="AF736" s="41">
        <v>0</v>
      </c>
      <c r="AG736" s="41" t="e">
        <f t="shared" si="150"/>
        <v>#DIV/0!</v>
      </c>
      <c r="AH736" s="41">
        <f t="shared" si="151"/>
        <v>0</v>
      </c>
      <c r="AI736" s="41">
        <v>0</v>
      </c>
      <c r="AJ736" s="41">
        <v>0</v>
      </c>
      <c r="AK736" s="41">
        <v>0</v>
      </c>
      <c r="AL736" s="41">
        <v>0</v>
      </c>
      <c r="AM736" s="41" t="e">
        <f t="shared" si="145"/>
        <v>#DIV/0!</v>
      </c>
      <c r="AN736" s="41" t="e">
        <f t="shared" si="152"/>
        <v>#DIV/0!</v>
      </c>
      <c r="AO736" s="41" t="e">
        <f t="shared" si="153"/>
        <v>#DIV/0!</v>
      </c>
      <c r="AP736" s="40"/>
      <c r="AQ736" s="36"/>
      <c r="AR736" s="36"/>
      <c r="AS736" s="36"/>
      <c r="AT736" s="36"/>
      <c r="AU736" s="36"/>
      <c r="AV736" s="38"/>
      <c r="AW736" s="40"/>
    </row>
    <row r="737" spans="1:49" s="34" customFormat="1" ht="15.75" customHeight="1" x14ac:dyDescent="0.3">
      <c r="A737" s="35"/>
      <c r="B737" s="36"/>
      <c r="C737" s="37"/>
      <c r="D737" s="39"/>
      <c r="E737" s="40"/>
      <c r="F737" s="36"/>
      <c r="G737" s="37"/>
      <c r="H737" s="40"/>
      <c r="I737" s="40"/>
      <c r="J737" s="41"/>
      <c r="K737" s="41">
        <v>0</v>
      </c>
      <c r="L737" s="30">
        <f t="shared" si="142"/>
        <v>0</v>
      </c>
      <c r="M737" s="30">
        <f t="shared" si="142"/>
        <v>0</v>
      </c>
      <c r="N737" s="40"/>
      <c r="O737" s="40"/>
      <c r="P737" s="40"/>
      <c r="Q737" s="44"/>
      <c r="R737" s="37"/>
      <c r="S737" s="37"/>
      <c r="T737" s="48"/>
      <c r="U737" s="30" t="e">
        <f>M737/W737</f>
        <v>#DIV/0!</v>
      </c>
      <c r="V737" s="41" t="e">
        <f t="shared" si="146"/>
        <v>#DIV/0!</v>
      </c>
      <c r="W737" s="41">
        <f t="shared" si="154"/>
        <v>0</v>
      </c>
      <c r="X737" s="41">
        <f t="shared" si="144"/>
        <v>0</v>
      </c>
      <c r="Y737" s="41">
        <v>0</v>
      </c>
      <c r="Z737" s="41" t="e">
        <f t="shared" si="147"/>
        <v>#DIV/0!</v>
      </c>
      <c r="AA737" s="41">
        <v>0</v>
      </c>
      <c r="AB737" s="41" t="e">
        <f t="shared" si="148"/>
        <v>#DIV/0!</v>
      </c>
      <c r="AC737" s="41">
        <f t="shared" si="143"/>
        <v>0</v>
      </c>
      <c r="AD737" s="41">
        <v>0</v>
      </c>
      <c r="AE737" s="41" t="e">
        <f t="shared" si="149"/>
        <v>#DIV/0!</v>
      </c>
      <c r="AF737" s="41">
        <v>0</v>
      </c>
      <c r="AG737" s="41" t="e">
        <f t="shared" si="150"/>
        <v>#DIV/0!</v>
      </c>
      <c r="AH737" s="41">
        <f t="shared" si="151"/>
        <v>0</v>
      </c>
      <c r="AI737" s="41">
        <v>0</v>
      </c>
      <c r="AJ737" s="41">
        <v>0</v>
      </c>
      <c r="AK737" s="41">
        <v>0</v>
      </c>
      <c r="AL737" s="41">
        <v>0</v>
      </c>
      <c r="AM737" s="41" t="e">
        <f t="shared" si="145"/>
        <v>#DIV/0!</v>
      </c>
      <c r="AN737" s="41" t="e">
        <f t="shared" si="152"/>
        <v>#DIV/0!</v>
      </c>
      <c r="AO737" s="41" t="e">
        <f t="shared" si="153"/>
        <v>#DIV/0!</v>
      </c>
      <c r="AP737" s="40"/>
      <c r="AQ737" s="36"/>
      <c r="AR737" s="36"/>
      <c r="AS737" s="36"/>
      <c r="AT737" s="36"/>
      <c r="AU737" s="36"/>
      <c r="AV737" s="38"/>
      <c r="AW737" s="40"/>
    </row>
    <row r="738" spans="1:49" s="34" customFormat="1" ht="15.75" customHeight="1" x14ac:dyDescent="0.3">
      <c r="A738" s="35"/>
      <c r="B738" s="36"/>
      <c r="C738" s="37"/>
      <c r="D738" s="39"/>
      <c r="E738" s="40"/>
      <c r="F738" s="36"/>
      <c r="G738" s="37"/>
      <c r="H738" s="40"/>
      <c r="I738" s="40"/>
      <c r="J738" s="41"/>
      <c r="K738" s="41">
        <v>0</v>
      </c>
      <c r="L738" s="30">
        <f t="shared" si="142"/>
        <v>0</v>
      </c>
      <c r="M738" s="30">
        <f t="shared" si="142"/>
        <v>0</v>
      </c>
      <c r="N738" s="40"/>
      <c r="O738" s="40"/>
      <c r="P738" s="40"/>
      <c r="Q738" s="44"/>
      <c r="R738" s="37"/>
      <c r="S738" s="37"/>
      <c r="T738" s="48"/>
      <c r="U738" s="30" t="e">
        <f>M738/W738</f>
        <v>#DIV/0!</v>
      </c>
      <c r="V738" s="41" t="e">
        <f t="shared" si="146"/>
        <v>#DIV/0!</v>
      </c>
      <c r="W738" s="41">
        <f t="shared" si="154"/>
        <v>0</v>
      </c>
      <c r="X738" s="41">
        <f t="shared" si="144"/>
        <v>0</v>
      </c>
      <c r="Y738" s="41">
        <v>0</v>
      </c>
      <c r="Z738" s="41" t="e">
        <f t="shared" si="147"/>
        <v>#DIV/0!</v>
      </c>
      <c r="AA738" s="41">
        <v>0</v>
      </c>
      <c r="AB738" s="41" t="e">
        <f t="shared" si="148"/>
        <v>#DIV/0!</v>
      </c>
      <c r="AC738" s="41">
        <f t="shared" si="143"/>
        <v>0</v>
      </c>
      <c r="AD738" s="41">
        <v>0</v>
      </c>
      <c r="AE738" s="41" t="e">
        <f t="shared" si="149"/>
        <v>#DIV/0!</v>
      </c>
      <c r="AF738" s="41">
        <v>0</v>
      </c>
      <c r="AG738" s="41" t="e">
        <f t="shared" si="150"/>
        <v>#DIV/0!</v>
      </c>
      <c r="AH738" s="41">
        <f t="shared" si="151"/>
        <v>0</v>
      </c>
      <c r="AI738" s="41">
        <v>0</v>
      </c>
      <c r="AJ738" s="41">
        <v>0</v>
      </c>
      <c r="AK738" s="41">
        <v>0</v>
      </c>
      <c r="AL738" s="41">
        <v>0</v>
      </c>
      <c r="AM738" s="41" t="e">
        <f t="shared" si="145"/>
        <v>#DIV/0!</v>
      </c>
      <c r="AN738" s="41" t="e">
        <f t="shared" si="152"/>
        <v>#DIV/0!</v>
      </c>
      <c r="AO738" s="41" t="e">
        <f t="shared" si="153"/>
        <v>#DIV/0!</v>
      </c>
      <c r="AP738" s="40"/>
      <c r="AQ738" s="36"/>
      <c r="AR738" s="36"/>
      <c r="AS738" s="36"/>
      <c r="AT738" s="36"/>
      <c r="AU738" s="36"/>
      <c r="AV738" s="38"/>
      <c r="AW738" s="40"/>
    </row>
    <row r="739" spans="1:49" s="34" customFormat="1" ht="15.75" customHeight="1" x14ac:dyDescent="0.3">
      <c r="A739" s="35"/>
      <c r="B739" s="36"/>
      <c r="C739" s="37"/>
      <c r="D739" s="39"/>
      <c r="E739" s="40"/>
      <c r="F739" s="36"/>
      <c r="G739" s="37"/>
      <c r="H739" s="40"/>
      <c r="I739" s="40"/>
      <c r="J739" s="41"/>
      <c r="K739" s="41">
        <v>0</v>
      </c>
      <c r="L739" s="30">
        <f t="shared" ref="L739:M802" si="155">K739</f>
        <v>0</v>
      </c>
      <c r="M739" s="30">
        <f t="shared" si="155"/>
        <v>0</v>
      </c>
      <c r="N739" s="40"/>
      <c r="O739" s="40"/>
      <c r="P739" s="40"/>
      <c r="Q739" s="44"/>
      <c r="R739" s="37"/>
      <c r="S739" s="37"/>
      <c r="T739" s="48"/>
      <c r="U739" s="30" t="e">
        <f>M739/W739</f>
        <v>#DIV/0!</v>
      </c>
      <c r="V739" s="41" t="e">
        <f t="shared" si="146"/>
        <v>#DIV/0!</v>
      </c>
      <c r="W739" s="41">
        <f t="shared" si="154"/>
        <v>0</v>
      </c>
      <c r="X739" s="41">
        <f t="shared" si="144"/>
        <v>0</v>
      </c>
      <c r="Y739" s="41">
        <v>0</v>
      </c>
      <c r="Z739" s="41" t="e">
        <f t="shared" si="147"/>
        <v>#DIV/0!</v>
      </c>
      <c r="AA739" s="41">
        <v>0</v>
      </c>
      <c r="AB739" s="41" t="e">
        <f t="shared" si="148"/>
        <v>#DIV/0!</v>
      </c>
      <c r="AC739" s="41">
        <f t="shared" si="143"/>
        <v>0</v>
      </c>
      <c r="AD739" s="41">
        <v>0</v>
      </c>
      <c r="AE739" s="41" t="e">
        <f t="shared" si="149"/>
        <v>#DIV/0!</v>
      </c>
      <c r="AF739" s="41">
        <v>0</v>
      </c>
      <c r="AG739" s="41" t="e">
        <f t="shared" si="150"/>
        <v>#DIV/0!</v>
      </c>
      <c r="AH739" s="41">
        <f t="shared" si="151"/>
        <v>0</v>
      </c>
      <c r="AI739" s="41">
        <v>0</v>
      </c>
      <c r="AJ739" s="41">
        <v>0</v>
      </c>
      <c r="AK739" s="41">
        <v>0</v>
      </c>
      <c r="AL739" s="41">
        <v>0</v>
      </c>
      <c r="AM739" s="41" t="e">
        <f t="shared" si="145"/>
        <v>#DIV/0!</v>
      </c>
      <c r="AN739" s="41" t="e">
        <f t="shared" si="152"/>
        <v>#DIV/0!</v>
      </c>
      <c r="AO739" s="41" t="e">
        <f t="shared" si="153"/>
        <v>#DIV/0!</v>
      </c>
      <c r="AP739" s="40"/>
      <c r="AQ739" s="36"/>
      <c r="AR739" s="36"/>
      <c r="AS739" s="36"/>
      <c r="AT739" s="36"/>
      <c r="AU739" s="36"/>
      <c r="AV739" s="38"/>
      <c r="AW739" s="40"/>
    </row>
    <row r="740" spans="1:49" s="34" customFormat="1" ht="15.75" customHeight="1" x14ac:dyDescent="0.3">
      <c r="A740" s="35"/>
      <c r="B740" s="36"/>
      <c r="C740" s="37"/>
      <c r="D740" s="39"/>
      <c r="E740" s="40"/>
      <c r="F740" s="36"/>
      <c r="G740" s="37"/>
      <c r="H740" s="40"/>
      <c r="I740" s="40"/>
      <c r="J740" s="41"/>
      <c r="K740" s="41">
        <v>0</v>
      </c>
      <c r="L740" s="30">
        <f t="shared" si="155"/>
        <v>0</v>
      </c>
      <c r="M740" s="30">
        <f t="shared" si="155"/>
        <v>0</v>
      </c>
      <c r="N740" s="40"/>
      <c r="O740" s="40"/>
      <c r="P740" s="40"/>
      <c r="Q740" s="44"/>
      <c r="R740" s="37"/>
      <c r="S740" s="37"/>
      <c r="T740" s="48"/>
      <c r="U740" s="30" t="e">
        <f>M740/W740</f>
        <v>#DIV/0!</v>
      </c>
      <c r="V740" s="41" t="e">
        <f t="shared" si="146"/>
        <v>#DIV/0!</v>
      </c>
      <c r="W740" s="41">
        <f t="shared" si="154"/>
        <v>0</v>
      </c>
      <c r="X740" s="41">
        <f t="shared" si="144"/>
        <v>0</v>
      </c>
      <c r="Y740" s="41">
        <v>0</v>
      </c>
      <c r="Z740" s="41" t="e">
        <f t="shared" si="147"/>
        <v>#DIV/0!</v>
      </c>
      <c r="AA740" s="41">
        <v>0</v>
      </c>
      <c r="AB740" s="41" t="e">
        <f t="shared" si="148"/>
        <v>#DIV/0!</v>
      </c>
      <c r="AC740" s="41">
        <f t="shared" ref="AC740:AC803" si="156">AD740+AF740</f>
        <v>0</v>
      </c>
      <c r="AD740" s="41">
        <v>0</v>
      </c>
      <c r="AE740" s="41" t="e">
        <f t="shared" si="149"/>
        <v>#DIV/0!</v>
      </c>
      <c r="AF740" s="41">
        <v>0</v>
      </c>
      <c r="AG740" s="41" t="e">
        <f t="shared" si="150"/>
        <v>#DIV/0!</v>
      </c>
      <c r="AH740" s="41">
        <f t="shared" si="151"/>
        <v>0</v>
      </c>
      <c r="AI740" s="41">
        <v>0</v>
      </c>
      <c r="AJ740" s="41">
        <v>0</v>
      </c>
      <c r="AK740" s="41">
        <v>0</v>
      </c>
      <c r="AL740" s="41">
        <v>0</v>
      </c>
      <c r="AM740" s="41" t="e">
        <f t="shared" si="145"/>
        <v>#DIV/0!</v>
      </c>
      <c r="AN740" s="41" t="e">
        <f t="shared" si="152"/>
        <v>#DIV/0!</v>
      </c>
      <c r="AO740" s="41" t="e">
        <f t="shared" si="153"/>
        <v>#DIV/0!</v>
      </c>
      <c r="AP740" s="40"/>
      <c r="AQ740" s="36"/>
      <c r="AR740" s="36"/>
      <c r="AS740" s="36"/>
      <c r="AT740" s="36"/>
      <c r="AU740" s="36"/>
      <c r="AV740" s="38"/>
      <c r="AW740" s="40"/>
    </row>
    <row r="741" spans="1:49" s="34" customFormat="1" ht="15.75" customHeight="1" x14ac:dyDescent="0.3">
      <c r="A741" s="35"/>
      <c r="B741" s="36"/>
      <c r="C741" s="37"/>
      <c r="D741" s="39"/>
      <c r="E741" s="40"/>
      <c r="F741" s="36"/>
      <c r="G741" s="37"/>
      <c r="H741" s="40"/>
      <c r="I741" s="40"/>
      <c r="J741" s="41"/>
      <c r="K741" s="41">
        <v>0</v>
      </c>
      <c r="L741" s="30">
        <f t="shared" si="155"/>
        <v>0</v>
      </c>
      <c r="M741" s="30">
        <f t="shared" si="155"/>
        <v>0</v>
      </c>
      <c r="N741" s="40"/>
      <c r="O741" s="40"/>
      <c r="P741" s="40"/>
      <c r="Q741" s="44"/>
      <c r="R741" s="37"/>
      <c r="S741" s="37"/>
      <c r="T741" s="48"/>
      <c r="U741" s="30" t="e">
        <f>M741/W741</f>
        <v>#DIV/0!</v>
      </c>
      <c r="V741" s="41" t="e">
        <f t="shared" si="146"/>
        <v>#DIV/0!</v>
      </c>
      <c r="W741" s="41">
        <f t="shared" si="154"/>
        <v>0</v>
      </c>
      <c r="X741" s="41">
        <f t="shared" si="144"/>
        <v>0</v>
      </c>
      <c r="Y741" s="41">
        <v>0</v>
      </c>
      <c r="Z741" s="41" t="e">
        <f t="shared" si="147"/>
        <v>#DIV/0!</v>
      </c>
      <c r="AA741" s="41">
        <v>0</v>
      </c>
      <c r="AB741" s="41" t="e">
        <f t="shared" si="148"/>
        <v>#DIV/0!</v>
      </c>
      <c r="AC741" s="41">
        <f t="shared" si="156"/>
        <v>0</v>
      </c>
      <c r="AD741" s="41">
        <v>0</v>
      </c>
      <c r="AE741" s="41" t="e">
        <f t="shared" si="149"/>
        <v>#DIV/0!</v>
      </c>
      <c r="AF741" s="41">
        <v>0</v>
      </c>
      <c r="AG741" s="41" t="e">
        <f t="shared" si="150"/>
        <v>#DIV/0!</v>
      </c>
      <c r="AH741" s="41">
        <f t="shared" si="151"/>
        <v>0</v>
      </c>
      <c r="AI741" s="41">
        <v>0</v>
      </c>
      <c r="AJ741" s="41">
        <v>0</v>
      </c>
      <c r="AK741" s="41">
        <v>0</v>
      </c>
      <c r="AL741" s="41">
        <v>0</v>
      </c>
      <c r="AM741" s="41" t="e">
        <f t="shared" si="145"/>
        <v>#DIV/0!</v>
      </c>
      <c r="AN741" s="41" t="e">
        <f t="shared" si="152"/>
        <v>#DIV/0!</v>
      </c>
      <c r="AO741" s="41" t="e">
        <f t="shared" si="153"/>
        <v>#DIV/0!</v>
      </c>
      <c r="AP741" s="40"/>
      <c r="AQ741" s="36"/>
      <c r="AR741" s="36"/>
      <c r="AS741" s="36"/>
      <c r="AT741" s="36"/>
      <c r="AU741" s="36"/>
      <c r="AV741" s="38"/>
      <c r="AW741" s="40"/>
    </row>
    <row r="742" spans="1:49" s="34" customFormat="1" ht="15.75" customHeight="1" x14ac:dyDescent="0.3">
      <c r="A742" s="35"/>
      <c r="B742" s="36"/>
      <c r="C742" s="37"/>
      <c r="D742" s="39"/>
      <c r="E742" s="40"/>
      <c r="F742" s="36"/>
      <c r="G742" s="37"/>
      <c r="H742" s="40"/>
      <c r="I742" s="40"/>
      <c r="J742" s="41"/>
      <c r="K742" s="41">
        <v>0</v>
      </c>
      <c r="L742" s="30">
        <f t="shared" si="155"/>
        <v>0</v>
      </c>
      <c r="M742" s="30">
        <f t="shared" si="155"/>
        <v>0</v>
      </c>
      <c r="N742" s="40"/>
      <c r="O742" s="40"/>
      <c r="P742" s="40"/>
      <c r="Q742" s="44"/>
      <c r="R742" s="37"/>
      <c r="S742" s="37"/>
      <c r="T742" s="48"/>
      <c r="U742" s="30" t="e">
        <f>M742/W742</f>
        <v>#DIV/0!</v>
      </c>
      <c r="V742" s="41" t="e">
        <f t="shared" si="146"/>
        <v>#DIV/0!</v>
      </c>
      <c r="W742" s="41">
        <f t="shared" si="154"/>
        <v>0</v>
      </c>
      <c r="X742" s="41">
        <f t="shared" si="144"/>
        <v>0</v>
      </c>
      <c r="Y742" s="41">
        <v>0</v>
      </c>
      <c r="Z742" s="41" t="e">
        <f t="shared" si="147"/>
        <v>#DIV/0!</v>
      </c>
      <c r="AA742" s="41">
        <v>0</v>
      </c>
      <c r="AB742" s="41" t="e">
        <f t="shared" si="148"/>
        <v>#DIV/0!</v>
      </c>
      <c r="AC742" s="41">
        <f t="shared" si="156"/>
        <v>0</v>
      </c>
      <c r="AD742" s="41">
        <v>0</v>
      </c>
      <c r="AE742" s="41" t="e">
        <f t="shared" si="149"/>
        <v>#DIV/0!</v>
      </c>
      <c r="AF742" s="41">
        <v>0</v>
      </c>
      <c r="AG742" s="41" t="e">
        <f t="shared" si="150"/>
        <v>#DIV/0!</v>
      </c>
      <c r="AH742" s="41">
        <f t="shared" si="151"/>
        <v>0</v>
      </c>
      <c r="AI742" s="41">
        <v>0</v>
      </c>
      <c r="AJ742" s="41">
        <v>0</v>
      </c>
      <c r="AK742" s="41">
        <v>0</v>
      </c>
      <c r="AL742" s="41">
        <v>0</v>
      </c>
      <c r="AM742" s="41" t="e">
        <f t="shared" si="145"/>
        <v>#DIV/0!</v>
      </c>
      <c r="AN742" s="41" t="e">
        <f t="shared" si="152"/>
        <v>#DIV/0!</v>
      </c>
      <c r="AO742" s="41" t="e">
        <f t="shared" si="153"/>
        <v>#DIV/0!</v>
      </c>
      <c r="AP742" s="40"/>
      <c r="AQ742" s="36"/>
      <c r="AR742" s="36"/>
      <c r="AS742" s="36"/>
      <c r="AT742" s="36"/>
      <c r="AU742" s="36"/>
      <c r="AV742" s="38"/>
      <c r="AW742" s="40"/>
    </row>
    <row r="743" spans="1:49" s="34" customFormat="1" ht="15.75" customHeight="1" x14ac:dyDescent="0.3">
      <c r="A743" s="35"/>
      <c r="B743" s="36"/>
      <c r="C743" s="37"/>
      <c r="D743" s="39"/>
      <c r="E743" s="40"/>
      <c r="F743" s="36"/>
      <c r="G743" s="37"/>
      <c r="H743" s="40"/>
      <c r="I743" s="40"/>
      <c r="J743" s="41"/>
      <c r="K743" s="41">
        <v>0</v>
      </c>
      <c r="L743" s="30">
        <f t="shared" si="155"/>
        <v>0</v>
      </c>
      <c r="M743" s="30">
        <f t="shared" si="155"/>
        <v>0</v>
      </c>
      <c r="N743" s="40"/>
      <c r="O743" s="40"/>
      <c r="P743" s="40"/>
      <c r="Q743" s="44"/>
      <c r="R743" s="37"/>
      <c r="S743" s="37"/>
      <c r="T743" s="48"/>
      <c r="U743" s="30" t="e">
        <f>M743/W743</f>
        <v>#DIV/0!</v>
      </c>
      <c r="V743" s="41" t="e">
        <f t="shared" si="146"/>
        <v>#DIV/0!</v>
      </c>
      <c r="W743" s="41">
        <f t="shared" si="154"/>
        <v>0</v>
      </c>
      <c r="X743" s="41">
        <f t="shared" si="144"/>
        <v>0</v>
      </c>
      <c r="Y743" s="41">
        <v>0</v>
      </c>
      <c r="Z743" s="41" t="e">
        <f t="shared" si="147"/>
        <v>#DIV/0!</v>
      </c>
      <c r="AA743" s="41">
        <v>0</v>
      </c>
      <c r="AB743" s="41" t="e">
        <f t="shared" si="148"/>
        <v>#DIV/0!</v>
      </c>
      <c r="AC743" s="41">
        <f t="shared" si="156"/>
        <v>0</v>
      </c>
      <c r="AD743" s="41">
        <v>0</v>
      </c>
      <c r="AE743" s="41" t="e">
        <f t="shared" si="149"/>
        <v>#DIV/0!</v>
      </c>
      <c r="AF743" s="41">
        <v>0</v>
      </c>
      <c r="AG743" s="41" t="e">
        <f t="shared" si="150"/>
        <v>#DIV/0!</v>
      </c>
      <c r="AH743" s="41">
        <f t="shared" si="151"/>
        <v>0</v>
      </c>
      <c r="AI743" s="41">
        <v>0</v>
      </c>
      <c r="AJ743" s="41">
        <v>0</v>
      </c>
      <c r="AK743" s="41">
        <v>0</v>
      </c>
      <c r="AL743" s="41">
        <v>0</v>
      </c>
      <c r="AM743" s="41" t="e">
        <f t="shared" si="145"/>
        <v>#DIV/0!</v>
      </c>
      <c r="AN743" s="41" t="e">
        <f t="shared" si="152"/>
        <v>#DIV/0!</v>
      </c>
      <c r="AO743" s="41" t="e">
        <f t="shared" si="153"/>
        <v>#DIV/0!</v>
      </c>
      <c r="AP743" s="40"/>
      <c r="AQ743" s="36"/>
      <c r="AR743" s="36"/>
      <c r="AS743" s="36"/>
      <c r="AT743" s="36"/>
      <c r="AU743" s="36"/>
      <c r="AV743" s="38"/>
      <c r="AW743" s="40"/>
    </row>
    <row r="744" spans="1:49" s="34" customFormat="1" ht="15.75" customHeight="1" x14ac:dyDescent="0.3">
      <c r="A744" s="35"/>
      <c r="B744" s="36"/>
      <c r="C744" s="37"/>
      <c r="D744" s="39"/>
      <c r="E744" s="40"/>
      <c r="F744" s="36"/>
      <c r="G744" s="37"/>
      <c r="H744" s="40"/>
      <c r="I744" s="40"/>
      <c r="J744" s="41"/>
      <c r="K744" s="41">
        <v>0</v>
      </c>
      <c r="L744" s="30">
        <f t="shared" si="155"/>
        <v>0</v>
      </c>
      <c r="M744" s="30">
        <f t="shared" si="155"/>
        <v>0</v>
      </c>
      <c r="N744" s="40"/>
      <c r="O744" s="40"/>
      <c r="P744" s="40"/>
      <c r="Q744" s="44"/>
      <c r="R744" s="37"/>
      <c r="S744" s="37"/>
      <c r="T744" s="48"/>
      <c r="U744" s="30" t="e">
        <f>M744/W744</f>
        <v>#DIV/0!</v>
      </c>
      <c r="V744" s="41" t="e">
        <f t="shared" si="146"/>
        <v>#DIV/0!</v>
      </c>
      <c r="W744" s="41">
        <f t="shared" si="154"/>
        <v>0</v>
      </c>
      <c r="X744" s="41">
        <f t="shared" si="144"/>
        <v>0</v>
      </c>
      <c r="Y744" s="41">
        <v>0</v>
      </c>
      <c r="Z744" s="41" t="e">
        <f t="shared" si="147"/>
        <v>#DIV/0!</v>
      </c>
      <c r="AA744" s="41">
        <v>0</v>
      </c>
      <c r="AB744" s="41" t="e">
        <f t="shared" si="148"/>
        <v>#DIV/0!</v>
      </c>
      <c r="AC744" s="41">
        <f t="shared" si="156"/>
        <v>0</v>
      </c>
      <c r="AD744" s="41">
        <v>0</v>
      </c>
      <c r="AE744" s="41" t="e">
        <f t="shared" si="149"/>
        <v>#DIV/0!</v>
      </c>
      <c r="AF744" s="41">
        <v>0</v>
      </c>
      <c r="AG744" s="41" t="e">
        <f t="shared" si="150"/>
        <v>#DIV/0!</v>
      </c>
      <c r="AH744" s="41">
        <f t="shared" si="151"/>
        <v>0</v>
      </c>
      <c r="AI744" s="41">
        <v>0</v>
      </c>
      <c r="AJ744" s="41">
        <v>0</v>
      </c>
      <c r="AK744" s="41">
        <v>0</v>
      </c>
      <c r="AL744" s="41">
        <v>0</v>
      </c>
      <c r="AM744" s="41" t="e">
        <f t="shared" si="145"/>
        <v>#DIV/0!</v>
      </c>
      <c r="AN744" s="41" t="e">
        <f t="shared" si="152"/>
        <v>#DIV/0!</v>
      </c>
      <c r="AO744" s="41" t="e">
        <f t="shared" si="153"/>
        <v>#DIV/0!</v>
      </c>
      <c r="AP744" s="40"/>
      <c r="AQ744" s="36"/>
      <c r="AR744" s="36"/>
      <c r="AS744" s="36"/>
      <c r="AT744" s="36"/>
      <c r="AU744" s="36"/>
      <c r="AV744" s="38"/>
      <c r="AW744" s="40"/>
    </row>
    <row r="745" spans="1:49" s="34" customFormat="1" ht="15.75" customHeight="1" x14ac:dyDescent="0.3">
      <c r="A745" s="35"/>
      <c r="B745" s="36"/>
      <c r="C745" s="37"/>
      <c r="D745" s="39"/>
      <c r="E745" s="40"/>
      <c r="F745" s="36"/>
      <c r="G745" s="37"/>
      <c r="H745" s="40"/>
      <c r="I745" s="40"/>
      <c r="J745" s="41"/>
      <c r="K745" s="41">
        <v>0</v>
      </c>
      <c r="L745" s="30">
        <f t="shared" si="155"/>
        <v>0</v>
      </c>
      <c r="M745" s="30">
        <f t="shared" si="155"/>
        <v>0</v>
      </c>
      <c r="N745" s="40"/>
      <c r="O745" s="40"/>
      <c r="P745" s="40"/>
      <c r="Q745" s="44"/>
      <c r="R745" s="37"/>
      <c r="S745" s="37"/>
      <c r="T745" s="48"/>
      <c r="U745" s="30" t="e">
        <f>M745/W745</f>
        <v>#DIV/0!</v>
      </c>
      <c r="V745" s="41" t="e">
        <f t="shared" si="146"/>
        <v>#DIV/0!</v>
      </c>
      <c r="W745" s="41">
        <f t="shared" si="154"/>
        <v>0</v>
      </c>
      <c r="X745" s="41">
        <f t="shared" ref="X745:X808" si="157">Y745+AA745</f>
        <v>0</v>
      </c>
      <c r="Y745" s="41">
        <v>0</v>
      </c>
      <c r="Z745" s="41" t="e">
        <f t="shared" si="147"/>
        <v>#DIV/0!</v>
      </c>
      <c r="AA745" s="41">
        <v>0</v>
      </c>
      <c r="AB745" s="41" t="e">
        <f t="shared" si="148"/>
        <v>#DIV/0!</v>
      </c>
      <c r="AC745" s="41">
        <f t="shared" si="156"/>
        <v>0</v>
      </c>
      <c r="AD745" s="41">
        <v>0</v>
      </c>
      <c r="AE745" s="41" t="e">
        <f t="shared" si="149"/>
        <v>#DIV/0!</v>
      </c>
      <c r="AF745" s="41">
        <v>0</v>
      </c>
      <c r="AG745" s="41" t="e">
        <f t="shared" si="150"/>
        <v>#DIV/0!</v>
      </c>
      <c r="AH745" s="41">
        <f t="shared" si="151"/>
        <v>0</v>
      </c>
      <c r="AI745" s="41">
        <v>0</v>
      </c>
      <c r="AJ745" s="41">
        <v>0</v>
      </c>
      <c r="AK745" s="41">
        <v>0</v>
      </c>
      <c r="AL745" s="41">
        <v>0</v>
      </c>
      <c r="AM745" s="41" t="e">
        <f t="shared" si="145"/>
        <v>#DIV/0!</v>
      </c>
      <c r="AN745" s="41" t="e">
        <f t="shared" si="152"/>
        <v>#DIV/0!</v>
      </c>
      <c r="AO745" s="41" t="e">
        <f t="shared" si="153"/>
        <v>#DIV/0!</v>
      </c>
      <c r="AP745" s="40"/>
      <c r="AQ745" s="36"/>
      <c r="AR745" s="36"/>
      <c r="AS745" s="36"/>
      <c r="AT745" s="36"/>
      <c r="AU745" s="36"/>
      <c r="AV745" s="38"/>
      <c r="AW745" s="40"/>
    </row>
    <row r="746" spans="1:49" s="34" customFormat="1" ht="15.75" customHeight="1" x14ac:dyDescent="0.3">
      <c r="A746" s="35"/>
      <c r="B746" s="36"/>
      <c r="C746" s="37"/>
      <c r="D746" s="39"/>
      <c r="E746" s="40"/>
      <c r="F746" s="36"/>
      <c r="G746" s="37"/>
      <c r="H746" s="40"/>
      <c r="I746" s="40"/>
      <c r="J746" s="41"/>
      <c r="K746" s="41">
        <v>0</v>
      </c>
      <c r="L746" s="30">
        <f t="shared" si="155"/>
        <v>0</v>
      </c>
      <c r="M746" s="30">
        <f t="shared" si="155"/>
        <v>0</v>
      </c>
      <c r="N746" s="40"/>
      <c r="O746" s="40"/>
      <c r="P746" s="40"/>
      <c r="Q746" s="44"/>
      <c r="R746" s="37"/>
      <c r="S746" s="37"/>
      <c r="T746" s="48"/>
      <c r="U746" s="30" t="e">
        <f>M746/W746</f>
        <v>#DIV/0!</v>
      </c>
      <c r="V746" s="41" t="e">
        <f t="shared" si="146"/>
        <v>#DIV/0!</v>
      </c>
      <c r="W746" s="41">
        <f t="shared" si="154"/>
        <v>0</v>
      </c>
      <c r="X746" s="41">
        <f t="shared" si="157"/>
        <v>0</v>
      </c>
      <c r="Y746" s="41">
        <v>0</v>
      </c>
      <c r="Z746" s="41" t="e">
        <f t="shared" si="147"/>
        <v>#DIV/0!</v>
      </c>
      <c r="AA746" s="41">
        <v>0</v>
      </c>
      <c r="AB746" s="41" t="e">
        <f t="shared" si="148"/>
        <v>#DIV/0!</v>
      </c>
      <c r="AC746" s="41">
        <f t="shared" si="156"/>
        <v>0</v>
      </c>
      <c r="AD746" s="41">
        <v>0</v>
      </c>
      <c r="AE746" s="41" t="e">
        <f t="shared" si="149"/>
        <v>#DIV/0!</v>
      </c>
      <c r="AF746" s="41">
        <v>0</v>
      </c>
      <c r="AG746" s="41" t="e">
        <f t="shared" si="150"/>
        <v>#DIV/0!</v>
      </c>
      <c r="AH746" s="41">
        <f t="shared" si="151"/>
        <v>0</v>
      </c>
      <c r="AI746" s="41">
        <v>0</v>
      </c>
      <c r="AJ746" s="41">
        <v>0</v>
      </c>
      <c r="AK746" s="41">
        <v>0</v>
      </c>
      <c r="AL746" s="41">
        <v>0</v>
      </c>
      <c r="AM746" s="41" t="e">
        <f t="shared" si="145"/>
        <v>#DIV/0!</v>
      </c>
      <c r="AN746" s="41" t="e">
        <f t="shared" si="152"/>
        <v>#DIV/0!</v>
      </c>
      <c r="AO746" s="41" t="e">
        <f t="shared" si="153"/>
        <v>#DIV/0!</v>
      </c>
      <c r="AP746" s="40"/>
      <c r="AQ746" s="36"/>
      <c r="AR746" s="36"/>
      <c r="AS746" s="36"/>
      <c r="AT746" s="36"/>
      <c r="AU746" s="36"/>
      <c r="AV746" s="38"/>
      <c r="AW746" s="40"/>
    </row>
    <row r="747" spans="1:49" s="34" customFormat="1" ht="15.75" customHeight="1" x14ac:dyDescent="0.3">
      <c r="A747" s="35"/>
      <c r="B747" s="36"/>
      <c r="C747" s="37"/>
      <c r="D747" s="39"/>
      <c r="E747" s="40"/>
      <c r="F747" s="36"/>
      <c r="G747" s="37"/>
      <c r="H747" s="40"/>
      <c r="I747" s="40"/>
      <c r="J747" s="41"/>
      <c r="K747" s="41">
        <v>0</v>
      </c>
      <c r="L747" s="30">
        <f t="shared" si="155"/>
        <v>0</v>
      </c>
      <c r="M747" s="30">
        <f t="shared" si="155"/>
        <v>0</v>
      </c>
      <c r="N747" s="40"/>
      <c r="O747" s="40"/>
      <c r="P747" s="40"/>
      <c r="Q747" s="44"/>
      <c r="R747" s="37"/>
      <c r="S747" s="37"/>
      <c r="T747" s="48"/>
      <c r="U747" s="30" t="e">
        <f>M747/W747</f>
        <v>#DIV/0!</v>
      </c>
      <c r="V747" s="41" t="e">
        <f t="shared" si="146"/>
        <v>#DIV/0!</v>
      </c>
      <c r="W747" s="41">
        <f t="shared" si="154"/>
        <v>0</v>
      </c>
      <c r="X747" s="41">
        <f t="shared" si="157"/>
        <v>0</v>
      </c>
      <c r="Y747" s="41">
        <v>0</v>
      </c>
      <c r="Z747" s="41" t="e">
        <f t="shared" si="147"/>
        <v>#DIV/0!</v>
      </c>
      <c r="AA747" s="41">
        <v>0</v>
      </c>
      <c r="AB747" s="41" t="e">
        <f t="shared" si="148"/>
        <v>#DIV/0!</v>
      </c>
      <c r="AC747" s="41">
        <f t="shared" si="156"/>
        <v>0</v>
      </c>
      <c r="AD747" s="41">
        <v>0</v>
      </c>
      <c r="AE747" s="41" t="e">
        <f t="shared" si="149"/>
        <v>#DIV/0!</v>
      </c>
      <c r="AF747" s="41">
        <v>0</v>
      </c>
      <c r="AG747" s="41" t="e">
        <f t="shared" si="150"/>
        <v>#DIV/0!</v>
      </c>
      <c r="AH747" s="41">
        <f t="shared" si="151"/>
        <v>0</v>
      </c>
      <c r="AI747" s="41">
        <v>0</v>
      </c>
      <c r="AJ747" s="41">
        <v>0</v>
      </c>
      <c r="AK747" s="41">
        <v>0</v>
      </c>
      <c r="AL747" s="41">
        <v>0</v>
      </c>
      <c r="AM747" s="41" t="e">
        <f t="shared" si="145"/>
        <v>#DIV/0!</v>
      </c>
      <c r="AN747" s="41" t="e">
        <f t="shared" si="152"/>
        <v>#DIV/0!</v>
      </c>
      <c r="AO747" s="41" t="e">
        <f t="shared" si="153"/>
        <v>#DIV/0!</v>
      </c>
      <c r="AP747" s="40"/>
      <c r="AQ747" s="36"/>
      <c r="AR747" s="36"/>
      <c r="AS747" s="36"/>
      <c r="AT747" s="36"/>
      <c r="AU747" s="36"/>
      <c r="AV747" s="38"/>
      <c r="AW747" s="40"/>
    </row>
    <row r="748" spans="1:49" s="34" customFormat="1" ht="15.75" customHeight="1" x14ac:dyDescent="0.3">
      <c r="A748" s="35"/>
      <c r="B748" s="36"/>
      <c r="C748" s="37"/>
      <c r="D748" s="39"/>
      <c r="E748" s="40"/>
      <c r="F748" s="36"/>
      <c r="G748" s="37"/>
      <c r="H748" s="40"/>
      <c r="I748" s="40"/>
      <c r="J748" s="41"/>
      <c r="K748" s="41">
        <v>0</v>
      </c>
      <c r="L748" s="30">
        <f t="shared" si="155"/>
        <v>0</v>
      </c>
      <c r="M748" s="30">
        <f t="shared" si="155"/>
        <v>0</v>
      </c>
      <c r="N748" s="40"/>
      <c r="O748" s="40"/>
      <c r="P748" s="40"/>
      <c r="Q748" s="44"/>
      <c r="R748" s="37"/>
      <c r="S748" s="37"/>
      <c r="T748" s="48"/>
      <c r="U748" s="30" t="e">
        <f>M748/W748</f>
        <v>#DIV/0!</v>
      </c>
      <c r="V748" s="41" t="e">
        <f t="shared" si="146"/>
        <v>#DIV/0!</v>
      </c>
      <c r="W748" s="41">
        <f t="shared" si="154"/>
        <v>0</v>
      </c>
      <c r="X748" s="41">
        <f t="shared" si="157"/>
        <v>0</v>
      </c>
      <c r="Y748" s="41">
        <v>0</v>
      </c>
      <c r="Z748" s="41" t="e">
        <f t="shared" si="147"/>
        <v>#DIV/0!</v>
      </c>
      <c r="AA748" s="41">
        <v>0</v>
      </c>
      <c r="AB748" s="41" t="e">
        <f t="shared" si="148"/>
        <v>#DIV/0!</v>
      </c>
      <c r="AC748" s="41">
        <f t="shared" si="156"/>
        <v>0</v>
      </c>
      <c r="AD748" s="41">
        <v>0</v>
      </c>
      <c r="AE748" s="41" t="e">
        <f t="shared" si="149"/>
        <v>#DIV/0!</v>
      </c>
      <c r="AF748" s="41">
        <v>0</v>
      </c>
      <c r="AG748" s="41" t="e">
        <f t="shared" si="150"/>
        <v>#DIV/0!</v>
      </c>
      <c r="AH748" s="41">
        <f t="shared" si="151"/>
        <v>0</v>
      </c>
      <c r="AI748" s="41">
        <v>0</v>
      </c>
      <c r="AJ748" s="41">
        <v>0</v>
      </c>
      <c r="AK748" s="41">
        <v>0</v>
      </c>
      <c r="AL748" s="41">
        <v>0</v>
      </c>
      <c r="AM748" s="41" t="e">
        <f t="shared" si="145"/>
        <v>#DIV/0!</v>
      </c>
      <c r="AN748" s="41" t="e">
        <f t="shared" si="152"/>
        <v>#DIV/0!</v>
      </c>
      <c r="AO748" s="41" t="e">
        <f t="shared" si="153"/>
        <v>#DIV/0!</v>
      </c>
      <c r="AP748" s="40"/>
      <c r="AQ748" s="36"/>
      <c r="AR748" s="36"/>
      <c r="AS748" s="36"/>
      <c r="AT748" s="36"/>
      <c r="AU748" s="36"/>
      <c r="AV748" s="38"/>
      <c r="AW748" s="40"/>
    </row>
    <row r="749" spans="1:49" s="34" customFormat="1" ht="15.75" customHeight="1" x14ac:dyDescent="0.3">
      <c r="A749" s="35"/>
      <c r="B749" s="36"/>
      <c r="C749" s="37"/>
      <c r="D749" s="39"/>
      <c r="E749" s="40"/>
      <c r="F749" s="36"/>
      <c r="G749" s="37"/>
      <c r="H749" s="40"/>
      <c r="I749" s="40"/>
      <c r="J749" s="41"/>
      <c r="K749" s="41">
        <v>0</v>
      </c>
      <c r="L749" s="30">
        <f t="shared" si="155"/>
        <v>0</v>
      </c>
      <c r="M749" s="30">
        <f t="shared" si="155"/>
        <v>0</v>
      </c>
      <c r="N749" s="40"/>
      <c r="O749" s="40"/>
      <c r="P749" s="40"/>
      <c r="Q749" s="44"/>
      <c r="R749" s="37"/>
      <c r="S749" s="37"/>
      <c r="T749" s="48"/>
      <c r="U749" s="30" t="e">
        <f>M749/W749</f>
        <v>#DIV/0!</v>
      </c>
      <c r="V749" s="41" t="e">
        <f t="shared" si="146"/>
        <v>#DIV/0!</v>
      </c>
      <c r="W749" s="41">
        <f t="shared" si="154"/>
        <v>0</v>
      </c>
      <c r="X749" s="41">
        <f t="shared" si="157"/>
        <v>0</v>
      </c>
      <c r="Y749" s="41">
        <v>0</v>
      </c>
      <c r="Z749" s="41" t="e">
        <f t="shared" si="147"/>
        <v>#DIV/0!</v>
      </c>
      <c r="AA749" s="41">
        <v>0</v>
      </c>
      <c r="AB749" s="41" t="e">
        <f t="shared" si="148"/>
        <v>#DIV/0!</v>
      </c>
      <c r="AC749" s="41">
        <f t="shared" si="156"/>
        <v>0</v>
      </c>
      <c r="AD749" s="41">
        <v>0</v>
      </c>
      <c r="AE749" s="41" t="e">
        <f t="shared" si="149"/>
        <v>#DIV/0!</v>
      </c>
      <c r="AF749" s="41">
        <v>0</v>
      </c>
      <c r="AG749" s="41" t="e">
        <f t="shared" si="150"/>
        <v>#DIV/0!</v>
      </c>
      <c r="AH749" s="41">
        <f t="shared" si="151"/>
        <v>0</v>
      </c>
      <c r="AI749" s="41">
        <v>0</v>
      </c>
      <c r="AJ749" s="41">
        <v>0</v>
      </c>
      <c r="AK749" s="41">
        <v>0</v>
      </c>
      <c r="AL749" s="41">
        <v>0</v>
      </c>
      <c r="AM749" s="41" t="e">
        <f t="shared" si="145"/>
        <v>#DIV/0!</v>
      </c>
      <c r="AN749" s="41" t="e">
        <f t="shared" si="152"/>
        <v>#DIV/0!</v>
      </c>
      <c r="AO749" s="41" t="e">
        <f t="shared" si="153"/>
        <v>#DIV/0!</v>
      </c>
      <c r="AP749" s="40"/>
      <c r="AQ749" s="36"/>
      <c r="AR749" s="36"/>
      <c r="AS749" s="36"/>
      <c r="AT749" s="36"/>
      <c r="AU749" s="36"/>
      <c r="AV749" s="38"/>
      <c r="AW749" s="40"/>
    </row>
    <row r="750" spans="1:49" s="34" customFormat="1" ht="15.75" customHeight="1" x14ac:dyDescent="0.3">
      <c r="A750" s="35"/>
      <c r="B750" s="36"/>
      <c r="C750" s="37"/>
      <c r="D750" s="39"/>
      <c r="E750" s="40"/>
      <c r="F750" s="36"/>
      <c r="G750" s="37"/>
      <c r="H750" s="40"/>
      <c r="I750" s="40"/>
      <c r="J750" s="41"/>
      <c r="K750" s="41">
        <v>0</v>
      </c>
      <c r="L750" s="30">
        <f t="shared" si="155"/>
        <v>0</v>
      </c>
      <c r="M750" s="30">
        <f t="shared" si="155"/>
        <v>0</v>
      </c>
      <c r="N750" s="40"/>
      <c r="O750" s="40"/>
      <c r="P750" s="40"/>
      <c r="Q750" s="44"/>
      <c r="R750" s="37"/>
      <c r="S750" s="37"/>
      <c r="T750" s="48"/>
      <c r="U750" s="30" t="e">
        <f>M750/W750</f>
        <v>#DIV/0!</v>
      </c>
      <c r="V750" s="41" t="e">
        <f t="shared" si="146"/>
        <v>#DIV/0!</v>
      </c>
      <c r="W750" s="41">
        <f t="shared" si="154"/>
        <v>0</v>
      </c>
      <c r="X750" s="41">
        <f t="shared" si="157"/>
        <v>0</v>
      </c>
      <c r="Y750" s="41">
        <v>0</v>
      </c>
      <c r="Z750" s="41" t="e">
        <f t="shared" si="147"/>
        <v>#DIV/0!</v>
      </c>
      <c r="AA750" s="41">
        <v>0</v>
      </c>
      <c r="AB750" s="41" t="e">
        <f t="shared" si="148"/>
        <v>#DIV/0!</v>
      </c>
      <c r="AC750" s="41">
        <f t="shared" si="156"/>
        <v>0</v>
      </c>
      <c r="AD750" s="41">
        <v>0</v>
      </c>
      <c r="AE750" s="41" t="e">
        <f t="shared" si="149"/>
        <v>#DIV/0!</v>
      </c>
      <c r="AF750" s="41">
        <v>0</v>
      </c>
      <c r="AG750" s="41" t="e">
        <f t="shared" si="150"/>
        <v>#DIV/0!</v>
      </c>
      <c r="AH750" s="41">
        <f t="shared" si="151"/>
        <v>0</v>
      </c>
      <c r="AI750" s="41">
        <v>0</v>
      </c>
      <c r="AJ750" s="41">
        <v>0</v>
      </c>
      <c r="AK750" s="41">
        <v>0</v>
      </c>
      <c r="AL750" s="41">
        <v>0</v>
      </c>
      <c r="AM750" s="41" t="e">
        <f t="shared" si="145"/>
        <v>#DIV/0!</v>
      </c>
      <c r="AN750" s="41" t="e">
        <f t="shared" si="152"/>
        <v>#DIV/0!</v>
      </c>
      <c r="AO750" s="41" t="e">
        <f t="shared" si="153"/>
        <v>#DIV/0!</v>
      </c>
      <c r="AP750" s="40"/>
      <c r="AQ750" s="36"/>
      <c r="AR750" s="36"/>
      <c r="AS750" s="36"/>
      <c r="AT750" s="36"/>
      <c r="AU750" s="36"/>
      <c r="AV750" s="38"/>
      <c r="AW750" s="40"/>
    </row>
    <row r="751" spans="1:49" s="34" customFormat="1" ht="15.75" customHeight="1" x14ac:dyDescent="0.3">
      <c r="A751" s="35"/>
      <c r="B751" s="36"/>
      <c r="C751" s="37"/>
      <c r="D751" s="39"/>
      <c r="E751" s="40"/>
      <c r="F751" s="36"/>
      <c r="G751" s="37"/>
      <c r="H751" s="40"/>
      <c r="I751" s="40"/>
      <c r="J751" s="41"/>
      <c r="K751" s="41">
        <v>0</v>
      </c>
      <c r="L751" s="30">
        <f t="shared" si="155"/>
        <v>0</v>
      </c>
      <c r="M751" s="30">
        <f t="shared" si="155"/>
        <v>0</v>
      </c>
      <c r="N751" s="40"/>
      <c r="O751" s="40"/>
      <c r="P751" s="40"/>
      <c r="Q751" s="44"/>
      <c r="R751" s="37"/>
      <c r="S751" s="37"/>
      <c r="T751" s="48"/>
      <c r="U751" s="30" t="e">
        <f>M751/W751</f>
        <v>#DIV/0!</v>
      </c>
      <c r="V751" s="41" t="e">
        <f t="shared" si="146"/>
        <v>#DIV/0!</v>
      </c>
      <c r="W751" s="41">
        <f t="shared" si="154"/>
        <v>0</v>
      </c>
      <c r="X751" s="41">
        <f t="shared" si="157"/>
        <v>0</v>
      </c>
      <c r="Y751" s="41">
        <v>0</v>
      </c>
      <c r="Z751" s="41" t="e">
        <f t="shared" si="147"/>
        <v>#DIV/0!</v>
      </c>
      <c r="AA751" s="41">
        <v>0</v>
      </c>
      <c r="AB751" s="41" t="e">
        <f t="shared" si="148"/>
        <v>#DIV/0!</v>
      </c>
      <c r="AC751" s="41">
        <f t="shared" si="156"/>
        <v>0</v>
      </c>
      <c r="AD751" s="41">
        <v>0</v>
      </c>
      <c r="AE751" s="41" t="e">
        <f t="shared" si="149"/>
        <v>#DIV/0!</v>
      </c>
      <c r="AF751" s="41">
        <v>0</v>
      </c>
      <c r="AG751" s="41" t="e">
        <f t="shared" si="150"/>
        <v>#DIV/0!</v>
      </c>
      <c r="AH751" s="41">
        <f t="shared" si="151"/>
        <v>0</v>
      </c>
      <c r="AI751" s="41">
        <v>0</v>
      </c>
      <c r="AJ751" s="41">
        <v>0</v>
      </c>
      <c r="AK751" s="41">
        <v>0</v>
      </c>
      <c r="AL751" s="41">
        <v>0</v>
      </c>
      <c r="AM751" s="41" t="e">
        <f t="shared" si="145"/>
        <v>#DIV/0!</v>
      </c>
      <c r="AN751" s="41" t="e">
        <f t="shared" si="152"/>
        <v>#DIV/0!</v>
      </c>
      <c r="AO751" s="41" t="e">
        <f t="shared" si="153"/>
        <v>#DIV/0!</v>
      </c>
      <c r="AP751" s="40"/>
      <c r="AQ751" s="36"/>
      <c r="AR751" s="36"/>
      <c r="AS751" s="36"/>
      <c r="AT751" s="36"/>
      <c r="AU751" s="36"/>
      <c r="AV751" s="38"/>
      <c r="AW751" s="40"/>
    </row>
    <row r="752" spans="1:49" s="34" customFormat="1" ht="15.75" customHeight="1" x14ac:dyDescent="0.3">
      <c r="A752" s="35"/>
      <c r="B752" s="36"/>
      <c r="C752" s="37"/>
      <c r="D752" s="39"/>
      <c r="E752" s="40"/>
      <c r="F752" s="36"/>
      <c r="G752" s="37"/>
      <c r="H752" s="40"/>
      <c r="I752" s="40"/>
      <c r="J752" s="41"/>
      <c r="K752" s="41">
        <v>0</v>
      </c>
      <c r="L752" s="30">
        <f t="shared" si="155"/>
        <v>0</v>
      </c>
      <c r="M752" s="30">
        <f t="shared" si="155"/>
        <v>0</v>
      </c>
      <c r="N752" s="40"/>
      <c r="O752" s="40"/>
      <c r="P752" s="40"/>
      <c r="Q752" s="44"/>
      <c r="R752" s="37"/>
      <c r="S752" s="37"/>
      <c r="T752" s="48"/>
      <c r="U752" s="30" t="e">
        <f>M752/W752</f>
        <v>#DIV/0!</v>
      </c>
      <c r="V752" s="41" t="e">
        <f t="shared" si="146"/>
        <v>#DIV/0!</v>
      </c>
      <c r="W752" s="41">
        <f t="shared" si="154"/>
        <v>0</v>
      </c>
      <c r="X752" s="41">
        <f t="shared" si="157"/>
        <v>0</v>
      </c>
      <c r="Y752" s="41">
        <v>0</v>
      </c>
      <c r="Z752" s="41" t="e">
        <f t="shared" si="147"/>
        <v>#DIV/0!</v>
      </c>
      <c r="AA752" s="41">
        <v>0</v>
      </c>
      <c r="AB752" s="41" t="e">
        <f t="shared" si="148"/>
        <v>#DIV/0!</v>
      </c>
      <c r="AC752" s="41">
        <f t="shared" si="156"/>
        <v>0</v>
      </c>
      <c r="AD752" s="41">
        <v>0</v>
      </c>
      <c r="AE752" s="41" t="e">
        <f t="shared" si="149"/>
        <v>#DIV/0!</v>
      </c>
      <c r="AF752" s="41">
        <v>0</v>
      </c>
      <c r="AG752" s="41" t="e">
        <f t="shared" si="150"/>
        <v>#DIV/0!</v>
      </c>
      <c r="AH752" s="41">
        <f t="shared" si="151"/>
        <v>0</v>
      </c>
      <c r="AI752" s="41">
        <v>0</v>
      </c>
      <c r="AJ752" s="41">
        <v>0</v>
      </c>
      <c r="AK752" s="41">
        <v>0</v>
      </c>
      <c r="AL752" s="41">
        <v>0</v>
      </c>
      <c r="AM752" s="41" t="e">
        <f t="shared" si="145"/>
        <v>#DIV/0!</v>
      </c>
      <c r="AN752" s="41" t="e">
        <f t="shared" si="152"/>
        <v>#DIV/0!</v>
      </c>
      <c r="AO752" s="41" t="e">
        <f t="shared" si="153"/>
        <v>#DIV/0!</v>
      </c>
      <c r="AP752" s="40"/>
      <c r="AQ752" s="36"/>
      <c r="AR752" s="36"/>
      <c r="AS752" s="36"/>
      <c r="AT752" s="36"/>
      <c r="AU752" s="36"/>
      <c r="AV752" s="38"/>
      <c r="AW752" s="40"/>
    </row>
    <row r="753" spans="1:49" s="34" customFormat="1" ht="15.75" customHeight="1" x14ac:dyDescent="0.3">
      <c r="A753" s="35"/>
      <c r="B753" s="36"/>
      <c r="C753" s="37"/>
      <c r="D753" s="39"/>
      <c r="E753" s="40"/>
      <c r="F753" s="36"/>
      <c r="G753" s="37"/>
      <c r="H753" s="40"/>
      <c r="I753" s="40"/>
      <c r="J753" s="41"/>
      <c r="K753" s="41">
        <v>0</v>
      </c>
      <c r="L753" s="30">
        <f t="shared" si="155"/>
        <v>0</v>
      </c>
      <c r="M753" s="30">
        <f t="shared" si="155"/>
        <v>0</v>
      </c>
      <c r="N753" s="40"/>
      <c r="O753" s="40"/>
      <c r="P753" s="40"/>
      <c r="Q753" s="44"/>
      <c r="R753" s="37"/>
      <c r="S753" s="37"/>
      <c r="T753" s="48"/>
      <c r="U753" s="30" t="e">
        <f>M753/W753</f>
        <v>#DIV/0!</v>
      </c>
      <c r="V753" s="41" t="e">
        <f t="shared" si="146"/>
        <v>#DIV/0!</v>
      </c>
      <c r="W753" s="41">
        <f t="shared" si="154"/>
        <v>0</v>
      </c>
      <c r="X753" s="41">
        <f t="shared" si="157"/>
        <v>0</v>
      </c>
      <c r="Y753" s="41">
        <v>0</v>
      </c>
      <c r="Z753" s="41" t="e">
        <f t="shared" si="147"/>
        <v>#DIV/0!</v>
      </c>
      <c r="AA753" s="41">
        <v>0</v>
      </c>
      <c r="AB753" s="41" t="e">
        <f t="shared" si="148"/>
        <v>#DIV/0!</v>
      </c>
      <c r="AC753" s="41">
        <f t="shared" si="156"/>
        <v>0</v>
      </c>
      <c r="AD753" s="41">
        <v>0</v>
      </c>
      <c r="AE753" s="41" t="e">
        <f t="shared" si="149"/>
        <v>#DIV/0!</v>
      </c>
      <c r="AF753" s="41">
        <v>0</v>
      </c>
      <c r="AG753" s="41" t="e">
        <f t="shared" si="150"/>
        <v>#DIV/0!</v>
      </c>
      <c r="AH753" s="41">
        <f t="shared" si="151"/>
        <v>0</v>
      </c>
      <c r="AI753" s="41">
        <v>0</v>
      </c>
      <c r="AJ753" s="41">
        <v>0</v>
      </c>
      <c r="AK753" s="41">
        <v>0</v>
      </c>
      <c r="AL753" s="41">
        <v>0</v>
      </c>
      <c r="AM753" s="41" t="e">
        <f t="shared" si="145"/>
        <v>#DIV/0!</v>
      </c>
      <c r="AN753" s="41" t="e">
        <f t="shared" si="152"/>
        <v>#DIV/0!</v>
      </c>
      <c r="AO753" s="41" t="e">
        <f t="shared" si="153"/>
        <v>#DIV/0!</v>
      </c>
      <c r="AP753" s="40"/>
      <c r="AQ753" s="36"/>
      <c r="AR753" s="36"/>
      <c r="AS753" s="36"/>
      <c r="AT753" s="36"/>
      <c r="AU753" s="36"/>
      <c r="AV753" s="38"/>
      <c r="AW753" s="40"/>
    </row>
    <row r="754" spans="1:49" s="34" customFormat="1" ht="15.75" customHeight="1" x14ac:dyDescent="0.3">
      <c r="A754" s="35"/>
      <c r="B754" s="36"/>
      <c r="C754" s="37"/>
      <c r="D754" s="39"/>
      <c r="E754" s="40"/>
      <c r="F754" s="36"/>
      <c r="G754" s="37"/>
      <c r="H754" s="40"/>
      <c r="I754" s="40"/>
      <c r="J754" s="41"/>
      <c r="K754" s="41">
        <v>0</v>
      </c>
      <c r="L754" s="30">
        <f t="shared" si="155"/>
        <v>0</v>
      </c>
      <c r="M754" s="30">
        <f t="shared" si="155"/>
        <v>0</v>
      </c>
      <c r="N754" s="40"/>
      <c r="O754" s="40"/>
      <c r="P754" s="40"/>
      <c r="Q754" s="44"/>
      <c r="R754" s="37"/>
      <c r="S754" s="37"/>
      <c r="T754" s="48"/>
      <c r="U754" s="30" t="e">
        <f>M754/W754</f>
        <v>#DIV/0!</v>
      </c>
      <c r="V754" s="41" t="e">
        <f t="shared" si="146"/>
        <v>#DIV/0!</v>
      </c>
      <c r="W754" s="41">
        <f t="shared" si="154"/>
        <v>0</v>
      </c>
      <c r="X754" s="41">
        <f t="shared" si="157"/>
        <v>0</v>
      </c>
      <c r="Y754" s="41">
        <v>0</v>
      </c>
      <c r="Z754" s="41" t="e">
        <f t="shared" si="147"/>
        <v>#DIV/0!</v>
      </c>
      <c r="AA754" s="41">
        <v>0</v>
      </c>
      <c r="AB754" s="41" t="e">
        <f t="shared" si="148"/>
        <v>#DIV/0!</v>
      </c>
      <c r="AC754" s="41">
        <f t="shared" si="156"/>
        <v>0</v>
      </c>
      <c r="AD754" s="41">
        <v>0</v>
      </c>
      <c r="AE754" s="41" t="e">
        <f t="shared" si="149"/>
        <v>#DIV/0!</v>
      </c>
      <c r="AF754" s="41">
        <v>0</v>
      </c>
      <c r="AG754" s="41" t="e">
        <f t="shared" si="150"/>
        <v>#DIV/0!</v>
      </c>
      <c r="AH754" s="41">
        <f t="shared" si="151"/>
        <v>0</v>
      </c>
      <c r="AI754" s="41">
        <v>0</v>
      </c>
      <c r="AJ754" s="41">
        <v>0</v>
      </c>
      <c r="AK754" s="41">
        <v>0</v>
      </c>
      <c r="AL754" s="41">
        <v>0</v>
      </c>
      <c r="AM754" s="41" t="e">
        <f t="shared" si="145"/>
        <v>#DIV/0!</v>
      </c>
      <c r="AN754" s="41" t="e">
        <f t="shared" si="152"/>
        <v>#DIV/0!</v>
      </c>
      <c r="AO754" s="41" t="e">
        <f t="shared" si="153"/>
        <v>#DIV/0!</v>
      </c>
      <c r="AP754" s="40"/>
      <c r="AQ754" s="36"/>
      <c r="AR754" s="36"/>
      <c r="AS754" s="36"/>
      <c r="AT754" s="36"/>
      <c r="AU754" s="36"/>
      <c r="AV754" s="38"/>
      <c r="AW754" s="40"/>
    </row>
    <row r="755" spans="1:49" s="34" customFormat="1" ht="15.75" customHeight="1" x14ac:dyDescent="0.3">
      <c r="A755" s="35"/>
      <c r="B755" s="36"/>
      <c r="C755" s="37"/>
      <c r="D755" s="39"/>
      <c r="E755" s="40"/>
      <c r="F755" s="36"/>
      <c r="G755" s="37"/>
      <c r="H755" s="40"/>
      <c r="I755" s="40"/>
      <c r="J755" s="41"/>
      <c r="K755" s="41">
        <v>0</v>
      </c>
      <c r="L755" s="30">
        <f t="shared" si="155"/>
        <v>0</v>
      </c>
      <c r="M755" s="30">
        <f t="shared" si="155"/>
        <v>0</v>
      </c>
      <c r="N755" s="40"/>
      <c r="O755" s="40"/>
      <c r="P755" s="40"/>
      <c r="Q755" s="44"/>
      <c r="R755" s="37"/>
      <c r="S755" s="37"/>
      <c r="T755" s="48"/>
      <c r="U755" s="30" t="e">
        <f>M755/W755</f>
        <v>#DIV/0!</v>
      </c>
      <c r="V755" s="41" t="e">
        <f t="shared" si="146"/>
        <v>#DIV/0!</v>
      </c>
      <c r="W755" s="41">
        <f t="shared" si="154"/>
        <v>0</v>
      </c>
      <c r="X755" s="41">
        <f t="shared" si="157"/>
        <v>0</v>
      </c>
      <c r="Y755" s="41">
        <v>0</v>
      </c>
      <c r="Z755" s="41" t="e">
        <f t="shared" si="147"/>
        <v>#DIV/0!</v>
      </c>
      <c r="AA755" s="41">
        <v>0</v>
      </c>
      <c r="AB755" s="41" t="e">
        <f t="shared" si="148"/>
        <v>#DIV/0!</v>
      </c>
      <c r="AC755" s="41">
        <f t="shared" si="156"/>
        <v>0</v>
      </c>
      <c r="AD755" s="41">
        <v>0</v>
      </c>
      <c r="AE755" s="41" t="e">
        <f t="shared" si="149"/>
        <v>#DIV/0!</v>
      </c>
      <c r="AF755" s="41">
        <v>0</v>
      </c>
      <c r="AG755" s="41" t="e">
        <f t="shared" si="150"/>
        <v>#DIV/0!</v>
      </c>
      <c r="AH755" s="41">
        <f t="shared" si="151"/>
        <v>0</v>
      </c>
      <c r="AI755" s="41">
        <v>0</v>
      </c>
      <c r="AJ755" s="41">
        <v>0</v>
      </c>
      <c r="AK755" s="41">
        <v>0</v>
      </c>
      <c r="AL755" s="41">
        <v>0</v>
      </c>
      <c r="AM755" s="41" t="e">
        <f t="shared" si="145"/>
        <v>#DIV/0!</v>
      </c>
      <c r="AN755" s="41" t="e">
        <f t="shared" si="152"/>
        <v>#DIV/0!</v>
      </c>
      <c r="AO755" s="41" t="e">
        <f t="shared" si="153"/>
        <v>#DIV/0!</v>
      </c>
      <c r="AP755" s="40"/>
      <c r="AQ755" s="36"/>
      <c r="AR755" s="36"/>
      <c r="AS755" s="36"/>
      <c r="AT755" s="36"/>
      <c r="AU755" s="36"/>
      <c r="AV755" s="38"/>
      <c r="AW755" s="40"/>
    </row>
    <row r="756" spans="1:49" s="34" customFormat="1" ht="15.75" customHeight="1" x14ac:dyDescent="0.3">
      <c r="A756" s="35"/>
      <c r="B756" s="36"/>
      <c r="C756" s="37"/>
      <c r="D756" s="39"/>
      <c r="E756" s="40"/>
      <c r="F756" s="36"/>
      <c r="G756" s="37"/>
      <c r="H756" s="40"/>
      <c r="I756" s="40"/>
      <c r="J756" s="41"/>
      <c r="K756" s="41">
        <v>0</v>
      </c>
      <c r="L756" s="30">
        <f t="shared" si="155"/>
        <v>0</v>
      </c>
      <c r="M756" s="30">
        <f t="shared" si="155"/>
        <v>0</v>
      </c>
      <c r="N756" s="40"/>
      <c r="O756" s="40"/>
      <c r="P756" s="40"/>
      <c r="Q756" s="44"/>
      <c r="R756" s="37"/>
      <c r="S756" s="37"/>
      <c r="T756" s="48"/>
      <c r="U756" s="30" t="e">
        <f>M756/W756</f>
        <v>#DIV/0!</v>
      </c>
      <c r="V756" s="41" t="e">
        <f t="shared" si="146"/>
        <v>#DIV/0!</v>
      </c>
      <c r="W756" s="41">
        <f t="shared" si="154"/>
        <v>0</v>
      </c>
      <c r="X756" s="41">
        <f t="shared" si="157"/>
        <v>0</v>
      </c>
      <c r="Y756" s="41">
        <v>0</v>
      </c>
      <c r="Z756" s="41" t="e">
        <f t="shared" si="147"/>
        <v>#DIV/0!</v>
      </c>
      <c r="AA756" s="41">
        <v>0</v>
      </c>
      <c r="AB756" s="41" t="e">
        <f t="shared" si="148"/>
        <v>#DIV/0!</v>
      </c>
      <c r="AC756" s="41">
        <f t="shared" si="156"/>
        <v>0</v>
      </c>
      <c r="AD756" s="41">
        <v>0</v>
      </c>
      <c r="AE756" s="41" t="e">
        <f t="shared" si="149"/>
        <v>#DIV/0!</v>
      </c>
      <c r="AF756" s="41">
        <v>0</v>
      </c>
      <c r="AG756" s="41" t="e">
        <f t="shared" si="150"/>
        <v>#DIV/0!</v>
      </c>
      <c r="AH756" s="41">
        <f t="shared" si="151"/>
        <v>0</v>
      </c>
      <c r="AI756" s="41">
        <v>0</v>
      </c>
      <c r="AJ756" s="41">
        <v>0</v>
      </c>
      <c r="AK756" s="41">
        <v>0</v>
      </c>
      <c r="AL756" s="41">
        <v>0</v>
      </c>
      <c r="AM756" s="41" t="e">
        <f t="shared" si="145"/>
        <v>#DIV/0!</v>
      </c>
      <c r="AN756" s="41" t="e">
        <f t="shared" si="152"/>
        <v>#DIV/0!</v>
      </c>
      <c r="AO756" s="41" t="e">
        <f t="shared" si="153"/>
        <v>#DIV/0!</v>
      </c>
      <c r="AP756" s="40"/>
      <c r="AQ756" s="36"/>
      <c r="AR756" s="36"/>
      <c r="AS756" s="36"/>
      <c r="AT756" s="36"/>
      <c r="AU756" s="36"/>
      <c r="AV756" s="38"/>
      <c r="AW756" s="40"/>
    </row>
    <row r="757" spans="1:49" s="34" customFormat="1" ht="15.75" customHeight="1" x14ac:dyDescent="0.3">
      <c r="A757" s="35"/>
      <c r="B757" s="36"/>
      <c r="C757" s="37"/>
      <c r="D757" s="39"/>
      <c r="E757" s="40"/>
      <c r="F757" s="36"/>
      <c r="G757" s="37"/>
      <c r="H757" s="40"/>
      <c r="I757" s="40"/>
      <c r="J757" s="41"/>
      <c r="K757" s="41">
        <v>0</v>
      </c>
      <c r="L757" s="30">
        <f t="shared" si="155"/>
        <v>0</v>
      </c>
      <c r="M757" s="30">
        <f t="shared" si="155"/>
        <v>0</v>
      </c>
      <c r="N757" s="40"/>
      <c r="O757" s="40"/>
      <c r="P757" s="40"/>
      <c r="Q757" s="44"/>
      <c r="R757" s="37"/>
      <c r="S757" s="37"/>
      <c r="T757" s="48"/>
      <c r="U757" s="30" t="e">
        <f>M757/W757</f>
        <v>#DIV/0!</v>
      </c>
      <c r="V757" s="41" t="e">
        <f t="shared" si="146"/>
        <v>#DIV/0!</v>
      </c>
      <c r="W757" s="41">
        <f t="shared" si="154"/>
        <v>0</v>
      </c>
      <c r="X757" s="41">
        <f t="shared" si="157"/>
        <v>0</v>
      </c>
      <c r="Y757" s="41">
        <v>0</v>
      </c>
      <c r="Z757" s="41" t="e">
        <f t="shared" si="147"/>
        <v>#DIV/0!</v>
      </c>
      <c r="AA757" s="41">
        <v>0</v>
      </c>
      <c r="AB757" s="41" t="e">
        <f t="shared" si="148"/>
        <v>#DIV/0!</v>
      </c>
      <c r="AC757" s="41">
        <f t="shared" si="156"/>
        <v>0</v>
      </c>
      <c r="AD757" s="41">
        <v>0</v>
      </c>
      <c r="AE757" s="41" t="e">
        <f t="shared" si="149"/>
        <v>#DIV/0!</v>
      </c>
      <c r="AF757" s="41">
        <v>0</v>
      </c>
      <c r="AG757" s="41" t="e">
        <f t="shared" si="150"/>
        <v>#DIV/0!</v>
      </c>
      <c r="AH757" s="41">
        <f t="shared" si="151"/>
        <v>0</v>
      </c>
      <c r="AI757" s="41">
        <v>0</v>
      </c>
      <c r="AJ757" s="41">
        <v>0</v>
      </c>
      <c r="AK757" s="41">
        <v>0</v>
      </c>
      <c r="AL757" s="41">
        <v>0</v>
      </c>
      <c r="AM757" s="41" t="e">
        <f t="shared" si="145"/>
        <v>#DIV/0!</v>
      </c>
      <c r="AN757" s="41" t="e">
        <f t="shared" si="152"/>
        <v>#DIV/0!</v>
      </c>
      <c r="AO757" s="41" t="e">
        <f t="shared" si="153"/>
        <v>#DIV/0!</v>
      </c>
      <c r="AP757" s="40"/>
      <c r="AQ757" s="36"/>
      <c r="AR757" s="36"/>
      <c r="AS757" s="36"/>
      <c r="AT757" s="36"/>
      <c r="AU757" s="36"/>
      <c r="AV757" s="38"/>
      <c r="AW757" s="40"/>
    </row>
    <row r="758" spans="1:49" s="34" customFormat="1" ht="15.75" customHeight="1" x14ac:dyDescent="0.3">
      <c r="A758" s="35"/>
      <c r="B758" s="36"/>
      <c r="C758" s="37"/>
      <c r="D758" s="39"/>
      <c r="E758" s="40"/>
      <c r="F758" s="36"/>
      <c r="G758" s="37"/>
      <c r="H758" s="40"/>
      <c r="I758" s="40"/>
      <c r="J758" s="41"/>
      <c r="K758" s="41">
        <v>0</v>
      </c>
      <c r="L758" s="30">
        <f t="shared" si="155"/>
        <v>0</v>
      </c>
      <c r="M758" s="30">
        <f t="shared" si="155"/>
        <v>0</v>
      </c>
      <c r="N758" s="40"/>
      <c r="O758" s="40"/>
      <c r="P758" s="40"/>
      <c r="Q758" s="44"/>
      <c r="R758" s="37"/>
      <c r="S758" s="37"/>
      <c r="T758" s="48"/>
      <c r="U758" s="30" t="e">
        <f>M758/W758</f>
        <v>#DIV/0!</v>
      </c>
      <c r="V758" s="41" t="e">
        <f t="shared" si="146"/>
        <v>#DIV/0!</v>
      </c>
      <c r="W758" s="41">
        <f t="shared" si="154"/>
        <v>0</v>
      </c>
      <c r="X758" s="41">
        <f t="shared" si="157"/>
        <v>0</v>
      </c>
      <c r="Y758" s="41">
        <v>0</v>
      </c>
      <c r="Z758" s="41" t="e">
        <f t="shared" si="147"/>
        <v>#DIV/0!</v>
      </c>
      <c r="AA758" s="41">
        <v>0</v>
      </c>
      <c r="AB758" s="41" t="e">
        <f t="shared" si="148"/>
        <v>#DIV/0!</v>
      </c>
      <c r="AC758" s="41">
        <f t="shared" si="156"/>
        <v>0</v>
      </c>
      <c r="AD758" s="41">
        <v>0</v>
      </c>
      <c r="AE758" s="41" t="e">
        <f t="shared" si="149"/>
        <v>#DIV/0!</v>
      </c>
      <c r="AF758" s="41">
        <v>0</v>
      </c>
      <c r="AG758" s="41" t="e">
        <f t="shared" si="150"/>
        <v>#DIV/0!</v>
      </c>
      <c r="AH758" s="41">
        <f t="shared" si="151"/>
        <v>0</v>
      </c>
      <c r="AI758" s="41">
        <v>0</v>
      </c>
      <c r="AJ758" s="41">
        <v>0</v>
      </c>
      <c r="AK758" s="41">
        <v>0</v>
      </c>
      <c r="AL758" s="41">
        <v>0</v>
      </c>
      <c r="AM758" s="41" t="e">
        <f t="shared" si="145"/>
        <v>#DIV/0!</v>
      </c>
      <c r="AN758" s="41" t="e">
        <f t="shared" si="152"/>
        <v>#DIV/0!</v>
      </c>
      <c r="AO758" s="41" t="e">
        <f t="shared" si="153"/>
        <v>#DIV/0!</v>
      </c>
      <c r="AP758" s="40"/>
      <c r="AQ758" s="36"/>
      <c r="AR758" s="36"/>
      <c r="AS758" s="36"/>
      <c r="AT758" s="36"/>
      <c r="AU758" s="36"/>
      <c r="AV758" s="38"/>
      <c r="AW758" s="40"/>
    </row>
    <row r="759" spans="1:49" s="34" customFormat="1" ht="15.75" customHeight="1" x14ac:dyDescent="0.3">
      <c r="A759" s="35"/>
      <c r="B759" s="36"/>
      <c r="C759" s="37"/>
      <c r="D759" s="39"/>
      <c r="E759" s="40"/>
      <c r="F759" s="36"/>
      <c r="G759" s="37"/>
      <c r="H759" s="40"/>
      <c r="I759" s="40"/>
      <c r="J759" s="41"/>
      <c r="K759" s="41">
        <v>0</v>
      </c>
      <c r="L759" s="30">
        <f t="shared" si="155"/>
        <v>0</v>
      </c>
      <c r="M759" s="30">
        <f t="shared" si="155"/>
        <v>0</v>
      </c>
      <c r="N759" s="40"/>
      <c r="O759" s="40"/>
      <c r="P759" s="40"/>
      <c r="Q759" s="44"/>
      <c r="R759" s="37"/>
      <c r="S759" s="37"/>
      <c r="T759" s="48"/>
      <c r="U759" s="30" t="e">
        <f>M759/W759</f>
        <v>#DIV/0!</v>
      </c>
      <c r="V759" s="41" t="e">
        <f t="shared" si="146"/>
        <v>#DIV/0!</v>
      </c>
      <c r="W759" s="41">
        <f t="shared" si="154"/>
        <v>0</v>
      </c>
      <c r="X759" s="41">
        <f t="shared" si="157"/>
        <v>0</v>
      </c>
      <c r="Y759" s="41">
        <v>0</v>
      </c>
      <c r="Z759" s="41" t="e">
        <f t="shared" si="147"/>
        <v>#DIV/0!</v>
      </c>
      <c r="AA759" s="41">
        <v>0</v>
      </c>
      <c r="AB759" s="41" t="e">
        <f t="shared" si="148"/>
        <v>#DIV/0!</v>
      </c>
      <c r="AC759" s="41">
        <f t="shared" si="156"/>
        <v>0</v>
      </c>
      <c r="AD759" s="41">
        <v>0</v>
      </c>
      <c r="AE759" s="41" t="e">
        <f t="shared" si="149"/>
        <v>#DIV/0!</v>
      </c>
      <c r="AF759" s="41">
        <v>0</v>
      </c>
      <c r="AG759" s="41" t="e">
        <f t="shared" si="150"/>
        <v>#DIV/0!</v>
      </c>
      <c r="AH759" s="41">
        <f t="shared" si="151"/>
        <v>0</v>
      </c>
      <c r="AI759" s="41">
        <v>0</v>
      </c>
      <c r="AJ759" s="41">
        <v>0</v>
      </c>
      <c r="AK759" s="41">
        <v>0</v>
      </c>
      <c r="AL759" s="41">
        <v>0</v>
      </c>
      <c r="AM759" s="41" t="e">
        <f t="shared" si="145"/>
        <v>#DIV/0!</v>
      </c>
      <c r="AN759" s="41" t="e">
        <f t="shared" si="152"/>
        <v>#DIV/0!</v>
      </c>
      <c r="AO759" s="41" t="e">
        <f t="shared" si="153"/>
        <v>#DIV/0!</v>
      </c>
      <c r="AP759" s="40"/>
      <c r="AQ759" s="36"/>
      <c r="AR759" s="36"/>
      <c r="AS759" s="36"/>
      <c r="AT759" s="36"/>
      <c r="AU759" s="36"/>
      <c r="AV759" s="38"/>
      <c r="AW759" s="40"/>
    </row>
    <row r="760" spans="1:49" s="34" customFormat="1" ht="15.75" customHeight="1" x14ac:dyDescent="0.3">
      <c r="A760" s="35"/>
      <c r="B760" s="36"/>
      <c r="C760" s="37"/>
      <c r="D760" s="39"/>
      <c r="E760" s="40"/>
      <c r="F760" s="36"/>
      <c r="G760" s="37"/>
      <c r="H760" s="40"/>
      <c r="I760" s="40"/>
      <c r="J760" s="41"/>
      <c r="K760" s="41">
        <v>0</v>
      </c>
      <c r="L760" s="30">
        <f t="shared" si="155"/>
        <v>0</v>
      </c>
      <c r="M760" s="30">
        <f t="shared" si="155"/>
        <v>0</v>
      </c>
      <c r="N760" s="40"/>
      <c r="O760" s="40"/>
      <c r="P760" s="40"/>
      <c r="Q760" s="44"/>
      <c r="R760" s="37"/>
      <c r="S760" s="37"/>
      <c r="T760" s="48"/>
      <c r="U760" s="30" t="e">
        <f>M760/W760</f>
        <v>#DIV/0!</v>
      </c>
      <c r="V760" s="41" t="e">
        <f t="shared" si="146"/>
        <v>#DIV/0!</v>
      </c>
      <c r="W760" s="41">
        <f t="shared" si="154"/>
        <v>0</v>
      </c>
      <c r="X760" s="41">
        <f t="shared" si="157"/>
        <v>0</v>
      </c>
      <c r="Y760" s="41">
        <v>0</v>
      </c>
      <c r="Z760" s="41" t="e">
        <f t="shared" si="147"/>
        <v>#DIV/0!</v>
      </c>
      <c r="AA760" s="41">
        <v>0</v>
      </c>
      <c r="AB760" s="41" t="e">
        <f t="shared" si="148"/>
        <v>#DIV/0!</v>
      </c>
      <c r="AC760" s="41">
        <f t="shared" si="156"/>
        <v>0</v>
      </c>
      <c r="AD760" s="41">
        <v>0</v>
      </c>
      <c r="AE760" s="41" t="e">
        <f t="shared" si="149"/>
        <v>#DIV/0!</v>
      </c>
      <c r="AF760" s="41">
        <v>0</v>
      </c>
      <c r="AG760" s="41" t="e">
        <f t="shared" si="150"/>
        <v>#DIV/0!</v>
      </c>
      <c r="AH760" s="41">
        <f t="shared" si="151"/>
        <v>0</v>
      </c>
      <c r="AI760" s="41">
        <v>0</v>
      </c>
      <c r="AJ760" s="41">
        <v>0</v>
      </c>
      <c r="AK760" s="41">
        <v>0</v>
      </c>
      <c r="AL760" s="41">
        <v>0</v>
      </c>
      <c r="AM760" s="41" t="e">
        <f t="shared" si="145"/>
        <v>#DIV/0!</v>
      </c>
      <c r="AN760" s="41" t="e">
        <f t="shared" si="152"/>
        <v>#DIV/0!</v>
      </c>
      <c r="AO760" s="41" t="e">
        <f t="shared" si="153"/>
        <v>#DIV/0!</v>
      </c>
      <c r="AP760" s="40"/>
      <c r="AQ760" s="36"/>
      <c r="AR760" s="36"/>
      <c r="AS760" s="36"/>
      <c r="AT760" s="36"/>
      <c r="AU760" s="36"/>
      <c r="AV760" s="38"/>
      <c r="AW760" s="40"/>
    </row>
    <row r="761" spans="1:49" s="34" customFormat="1" ht="15.75" customHeight="1" x14ac:dyDescent="0.3">
      <c r="A761" s="35"/>
      <c r="B761" s="36"/>
      <c r="C761" s="37"/>
      <c r="D761" s="39"/>
      <c r="E761" s="40"/>
      <c r="F761" s="36"/>
      <c r="G761" s="37"/>
      <c r="H761" s="40"/>
      <c r="I761" s="40"/>
      <c r="J761" s="41"/>
      <c r="K761" s="41">
        <v>0</v>
      </c>
      <c r="L761" s="30">
        <f t="shared" si="155"/>
        <v>0</v>
      </c>
      <c r="M761" s="30">
        <f t="shared" si="155"/>
        <v>0</v>
      </c>
      <c r="N761" s="40"/>
      <c r="O761" s="40"/>
      <c r="P761" s="40"/>
      <c r="Q761" s="44"/>
      <c r="R761" s="37"/>
      <c r="S761" s="37"/>
      <c r="T761" s="48"/>
      <c r="U761" s="30" t="e">
        <f>M761/W761</f>
        <v>#DIV/0!</v>
      </c>
      <c r="V761" s="41" t="e">
        <f t="shared" si="146"/>
        <v>#DIV/0!</v>
      </c>
      <c r="W761" s="41">
        <f t="shared" si="154"/>
        <v>0</v>
      </c>
      <c r="X761" s="41">
        <f t="shared" si="157"/>
        <v>0</v>
      </c>
      <c r="Y761" s="41">
        <v>0</v>
      </c>
      <c r="Z761" s="41" t="e">
        <f t="shared" si="147"/>
        <v>#DIV/0!</v>
      </c>
      <c r="AA761" s="41">
        <v>0</v>
      </c>
      <c r="AB761" s="41" t="e">
        <f t="shared" si="148"/>
        <v>#DIV/0!</v>
      </c>
      <c r="AC761" s="41">
        <f t="shared" si="156"/>
        <v>0</v>
      </c>
      <c r="AD761" s="41">
        <v>0</v>
      </c>
      <c r="AE761" s="41" t="e">
        <f t="shared" si="149"/>
        <v>#DIV/0!</v>
      </c>
      <c r="AF761" s="41">
        <v>0</v>
      </c>
      <c r="AG761" s="41" t="e">
        <f t="shared" si="150"/>
        <v>#DIV/0!</v>
      </c>
      <c r="AH761" s="41">
        <f t="shared" si="151"/>
        <v>0</v>
      </c>
      <c r="AI761" s="41">
        <v>0</v>
      </c>
      <c r="AJ761" s="41">
        <v>0</v>
      </c>
      <c r="AK761" s="41">
        <v>0</v>
      </c>
      <c r="AL761" s="41">
        <v>0</v>
      </c>
      <c r="AM761" s="41" t="e">
        <f t="shared" si="145"/>
        <v>#DIV/0!</v>
      </c>
      <c r="AN761" s="41" t="e">
        <f t="shared" si="152"/>
        <v>#DIV/0!</v>
      </c>
      <c r="AO761" s="41" t="e">
        <f t="shared" si="153"/>
        <v>#DIV/0!</v>
      </c>
      <c r="AP761" s="40"/>
      <c r="AQ761" s="36"/>
      <c r="AR761" s="36"/>
      <c r="AS761" s="36"/>
      <c r="AT761" s="36"/>
      <c r="AU761" s="36"/>
      <c r="AV761" s="38"/>
      <c r="AW761" s="40"/>
    </row>
    <row r="762" spans="1:49" s="34" customFormat="1" ht="15.75" customHeight="1" x14ac:dyDescent="0.3">
      <c r="A762" s="35"/>
      <c r="B762" s="36"/>
      <c r="C762" s="37"/>
      <c r="D762" s="39"/>
      <c r="E762" s="40"/>
      <c r="F762" s="36"/>
      <c r="G762" s="37"/>
      <c r="H762" s="40"/>
      <c r="I762" s="40"/>
      <c r="J762" s="41"/>
      <c r="K762" s="41">
        <v>0</v>
      </c>
      <c r="L762" s="30">
        <f t="shared" si="155"/>
        <v>0</v>
      </c>
      <c r="M762" s="30">
        <f t="shared" si="155"/>
        <v>0</v>
      </c>
      <c r="N762" s="40"/>
      <c r="O762" s="40"/>
      <c r="P762" s="40"/>
      <c r="Q762" s="44"/>
      <c r="R762" s="37"/>
      <c r="S762" s="37"/>
      <c r="T762" s="48"/>
      <c r="U762" s="30" t="e">
        <f>M762/W762</f>
        <v>#DIV/0!</v>
      </c>
      <c r="V762" s="41" t="e">
        <f t="shared" si="146"/>
        <v>#DIV/0!</v>
      </c>
      <c r="W762" s="41">
        <f t="shared" si="154"/>
        <v>0</v>
      </c>
      <c r="X762" s="41">
        <f t="shared" si="157"/>
        <v>0</v>
      </c>
      <c r="Y762" s="41">
        <v>0</v>
      </c>
      <c r="Z762" s="41" t="e">
        <f t="shared" si="147"/>
        <v>#DIV/0!</v>
      </c>
      <c r="AA762" s="41">
        <v>0</v>
      </c>
      <c r="AB762" s="41" t="e">
        <f t="shared" si="148"/>
        <v>#DIV/0!</v>
      </c>
      <c r="AC762" s="41">
        <f t="shared" si="156"/>
        <v>0</v>
      </c>
      <c r="AD762" s="41">
        <v>0</v>
      </c>
      <c r="AE762" s="41" t="e">
        <f t="shared" si="149"/>
        <v>#DIV/0!</v>
      </c>
      <c r="AF762" s="41">
        <v>0</v>
      </c>
      <c r="AG762" s="41" t="e">
        <f t="shared" si="150"/>
        <v>#DIV/0!</v>
      </c>
      <c r="AH762" s="41">
        <f t="shared" si="151"/>
        <v>0</v>
      </c>
      <c r="AI762" s="41">
        <v>0</v>
      </c>
      <c r="AJ762" s="41">
        <v>0</v>
      </c>
      <c r="AK762" s="41">
        <v>0</v>
      </c>
      <c r="AL762" s="41">
        <v>0</v>
      </c>
      <c r="AM762" s="41" t="e">
        <f t="shared" si="145"/>
        <v>#DIV/0!</v>
      </c>
      <c r="AN762" s="41" t="e">
        <f t="shared" si="152"/>
        <v>#DIV/0!</v>
      </c>
      <c r="AO762" s="41" t="e">
        <f t="shared" si="153"/>
        <v>#DIV/0!</v>
      </c>
      <c r="AP762" s="40"/>
      <c r="AQ762" s="36"/>
      <c r="AR762" s="36"/>
      <c r="AS762" s="36"/>
      <c r="AT762" s="36"/>
      <c r="AU762" s="36"/>
      <c r="AV762" s="38"/>
      <c r="AW762" s="40"/>
    </row>
    <row r="763" spans="1:49" s="34" customFormat="1" ht="15.75" customHeight="1" x14ac:dyDescent="0.3">
      <c r="A763" s="35"/>
      <c r="B763" s="36"/>
      <c r="C763" s="37"/>
      <c r="D763" s="39"/>
      <c r="E763" s="40"/>
      <c r="F763" s="36"/>
      <c r="G763" s="37"/>
      <c r="H763" s="40"/>
      <c r="I763" s="40"/>
      <c r="J763" s="41"/>
      <c r="K763" s="41">
        <v>0</v>
      </c>
      <c r="L763" s="30">
        <f t="shared" si="155"/>
        <v>0</v>
      </c>
      <c r="M763" s="30">
        <f t="shared" si="155"/>
        <v>0</v>
      </c>
      <c r="N763" s="40"/>
      <c r="O763" s="40"/>
      <c r="P763" s="40"/>
      <c r="Q763" s="44"/>
      <c r="R763" s="37"/>
      <c r="S763" s="37"/>
      <c r="T763" s="48"/>
      <c r="U763" s="30" t="e">
        <f>M763/W763</f>
        <v>#DIV/0!</v>
      </c>
      <c r="V763" s="41" t="e">
        <f t="shared" si="146"/>
        <v>#DIV/0!</v>
      </c>
      <c r="W763" s="41">
        <f t="shared" si="154"/>
        <v>0</v>
      </c>
      <c r="X763" s="41">
        <f t="shared" si="157"/>
        <v>0</v>
      </c>
      <c r="Y763" s="41">
        <v>0</v>
      </c>
      <c r="Z763" s="41" t="e">
        <f t="shared" si="147"/>
        <v>#DIV/0!</v>
      </c>
      <c r="AA763" s="41">
        <v>0</v>
      </c>
      <c r="AB763" s="41" t="e">
        <f t="shared" si="148"/>
        <v>#DIV/0!</v>
      </c>
      <c r="AC763" s="41">
        <f t="shared" si="156"/>
        <v>0</v>
      </c>
      <c r="AD763" s="41">
        <v>0</v>
      </c>
      <c r="AE763" s="41" t="e">
        <f t="shared" si="149"/>
        <v>#DIV/0!</v>
      </c>
      <c r="AF763" s="41">
        <v>0</v>
      </c>
      <c r="AG763" s="41" t="e">
        <f t="shared" si="150"/>
        <v>#DIV/0!</v>
      </c>
      <c r="AH763" s="41">
        <f t="shared" si="151"/>
        <v>0</v>
      </c>
      <c r="AI763" s="41">
        <v>0</v>
      </c>
      <c r="AJ763" s="41">
        <v>0</v>
      </c>
      <c r="AK763" s="41">
        <v>0</v>
      </c>
      <c r="AL763" s="41">
        <v>0</v>
      </c>
      <c r="AM763" s="41" t="e">
        <f t="shared" ref="AM763:AM826" si="158">Z763+AE763+AJ763</f>
        <v>#DIV/0!</v>
      </c>
      <c r="AN763" s="41" t="e">
        <f t="shared" si="152"/>
        <v>#DIV/0!</v>
      </c>
      <c r="AO763" s="41" t="e">
        <f t="shared" si="153"/>
        <v>#DIV/0!</v>
      </c>
      <c r="AP763" s="40"/>
      <c r="AQ763" s="36"/>
      <c r="AR763" s="36"/>
      <c r="AS763" s="36"/>
      <c r="AT763" s="36"/>
      <c r="AU763" s="36"/>
      <c r="AV763" s="38"/>
      <c r="AW763" s="40"/>
    </row>
    <row r="764" spans="1:49" s="34" customFormat="1" ht="15.75" customHeight="1" x14ac:dyDescent="0.3">
      <c r="A764" s="35"/>
      <c r="B764" s="36"/>
      <c r="C764" s="37"/>
      <c r="D764" s="39"/>
      <c r="E764" s="40"/>
      <c r="F764" s="36"/>
      <c r="G764" s="37"/>
      <c r="H764" s="40"/>
      <c r="I764" s="40"/>
      <c r="J764" s="41"/>
      <c r="K764" s="41">
        <v>0</v>
      </c>
      <c r="L764" s="30">
        <f t="shared" si="155"/>
        <v>0</v>
      </c>
      <c r="M764" s="30">
        <f t="shared" si="155"/>
        <v>0</v>
      </c>
      <c r="N764" s="40"/>
      <c r="O764" s="40"/>
      <c r="P764" s="40"/>
      <c r="Q764" s="44"/>
      <c r="R764" s="37"/>
      <c r="S764" s="37"/>
      <c r="T764" s="48"/>
      <c r="U764" s="30" t="e">
        <f>M764/W764</f>
        <v>#DIV/0!</v>
      </c>
      <c r="V764" s="41" t="e">
        <f t="shared" ref="V764:V827" si="159">U764*T764</f>
        <v>#DIV/0!</v>
      </c>
      <c r="W764" s="41">
        <f t="shared" si="154"/>
        <v>0</v>
      </c>
      <c r="X764" s="41">
        <f t="shared" si="157"/>
        <v>0</v>
      </c>
      <c r="Y764" s="41">
        <v>0</v>
      </c>
      <c r="Z764" s="41" t="e">
        <f t="shared" si="147"/>
        <v>#DIV/0!</v>
      </c>
      <c r="AA764" s="41">
        <v>0</v>
      </c>
      <c r="AB764" s="41" t="e">
        <f t="shared" si="148"/>
        <v>#DIV/0!</v>
      </c>
      <c r="AC764" s="41">
        <f t="shared" si="156"/>
        <v>0</v>
      </c>
      <c r="AD764" s="41">
        <v>0</v>
      </c>
      <c r="AE764" s="41" t="e">
        <f t="shared" si="149"/>
        <v>#DIV/0!</v>
      </c>
      <c r="AF764" s="41">
        <v>0</v>
      </c>
      <c r="AG764" s="41" t="e">
        <f t="shared" si="150"/>
        <v>#DIV/0!</v>
      </c>
      <c r="AH764" s="41">
        <f t="shared" si="151"/>
        <v>0</v>
      </c>
      <c r="AI764" s="41">
        <v>0</v>
      </c>
      <c r="AJ764" s="41">
        <v>0</v>
      </c>
      <c r="AK764" s="41">
        <v>0</v>
      </c>
      <c r="AL764" s="41">
        <v>0</v>
      </c>
      <c r="AM764" s="41" t="e">
        <f t="shared" si="158"/>
        <v>#DIV/0!</v>
      </c>
      <c r="AN764" s="41" t="e">
        <f t="shared" si="152"/>
        <v>#DIV/0!</v>
      </c>
      <c r="AO764" s="41" t="e">
        <f t="shared" si="153"/>
        <v>#DIV/0!</v>
      </c>
      <c r="AP764" s="40"/>
      <c r="AQ764" s="36"/>
      <c r="AR764" s="36"/>
      <c r="AS764" s="36"/>
      <c r="AT764" s="36"/>
      <c r="AU764" s="36"/>
      <c r="AV764" s="38"/>
      <c r="AW764" s="40"/>
    </row>
    <row r="765" spans="1:49" s="34" customFormat="1" ht="15.75" customHeight="1" x14ac:dyDescent="0.3">
      <c r="A765" s="35"/>
      <c r="B765" s="36"/>
      <c r="C765" s="37"/>
      <c r="D765" s="39"/>
      <c r="E765" s="40"/>
      <c r="F765" s="36"/>
      <c r="G765" s="37"/>
      <c r="H765" s="40"/>
      <c r="I765" s="40"/>
      <c r="J765" s="41"/>
      <c r="K765" s="41">
        <v>0</v>
      </c>
      <c r="L765" s="30">
        <f t="shared" si="155"/>
        <v>0</v>
      </c>
      <c r="M765" s="30">
        <f t="shared" si="155"/>
        <v>0</v>
      </c>
      <c r="N765" s="40"/>
      <c r="O765" s="40"/>
      <c r="P765" s="40"/>
      <c r="Q765" s="44"/>
      <c r="R765" s="37"/>
      <c r="S765" s="37"/>
      <c r="T765" s="48"/>
      <c r="U765" s="30" t="e">
        <f>M765/W765</f>
        <v>#DIV/0!</v>
      </c>
      <c r="V765" s="41" t="e">
        <f t="shared" si="159"/>
        <v>#DIV/0!</v>
      </c>
      <c r="W765" s="41">
        <f t="shared" si="154"/>
        <v>0</v>
      </c>
      <c r="X765" s="41">
        <f t="shared" si="157"/>
        <v>0</v>
      </c>
      <c r="Y765" s="41">
        <v>0</v>
      </c>
      <c r="Z765" s="41" t="e">
        <f t="shared" si="147"/>
        <v>#DIV/0!</v>
      </c>
      <c r="AA765" s="41">
        <v>0</v>
      </c>
      <c r="AB765" s="41" t="e">
        <f t="shared" si="148"/>
        <v>#DIV/0!</v>
      </c>
      <c r="AC765" s="41">
        <f t="shared" si="156"/>
        <v>0</v>
      </c>
      <c r="AD765" s="41">
        <v>0</v>
      </c>
      <c r="AE765" s="41" t="e">
        <f t="shared" si="149"/>
        <v>#DIV/0!</v>
      </c>
      <c r="AF765" s="41">
        <v>0</v>
      </c>
      <c r="AG765" s="41" t="e">
        <f t="shared" si="150"/>
        <v>#DIV/0!</v>
      </c>
      <c r="AH765" s="41">
        <f t="shared" si="151"/>
        <v>0</v>
      </c>
      <c r="AI765" s="41">
        <v>0</v>
      </c>
      <c r="AJ765" s="41">
        <v>0</v>
      </c>
      <c r="AK765" s="41">
        <v>0</v>
      </c>
      <c r="AL765" s="41">
        <v>0</v>
      </c>
      <c r="AM765" s="41" t="e">
        <f t="shared" si="158"/>
        <v>#DIV/0!</v>
      </c>
      <c r="AN765" s="41" t="e">
        <f t="shared" si="152"/>
        <v>#DIV/0!</v>
      </c>
      <c r="AO765" s="41" t="e">
        <f t="shared" si="153"/>
        <v>#DIV/0!</v>
      </c>
      <c r="AP765" s="40"/>
      <c r="AQ765" s="36"/>
      <c r="AR765" s="36"/>
      <c r="AS765" s="36"/>
      <c r="AT765" s="36"/>
      <c r="AU765" s="36"/>
      <c r="AV765" s="38"/>
      <c r="AW765" s="40"/>
    </row>
    <row r="766" spans="1:49" s="34" customFormat="1" ht="15.75" customHeight="1" x14ac:dyDescent="0.3">
      <c r="A766" s="35"/>
      <c r="B766" s="36"/>
      <c r="C766" s="37"/>
      <c r="D766" s="39"/>
      <c r="E766" s="40"/>
      <c r="F766" s="36"/>
      <c r="G766" s="37"/>
      <c r="H766" s="40"/>
      <c r="I766" s="40"/>
      <c r="J766" s="41"/>
      <c r="K766" s="41">
        <v>0</v>
      </c>
      <c r="L766" s="30">
        <f t="shared" si="155"/>
        <v>0</v>
      </c>
      <c r="M766" s="30">
        <f t="shared" si="155"/>
        <v>0</v>
      </c>
      <c r="N766" s="40"/>
      <c r="O766" s="40"/>
      <c r="P766" s="40"/>
      <c r="Q766" s="44"/>
      <c r="R766" s="37"/>
      <c r="S766" s="37"/>
      <c r="T766" s="48"/>
      <c r="U766" s="30" t="e">
        <f>M766/W766</f>
        <v>#DIV/0!</v>
      </c>
      <c r="V766" s="41" t="e">
        <f t="shared" si="159"/>
        <v>#DIV/0!</v>
      </c>
      <c r="W766" s="41">
        <f t="shared" si="154"/>
        <v>0</v>
      </c>
      <c r="X766" s="41">
        <f t="shared" si="157"/>
        <v>0</v>
      </c>
      <c r="Y766" s="41">
        <v>0</v>
      </c>
      <c r="Z766" s="41" t="e">
        <f t="shared" si="147"/>
        <v>#DIV/0!</v>
      </c>
      <c r="AA766" s="41">
        <v>0</v>
      </c>
      <c r="AB766" s="41" t="e">
        <f t="shared" si="148"/>
        <v>#DIV/0!</v>
      </c>
      <c r="AC766" s="41">
        <f t="shared" si="156"/>
        <v>0</v>
      </c>
      <c r="AD766" s="41">
        <v>0</v>
      </c>
      <c r="AE766" s="41" t="e">
        <f t="shared" si="149"/>
        <v>#DIV/0!</v>
      </c>
      <c r="AF766" s="41">
        <v>0</v>
      </c>
      <c r="AG766" s="41" t="e">
        <f t="shared" si="150"/>
        <v>#DIV/0!</v>
      </c>
      <c r="AH766" s="41">
        <f t="shared" si="151"/>
        <v>0</v>
      </c>
      <c r="AI766" s="41">
        <v>0</v>
      </c>
      <c r="AJ766" s="41">
        <v>0</v>
      </c>
      <c r="AK766" s="41">
        <v>0</v>
      </c>
      <c r="AL766" s="41">
        <v>0</v>
      </c>
      <c r="AM766" s="41" t="e">
        <f t="shared" si="158"/>
        <v>#DIV/0!</v>
      </c>
      <c r="AN766" s="41" t="e">
        <f t="shared" si="152"/>
        <v>#DIV/0!</v>
      </c>
      <c r="AO766" s="41" t="e">
        <f t="shared" si="153"/>
        <v>#DIV/0!</v>
      </c>
      <c r="AP766" s="40"/>
      <c r="AQ766" s="36"/>
      <c r="AR766" s="36"/>
      <c r="AS766" s="36"/>
      <c r="AT766" s="36"/>
      <c r="AU766" s="36"/>
      <c r="AV766" s="38"/>
      <c r="AW766" s="40"/>
    </row>
    <row r="767" spans="1:49" s="34" customFormat="1" ht="15.75" customHeight="1" x14ac:dyDescent="0.3">
      <c r="A767" s="35"/>
      <c r="B767" s="36"/>
      <c r="C767" s="37"/>
      <c r="D767" s="39"/>
      <c r="E767" s="40"/>
      <c r="F767" s="36"/>
      <c r="G767" s="37"/>
      <c r="H767" s="40"/>
      <c r="I767" s="40"/>
      <c r="J767" s="41"/>
      <c r="K767" s="41">
        <v>0</v>
      </c>
      <c r="L767" s="30">
        <f t="shared" si="155"/>
        <v>0</v>
      </c>
      <c r="M767" s="30">
        <f t="shared" si="155"/>
        <v>0</v>
      </c>
      <c r="N767" s="40"/>
      <c r="O767" s="40"/>
      <c r="P767" s="40"/>
      <c r="Q767" s="44"/>
      <c r="R767" s="37"/>
      <c r="S767" s="37"/>
      <c r="T767" s="48"/>
      <c r="U767" s="30" t="e">
        <f>M767/W767</f>
        <v>#DIV/0!</v>
      </c>
      <c r="V767" s="41" t="e">
        <f t="shared" si="159"/>
        <v>#DIV/0!</v>
      </c>
      <c r="W767" s="41">
        <f t="shared" si="154"/>
        <v>0</v>
      </c>
      <c r="X767" s="41">
        <f t="shared" si="157"/>
        <v>0</v>
      </c>
      <c r="Y767" s="41">
        <v>0</v>
      </c>
      <c r="Z767" s="41" t="e">
        <f t="shared" si="147"/>
        <v>#DIV/0!</v>
      </c>
      <c r="AA767" s="41">
        <v>0</v>
      </c>
      <c r="AB767" s="41" t="e">
        <f t="shared" si="148"/>
        <v>#DIV/0!</v>
      </c>
      <c r="AC767" s="41">
        <f t="shared" si="156"/>
        <v>0</v>
      </c>
      <c r="AD767" s="41">
        <v>0</v>
      </c>
      <c r="AE767" s="41" t="e">
        <f t="shared" si="149"/>
        <v>#DIV/0!</v>
      </c>
      <c r="AF767" s="41">
        <v>0</v>
      </c>
      <c r="AG767" s="41" t="e">
        <f t="shared" si="150"/>
        <v>#DIV/0!</v>
      </c>
      <c r="AH767" s="41">
        <f t="shared" si="151"/>
        <v>0</v>
      </c>
      <c r="AI767" s="41">
        <v>0</v>
      </c>
      <c r="AJ767" s="41">
        <v>0</v>
      </c>
      <c r="AK767" s="41">
        <v>0</v>
      </c>
      <c r="AL767" s="41">
        <v>0</v>
      </c>
      <c r="AM767" s="41" t="e">
        <f t="shared" si="158"/>
        <v>#DIV/0!</v>
      </c>
      <c r="AN767" s="41" t="e">
        <f t="shared" si="152"/>
        <v>#DIV/0!</v>
      </c>
      <c r="AO767" s="41" t="e">
        <f t="shared" si="153"/>
        <v>#DIV/0!</v>
      </c>
      <c r="AP767" s="40"/>
      <c r="AQ767" s="36"/>
      <c r="AR767" s="36"/>
      <c r="AS767" s="36"/>
      <c r="AT767" s="36"/>
      <c r="AU767" s="36"/>
      <c r="AV767" s="38"/>
      <c r="AW767" s="40"/>
    </row>
    <row r="768" spans="1:49" s="34" customFormat="1" ht="15.75" customHeight="1" x14ac:dyDescent="0.3">
      <c r="A768" s="35"/>
      <c r="B768" s="36"/>
      <c r="C768" s="37"/>
      <c r="D768" s="39"/>
      <c r="E768" s="40"/>
      <c r="F768" s="36"/>
      <c r="G768" s="37"/>
      <c r="H768" s="40"/>
      <c r="I768" s="40"/>
      <c r="J768" s="41"/>
      <c r="K768" s="41">
        <v>0</v>
      </c>
      <c r="L768" s="30">
        <f t="shared" si="155"/>
        <v>0</v>
      </c>
      <c r="M768" s="30">
        <f t="shared" si="155"/>
        <v>0</v>
      </c>
      <c r="N768" s="40"/>
      <c r="O768" s="40"/>
      <c r="P768" s="40"/>
      <c r="Q768" s="44"/>
      <c r="R768" s="37"/>
      <c r="S768" s="37"/>
      <c r="T768" s="48"/>
      <c r="U768" s="30" t="e">
        <f>M768/W768</f>
        <v>#DIV/0!</v>
      </c>
      <c r="V768" s="41" t="e">
        <f t="shared" si="159"/>
        <v>#DIV/0!</v>
      </c>
      <c r="W768" s="41">
        <f t="shared" si="154"/>
        <v>0</v>
      </c>
      <c r="X768" s="41">
        <f t="shared" si="157"/>
        <v>0</v>
      </c>
      <c r="Y768" s="41">
        <v>0</v>
      </c>
      <c r="Z768" s="41" t="e">
        <f t="shared" si="147"/>
        <v>#DIV/0!</v>
      </c>
      <c r="AA768" s="41">
        <v>0</v>
      </c>
      <c r="AB768" s="41" t="e">
        <f t="shared" si="148"/>
        <v>#DIV/0!</v>
      </c>
      <c r="AC768" s="41">
        <f t="shared" si="156"/>
        <v>0</v>
      </c>
      <c r="AD768" s="41">
        <v>0</v>
      </c>
      <c r="AE768" s="41" t="e">
        <f t="shared" si="149"/>
        <v>#DIV/0!</v>
      </c>
      <c r="AF768" s="41">
        <v>0</v>
      </c>
      <c r="AG768" s="41" t="e">
        <f t="shared" si="150"/>
        <v>#DIV/0!</v>
      </c>
      <c r="AH768" s="41">
        <f t="shared" si="151"/>
        <v>0</v>
      </c>
      <c r="AI768" s="41">
        <v>0</v>
      </c>
      <c r="AJ768" s="41">
        <v>0</v>
      </c>
      <c r="AK768" s="41">
        <v>0</v>
      </c>
      <c r="AL768" s="41">
        <v>0</v>
      </c>
      <c r="AM768" s="41" t="e">
        <f t="shared" si="158"/>
        <v>#DIV/0!</v>
      </c>
      <c r="AN768" s="41" t="e">
        <f t="shared" si="152"/>
        <v>#DIV/0!</v>
      </c>
      <c r="AO768" s="41" t="e">
        <f t="shared" si="153"/>
        <v>#DIV/0!</v>
      </c>
      <c r="AP768" s="40"/>
      <c r="AQ768" s="36"/>
      <c r="AR768" s="36"/>
      <c r="AS768" s="36"/>
      <c r="AT768" s="36"/>
      <c r="AU768" s="36"/>
      <c r="AV768" s="38"/>
      <c r="AW768" s="40"/>
    </row>
    <row r="769" spans="1:49" s="34" customFormat="1" ht="15.75" customHeight="1" x14ac:dyDescent="0.3">
      <c r="A769" s="35"/>
      <c r="B769" s="36"/>
      <c r="C769" s="37"/>
      <c r="D769" s="39"/>
      <c r="E769" s="40"/>
      <c r="F769" s="36"/>
      <c r="G769" s="37"/>
      <c r="H769" s="40"/>
      <c r="I769" s="40"/>
      <c r="J769" s="41"/>
      <c r="K769" s="41">
        <v>0</v>
      </c>
      <c r="L769" s="30">
        <f t="shared" si="155"/>
        <v>0</v>
      </c>
      <c r="M769" s="30">
        <f t="shared" si="155"/>
        <v>0</v>
      </c>
      <c r="N769" s="40"/>
      <c r="O769" s="40"/>
      <c r="P769" s="40"/>
      <c r="Q769" s="44"/>
      <c r="R769" s="37"/>
      <c r="S769" s="37"/>
      <c r="T769" s="48"/>
      <c r="U769" s="30" t="e">
        <f>M769/W769</f>
        <v>#DIV/0!</v>
      </c>
      <c r="V769" s="41" t="e">
        <f t="shared" si="159"/>
        <v>#DIV/0!</v>
      </c>
      <c r="W769" s="41">
        <f t="shared" si="154"/>
        <v>0</v>
      </c>
      <c r="X769" s="41">
        <f t="shared" si="157"/>
        <v>0</v>
      </c>
      <c r="Y769" s="41">
        <v>0</v>
      </c>
      <c r="Z769" s="41" t="e">
        <f t="shared" ref="Z769:Z832" si="160">Y769*U769</f>
        <v>#DIV/0!</v>
      </c>
      <c r="AA769" s="41">
        <v>0</v>
      </c>
      <c r="AB769" s="41" t="e">
        <f t="shared" ref="AB769:AB832" si="161">AA769*U769</f>
        <v>#DIV/0!</v>
      </c>
      <c r="AC769" s="41">
        <f t="shared" si="156"/>
        <v>0</v>
      </c>
      <c r="AD769" s="41">
        <v>0</v>
      </c>
      <c r="AE769" s="41" t="e">
        <f t="shared" ref="AE769:AE832" si="162">AD769*U769</f>
        <v>#DIV/0!</v>
      </c>
      <c r="AF769" s="41">
        <v>0</v>
      </c>
      <c r="AG769" s="41" t="e">
        <f t="shared" ref="AG769:AG832" si="163">AF769*U769</f>
        <v>#DIV/0!</v>
      </c>
      <c r="AH769" s="41">
        <f t="shared" ref="AH769:AH832" si="164">AI769+AK769</f>
        <v>0</v>
      </c>
      <c r="AI769" s="41">
        <v>0</v>
      </c>
      <c r="AJ769" s="41">
        <v>0</v>
      </c>
      <c r="AK769" s="41">
        <v>0</v>
      </c>
      <c r="AL769" s="41">
        <v>0</v>
      </c>
      <c r="AM769" s="41" t="e">
        <f t="shared" si="158"/>
        <v>#DIV/0!</v>
      </c>
      <c r="AN769" s="41" t="e">
        <f t="shared" ref="AN769:AN832" si="165">W769/T769</f>
        <v>#DIV/0!</v>
      </c>
      <c r="AO769" s="41" t="e">
        <f t="shared" ref="AO769:AO832" si="166">_xlfn.CEILING.MATH(AN769)</f>
        <v>#DIV/0!</v>
      </c>
      <c r="AP769" s="40"/>
      <c r="AQ769" s="36"/>
      <c r="AR769" s="36"/>
      <c r="AS769" s="36"/>
      <c r="AT769" s="36"/>
      <c r="AU769" s="36"/>
      <c r="AV769" s="38"/>
      <c r="AW769" s="40"/>
    </row>
    <row r="770" spans="1:49" s="34" customFormat="1" ht="15.75" customHeight="1" x14ac:dyDescent="0.3">
      <c r="A770" s="35"/>
      <c r="B770" s="36"/>
      <c r="C770" s="37"/>
      <c r="D770" s="39"/>
      <c r="E770" s="40"/>
      <c r="F770" s="36"/>
      <c r="G770" s="37"/>
      <c r="H770" s="40"/>
      <c r="I770" s="40"/>
      <c r="J770" s="41"/>
      <c r="K770" s="41">
        <v>0</v>
      </c>
      <c r="L770" s="30">
        <f t="shared" si="155"/>
        <v>0</v>
      </c>
      <c r="M770" s="30">
        <f t="shared" si="155"/>
        <v>0</v>
      </c>
      <c r="N770" s="40"/>
      <c r="O770" s="40"/>
      <c r="P770" s="40"/>
      <c r="Q770" s="44"/>
      <c r="R770" s="37"/>
      <c r="S770" s="37"/>
      <c r="T770" s="48"/>
      <c r="U770" s="30" t="e">
        <f>M770/W770</f>
        <v>#DIV/0!</v>
      </c>
      <c r="V770" s="41" t="e">
        <f t="shared" si="159"/>
        <v>#DIV/0!</v>
      </c>
      <c r="W770" s="41">
        <f t="shared" si="154"/>
        <v>0</v>
      </c>
      <c r="X770" s="41">
        <f t="shared" si="157"/>
        <v>0</v>
      </c>
      <c r="Y770" s="41">
        <v>0</v>
      </c>
      <c r="Z770" s="41" t="e">
        <f t="shared" si="160"/>
        <v>#DIV/0!</v>
      </c>
      <c r="AA770" s="41">
        <v>0</v>
      </c>
      <c r="AB770" s="41" t="e">
        <f t="shared" si="161"/>
        <v>#DIV/0!</v>
      </c>
      <c r="AC770" s="41">
        <f t="shared" si="156"/>
        <v>0</v>
      </c>
      <c r="AD770" s="41">
        <v>0</v>
      </c>
      <c r="AE770" s="41" t="e">
        <f t="shared" si="162"/>
        <v>#DIV/0!</v>
      </c>
      <c r="AF770" s="41">
        <v>0</v>
      </c>
      <c r="AG770" s="41" t="e">
        <f t="shared" si="163"/>
        <v>#DIV/0!</v>
      </c>
      <c r="AH770" s="41">
        <f t="shared" si="164"/>
        <v>0</v>
      </c>
      <c r="AI770" s="41">
        <v>0</v>
      </c>
      <c r="AJ770" s="41">
        <v>0</v>
      </c>
      <c r="AK770" s="41">
        <v>0</v>
      </c>
      <c r="AL770" s="41">
        <v>0</v>
      </c>
      <c r="AM770" s="41" t="e">
        <f t="shared" si="158"/>
        <v>#DIV/0!</v>
      </c>
      <c r="AN770" s="41" t="e">
        <f t="shared" si="165"/>
        <v>#DIV/0!</v>
      </c>
      <c r="AO770" s="41" t="e">
        <f t="shared" si="166"/>
        <v>#DIV/0!</v>
      </c>
      <c r="AP770" s="40"/>
      <c r="AQ770" s="36"/>
      <c r="AR770" s="36"/>
      <c r="AS770" s="36"/>
      <c r="AT770" s="36"/>
      <c r="AU770" s="36"/>
      <c r="AV770" s="38"/>
      <c r="AW770" s="40"/>
    </row>
    <row r="771" spans="1:49" s="34" customFormat="1" ht="15.75" customHeight="1" x14ac:dyDescent="0.3">
      <c r="A771" s="35"/>
      <c r="B771" s="36"/>
      <c r="C771" s="37"/>
      <c r="D771" s="39"/>
      <c r="E771" s="40"/>
      <c r="F771" s="36"/>
      <c r="G771" s="37"/>
      <c r="H771" s="40"/>
      <c r="I771" s="40"/>
      <c r="J771" s="41"/>
      <c r="K771" s="41">
        <v>0</v>
      </c>
      <c r="L771" s="30">
        <f t="shared" si="155"/>
        <v>0</v>
      </c>
      <c r="M771" s="30">
        <f t="shared" si="155"/>
        <v>0</v>
      </c>
      <c r="N771" s="40"/>
      <c r="O771" s="40"/>
      <c r="P771" s="40"/>
      <c r="Q771" s="44"/>
      <c r="R771" s="37"/>
      <c r="S771" s="37"/>
      <c r="T771" s="48"/>
      <c r="U771" s="30" t="e">
        <f>M771/W771</f>
        <v>#DIV/0!</v>
      </c>
      <c r="V771" s="41" t="e">
        <f t="shared" si="159"/>
        <v>#DIV/0!</v>
      </c>
      <c r="W771" s="41">
        <f t="shared" si="154"/>
        <v>0</v>
      </c>
      <c r="X771" s="41">
        <f t="shared" si="157"/>
        <v>0</v>
      </c>
      <c r="Y771" s="41">
        <v>0</v>
      </c>
      <c r="Z771" s="41" t="e">
        <f t="shared" si="160"/>
        <v>#DIV/0!</v>
      </c>
      <c r="AA771" s="41">
        <v>0</v>
      </c>
      <c r="AB771" s="41" t="e">
        <f t="shared" si="161"/>
        <v>#DIV/0!</v>
      </c>
      <c r="AC771" s="41">
        <f t="shared" si="156"/>
        <v>0</v>
      </c>
      <c r="AD771" s="41">
        <v>0</v>
      </c>
      <c r="AE771" s="41" t="e">
        <f t="shared" si="162"/>
        <v>#DIV/0!</v>
      </c>
      <c r="AF771" s="41">
        <v>0</v>
      </c>
      <c r="AG771" s="41" t="e">
        <f t="shared" si="163"/>
        <v>#DIV/0!</v>
      </c>
      <c r="AH771" s="41">
        <f t="shared" si="164"/>
        <v>0</v>
      </c>
      <c r="AI771" s="41">
        <v>0</v>
      </c>
      <c r="AJ771" s="41">
        <v>0</v>
      </c>
      <c r="AK771" s="41">
        <v>0</v>
      </c>
      <c r="AL771" s="41">
        <v>0</v>
      </c>
      <c r="AM771" s="41" t="e">
        <f t="shared" si="158"/>
        <v>#DIV/0!</v>
      </c>
      <c r="AN771" s="41" t="e">
        <f t="shared" si="165"/>
        <v>#DIV/0!</v>
      </c>
      <c r="AO771" s="41" t="e">
        <f t="shared" si="166"/>
        <v>#DIV/0!</v>
      </c>
      <c r="AP771" s="40"/>
      <c r="AQ771" s="36"/>
      <c r="AR771" s="36"/>
      <c r="AS771" s="36"/>
      <c r="AT771" s="36"/>
      <c r="AU771" s="36"/>
      <c r="AV771" s="38"/>
      <c r="AW771" s="40"/>
    </row>
    <row r="772" spans="1:49" s="34" customFormat="1" ht="15.75" customHeight="1" x14ac:dyDescent="0.3">
      <c r="A772" s="35"/>
      <c r="B772" s="36"/>
      <c r="C772" s="37"/>
      <c r="D772" s="39"/>
      <c r="E772" s="40"/>
      <c r="F772" s="36"/>
      <c r="G772" s="37"/>
      <c r="H772" s="40"/>
      <c r="I772" s="40"/>
      <c r="J772" s="41"/>
      <c r="K772" s="41">
        <v>0</v>
      </c>
      <c r="L772" s="30">
        <f t="shared" si="155"/>
        <v>0</v>
      </c>
      <c r="M772" s="30">
        <f t="shared" si="155"/>
        <v>0</v>
      </c>
      <c r="N772" s="40"/>
      <c r="O772" s="40"/>
      <c r="P772" s="40"/>
      <c r="Q772" s="44"/>
      <c r="R772" s="37"/>
      <c r="S772" s="37"/>
      <c r="T772" s="48"/>
      <c r="U772" s="30" t="e">
        <f>M772/W772</f>
        <v>#DIV/0!</v>
      </c>
      <c r="V772" s="41" t="e">
        <f t="shared" si="159"/>
        <v>#DIV/0!</v>
      </c>
      <c r="W772" s="41">
        <f t="shared" si="154"/>
        <v>0</v>
      </c>
      <c r="X772" s="41">
        <f t="shared" si="157"/>
        <v>0</v>
      </c>
      <c r="Y772" s="41">
        <v>0</v>
      </c>
      <c r="Z772" s="41" t="e">
        <f t="shared" si="160"/>
        <v>#DIV/0!</v>
      </c>
      <c r="AA772" s="41">
        <v>0</v>
      </c>
      <c r="AB772" s="41" t="e">
        <f t="shared" si="161"/>
        <v>#DIV/0!</v>
      </c>
      <c r="AC772" s="41">
        <f t="shared" si="156"/>
        <v>0</v>
      </c>
      <c r="AD772" s="41">
        <v>0</v>
      </c>
      <c r="AE772" s="41" t="e">
        <f t="shared" si="162"/>
        <v>#DIV/0!</v>
      </c>
      <c r="AF772" s="41">
        <v>0</v>
      </c>
      <c r="AG772" s="41" t="e">
        <f t="shared" si="163"/>
        <v>#DIV/0!</v>
      </c>
      <c r="AH772" s="41">
        <f t="shared" si="164"/>
        <v>0</v>
      </c>
      <c r="AI772" s="41">
        <v>0</v>
      </c>
      <c r="AJ772" s="41">
        <v>0</v>
      </c>
      <c r="AK772" s="41">
        <v>0</v>
      </c>
      <c r="AL772" s="41">
        <v>0</v>
      </c>
      <c r="AM772" s="41" t="e">
        <f t="shared" si="158"/>
        <v>#DIV/0!</v>
      </c>
      <c r="AN772" s="41" t="e">
        <f t="shared" si="165"/>
        <v>#DIV/0!</v>
      </c>
      <c r="AO772" s="41" t="e">
        <f t="shared" si="166"/>
        <v>#DIV/0!</v>
      </c>
      <c r="AP772" s="40"/>
      <c r="AQ772" s="36"/>
      <c r="AR772" s="36"/>
      <c r="AS772" s="36"/>
      <c r="AT772" s="36"/>
      <c r="AU772" s="36"/>
      <c r="AV772" s="38"/>
      <c r="AW772" s="40"/>
    </row>
    <row r="773" spans="1:49" s="34" customFormat="1" ht="15.75" customHeight="1" x14ac:dyDescent="0.3">
      <c r="A773" s="35"/>
      <c r="B773" s="36"/>
      <c r="C773" s="37"/>
      <c r="D773" s="39"/>
      <c r="E773" s="40"/>
      <c r="F773" s="36"/>
      <c r="G773" s="37"/>
      <c r="H773" s="40"/>
      <c r="I773" s="40"/>
      <c r="J773" s="41"/>
      <c r="K773" s="41">
        <v>0</v>
      </c>
      <c r="L773" s="30">
        <f t="shared" si="155"/>
        <v>0</v>
      </c>
      <c r="M773" s="30">
        <f t="shared" si="155"/>
        <v>0</v>
      </c>
      <c r="N773" s="40"/>
      <c r="O773" s="40"/>
      <c r="P773" s="40"/>
      <c r="Q773" s="44"/>
      <c r="R773" s="37"/>
      <c r="S773" s="37"/>
      <c r="T773" s="48"/>
      <c r="U773" s="30" t="e">
        <f>M773/W773</f>
        <v>#DIV/0!</v>
      </c>
      <c r="V773" s="41" t="e">
        <f t="shared" si="159"/>
        <v>#DIV/0!</v>
      </c>
      <c r="W773" s="41">
        <f t="shared" si="154"/>
        <v>0</v>
      </c>
      <c r="X773" s="41">
        <f t="shared" si="157"/>
        <v>0</v>
      </c>
      <c r="Y773" s="41">
        <v>0</v>
      </c>
      <c r="Z773" s="41" t="e">
        <f t="shared" si="160"/>
        <v>#DIV/0!</v>
      </c>
      <c r="AA773" s="41">
        <v>0</v>
      </c>
      <c r="AB773" s="41" t="e">
        <f t="shared" si="161"/>
        <v>#DIV/0!</v>
      </c>
      <c r="AC773" s="41">
        <f t="shared" si="156"/>
        <v>0</v>
      </c>
      <c r="AD773" s="41">
        <v>0</v>
      </c>
      <c r="AE773" s="41" t="e">
        <f t="shared" si="162"/>
        <v>#DIV/0!</v>
      </c>
      <c r="AF773" s="41">
        <v>0</v>
      </c>
      <c r="AG773" s="41" t="e">
        <f t="shared" si="163"/>
        <v>#DIV/0!</v>
      </c>
      <c r="AH773" s="41">
        <f t="shared" si="164"/>
        <v>0</v>
      </c>
      <c r="AI773" s="41">
        <v>0</v>
      </c>
      <c r="AJ773" s="41">
        <v>0</v>
      </c>
      <c r="AK773" s="41">
        <v>0</v>
      </c>
      <c r="AL773" s="41">
        <v>0</v>
      </c>
      <c r="AM773" s="41" t="e">
        <f t="shared" si="158"/>
        <v>#DIV/0!</v>
      </c>
      <c r="AN773" s="41" t="e">
        <f t="shared" si="165"/>
        <v>#DIV/0!</v>
      </c>
      <c r="AO773" s="41" t="e">
        <f t="shared" si="166"/>
        <v>#DIV/0!</v>
      </c>
      <c r="AP773" s="40"/>
      <c r="AQ773" s="36"/>
      <c r="AR773" s="36"/>
      <c r="AS773" s="36"/>
      <c r="AT773" s="36"/>
      <c r="AU773" s="36"/>
      <c r="AV773" s="38"/>
      <c r="AW773" s="40"/>
    </row>
    <row r="774" spans="1:49" s="34" customFormat="1" ht="15.75" customHeight="1" x14ac:dyDescent="0.3">
      <c r="A774" s="35"/>
      <c r="B774" s="36"/>
      <c r="C774" s="37"/>
      <c r="D774" s="39"/>
      <c r="E774" s="40"/>
      <c r="F774" s="36"/>
      <c r="G774" s="37"/>
      <c r="H774" s="40"/>
      <c r="I774" s="40"/>
      <c r="J774" s="41"/>
      <c r="K774" s="41">
        <v>0</v>
      </c>
      <c r="L774" s="30">
        <f t="shared" si="155"/>
        <v>0</v>
      </c>
      <c r="M774" s="30">
        <f t="shared" si="155"/>
        <v>0</v>
      </c>
      <c r="N774" s="40"/>
      <c r="O774" s="40"/>
      <c r="P774" s="40"/>
      <c r="Q774" s="44"/>
      <c r="R774" s="37"/>
      <c r="S774" s="37"/>
      <c r="T774" s="48"/>
      <c r="U774" s="30" t="e">
        <f>M774/W774</f>
        <v>#DIV/0!</v>
      </c>
      <c r="V774" s="41" t="e">
        <f t="shared" si="159"/>
        <v>#DIV/0!</v>
      </c>
      <c r="W774" s="41">
        <f t="shared" si="154"/>
        <v>0</v>
      </c>
      <c r="X774" s="41">
        <f t="shared" si="157"/>
        <v>0</v>
      </c>
      <c r="Y774" s="41">
        <v>0</v>
      </c>
      <c r="Z774" s="41" t="e">
        <f t="shared" si="160"/>
        <v>#DIV/0!</v>
      </c>
      <c r="AA774" s="41">
        <v>0</v>
      </c>
      <c r="AB774" s="41" t="e">
        <f t="shared" si="161"/>
        <v>#DIV/0!</v>
      </c>
      <c r="AC774" s="41">
        <f t="shared" si="156"/>
        <v>0</v>
      </c>
      <c r="AD774" s="41">
        <v>0</v>
      </c>
      <c r="AE774" s="41" t="e">
        <f t="shared" si="162"/>
        <v>#DIV/0!</v>
      </c>
      <c r="AF774" s="41">
        <v>0</v>
      </c>
      <c r="AG774" s="41" t="e">
        <f t="shared" si="163"/>
        <v>#DIV/0!</v>
      </c>
      <c r="AH774" s="41">
        <f t="shared" si="164"/>
        <v>0</v>
      </c>
      <c r="AI774" s="41">
        <v>0</v>
      </c>
      <c r="AJ774" s="41">
        <v>0</v>
      </c>
      <c r="AK774" s="41">
        <v>0</v>
      </c>
      <c r="AL774" s="41">
        <v>0</v>
      </c>
      <c r="AM774" s="41" t="e">
        <f t="shared" si="158"/>
        <v>#DIV/0!</v>
      </c>
      <c r="AN774" s="41" t="e">
        <f t="shared" si="165"/>
        <v>#DIV/0!</v>
      </c>
      <c r="AO774" s="41" t="e">
        <f t="shared" si="166"/>
        <v>#DIV/0!</v>
      </c>
      <c r="AP774" s="40"/>
      <c r="AQ774" s="36"/>
      <c r="AR774" s="36"/>
      <c r="AS774" s="36"/>
      <c r="AT774" s="36"/>
      <c r="AU774" s="36"/>
      <c r="AV774" s="38"/>
      <c r="AW774" s="40"/>
    </row>
    <row r="775" spans="1:49" s="34" customFormat="1" ht="15.75" customHeight="1" x14ac:dyDescent="0.3">
      <c r="A775" s="35"/>
      <c r="B775" s="36"/>
      <c r="C775" s="37"/>
      <c r="D775" s="39"/>
      <c r="E775" s="40"/>
      <c r="F775" s="36"/>
      <c r="G775" s="37"/>
      <c r="H775" s="40"/>
      <c r="I775" s="40"/>
      <c r="J775" s="41"/>
      <c r="K775" s="41">
        <v>0</v>
      </c>
      <c r="L775" s="30">
        <f t="shared" si="155"/>
        <v>0</v>
      </c>
      <c r="M775" s="30">
        <f t="shared" si="155"/>
        <v>0</v>
      </c>
      <c r="N775" s="40"/>
      <c r="O775" s="40"/>
      <c r="P775" s="40"/>
      <c r="Q775" s="44"/>
      <c r="R775" s="37"/>
      <c r="S775" s="37"/>
      <c r="T775" s="48"/>
      <c r="U775" s="30" t="e">
        <f>M775/W775</f>
        <v>#DIV/0!</v>
      </c>
      <c r="V775" s="41" t="e">
        <f t="shared" si="159"/>
        <v>#DIV/0!</v>
      </c>
      <c r="W775" s="41">
        <f t="shared" si="154"/>
        <v>0</v>
      </c>
      <c r="X775" s="41">
        <f t="shared" si="157"/>
        <v>0</v>
      </c>
      <c r="Y775" s="41">
        <v>0</v>
      </c>
      <c r="Z775" s="41" t="e">
        <f t="shared" si="160"/>
        <v>#DIV/0!</v>
      </c>
      <c r="AA775" s="41">
        <v>0</v>
      </c>
      <c r="AB775" s="41" t="e">
        <f t="shared" si="161"/>
        <v>#DIV/0!</v>
      </c>
      <c r="AC775" s="41">
        <f t="shared" si="156"/>
        <v>0</v>
      </c>
      <c r="AD775" s="41">
        <v>0</v>
      </c>
      <c r="AE775" s="41" t="e">
        <f t="shared" si="162"/>
        <v>#DIV/0!</v>
      </c>
      <c r="AF775" s="41">
        <v>0</v>
      </c>
      <c r="AG775" s="41" t="e">
        <f t="shared" si="163"/>
        <v>#DIV/0!</v>
      </c>
      <c r="AH775" s="41">
        <f t="shared" si="164"/>
        <v>0</v>
      </c>
      <c r="AI775" s="41">
        <v>0</v>
      </c>
      <c r="AJ775" s="41">
        <v>0</v>
      </c>
      <c r="AK775" s="41">
        <v>0</v>
      </c>
      <c r="AL775" s="41">
        <v>0</v>
      </c>
      <c r="AM775" s="41" t="e">
        <f t="shared" si="158"/>
        <v>#DIV/0!</v>
      </c>
      <c r="AN775" s="41" t="e">
        <f t="shared" si="165"/>
        <v>#DIV/0!</v>
      </c>
      <c r="AO775" s="41" t="e">
        <f t="shared" si="166"/>
        <v>#DIV/0!</v>
      </c>
      <c r="AP775" s="40"/>
      <c r="AQ775" s="36"/>
      <c r="AR775" s="36"/>
      <c r="AS775" s="36"/>
      <c r="AT775" s="36"/>
      <c r="AU775" s="36"/>
      <c r="AV775" s="38"/>
      <c r="AW775" s="40"/>
    </row>
    <row r="776" spans="1:49" s="34" customFormat="1" ht="15.75" customHeight="1" x14ac:dyDescent="0.3">
      <c r="A776" s="35"/>
      <c r="B776" s="36"/>
      <c r="C776" s="37"/>
      <c r="D776" s="39"/>
      <c r="E776" s="40"/>
      <c r="F776" s="36"/>
      <c r="G776" s="37"/>
      <c r="H776" s="40"/>
      <c r="I776" s="40"/>
      <c r="J776" s="41"/>
      <c r="K776" s="41">
        <v>0</v>
      </c>
      <c r="L776" s="30">
        <f t="shared" si="155"/>
        <v>0</v>
      </c>
      <c r="M776" s="30">
        <f t="shared" si="155"/>
        <v>0</v>
      </c>
      <c r="N776" s="40"/>
      <c r="O776" s="40"/>
      <c r="P776" s="40"/>
      <c r="Q776" s="44"/>
      <c r="R776" s="37"/>
      <c r="S776" s="37"/>
      <c r="T776" s="48"/>
      <c r="U776" s="30" t="e">
        <f>M776/W776</f>
        <v>#DIV/0!</v>
      </c>
      <c r="V776" s="41" t="e">
        <f t="shared" si="159"/>
        <v>#DIV/0!</v>
      </c>
      <c r="W776" s="41">
        <f t="shared" si="154"/>
        <v>0</v>
      </c>
      <c r="X776" s="41">
        <f t="shared" si="157"/>
        <v>0</v>
      </c>
      <c r="Y776" s="41">
        <v>0</v>
      </c>
      <c r="Z776" s="41" t="e">
        <f t="shared" si="160"/>
        <v>#DIV/0!</v>
      </c>
      <c r="AA776" s="41">
        <v>0</v>
      </c>
      <c r="AB776" s="41" t="e">
        <f t="shared" si="161"/>
        <v>#DIV/0!</v>
      </c>
      <c r="AC776" s="41">
        <f t="shared" si="156"/>
        <v>0</v>
      </c>
      <c r="AD776" s="41">
        <v>0</v>
      </c>
      <c r="AE776" s="41" t="e">
        <f t="shared" si="162"/>
        <v>#DIV/0!</v>
      </c>
      <c r="AF776" s="41">
        <v>0</v>
      </c>
      <c r="AG776" s="41" t="e">
        <f t="shared" si="163"/>
        <v>#DIV/0!</v>
      </c>
      <c r="AH776" s="41">
        <f t="shared" si="164"/>
        <v>0</v>
      </c>
      <c r="AI776" s="41">
        <v>0</v>
      </c>
      <c r="AJ776" s="41">
        <v>0</v>
      </c>
      <c r="AK776" s="41">
        <v>0</v>
      </c>
      <c r="AL776" s="41">
        <v>0</v>
      </c>
      <c r="AM776" s="41" t="e">
        <f t="shared" si="158"/>
        <v>#DIV/0!</v>
      </c>
      <c r="AN776" s="41" t="e">
        <f t="shared" si="165"/>
        <v>#DIV/0!</v>
      </c>
      <c r="AO776" s="41" t="e">
        <f t="shared" si="166"/>
        <v>#DIV/0!</v>
      </c>
      <c r="AP776" s="40"/>
      <c r="AQ776" s="36"/>
      <c r="AR776" s="36"/>
      <c r="AS776" s="36"/>
      <c r="AT776" s="36"/>
      <c r="AU776" s="36"/>
      <c r="AV776" s="38"/>
      <c r="AW776" s="40"/>
    </row>
    <row r="777" spans="1:49" s="34" customFormat="1" ht="15.75" customHeight="1" x14ac:dyDescent="0.3">
      <c r="A777" s="35"/>
      <c r="B777" s="36"/>
      <c r="C777" s="37"/>
      <c r="D777" s="39"/>
      <c r="E777" s="40"/>
      <c r="F777" s="36"/>
      <c r="G777" s="37"/>
      <c r="H777" s="40"/>
      <c r="I777" s="40"/>
      <c r="J777" s="41"/>
      <c r="K777" s="41">
        <v>0</v>
      </c>
      <c r="L777" s="30">
        <f t="shared" si="155"/>
        <v>0</v>
      </c>
      <c r="M777" s="30">
        <f t="shared" si="155"/>
        <v>0</v>
      </c>
      <c r="N777" s="40"/>
      <c r="O777" s="40"/>
      <c r="P777" s="40"/>
      <c r="Q777" s="44"/>
      <c r="R777" s="37"/>
      <c r="S777" s="37"/>
      <c r="T777" s="48"/>
      <c r="U777" s="30" t="e">
        <f>M777/W777</f>
        <v>#DIV/0!</v>
      </c>
      <c r="V777" s="41" t="e">
        <f t="shared" si="159"/>
        <v>#DIV/0!</v>
      </c>
      <c r="W777" s="41">
        <f t="shared" si="154"/>
        <v>0</v>
      </c>
      <c r="X777" s="41">
        <f t="shared" si="157"/>
        <v>0</v>
      </c>
      <c r="Y777" s="41">
        <v>0</v>
      </c>
      <c r="Z777" s="41" t="e">
        <f t="shared" si="160"/>
        <v>#DIV/0!</v>
      </c>
      <c r="AA777" s="41">
        <v>0</v>
      </c>
      <c r="AB777" s="41" t="e">
        <f t="shared" si="161"/>
        <v>#DIV/0!</v>
      </c>
      <c r="AC777" s="41">
        <f t="shared" si="156"/>
        <v>0</v>
      </c>
      <c r="AD777" s="41">
        <v>0</v>
      </c>
      <c r="AE777" s="41" t="e">
        <f t="shared" si="162"/>
        <v>#DIV/0!</v>
      </c>
      <c r="AF777" s="41">
        <v>0</v>
      </c>
      <c r="AG777" s="41" t="e">
        <f t="shared" si="163"/>
        <v>#DIV/0!</v>
      </c>
      <c r="AH777" s="41">
        <f t="shared" si="164"/>
        <v>0</v>
      </c>
      <c r="AI777" s="41">
        <v>0</v>
      </c>
      <c r="AJ777" s="41">
        <v>0</v>
      </c>
      <c r="AK777" s="41">
        <v>0</v>
      </c>
      <c r="AL777" s="41">
        <v>0</v>
      </c>
      <c r="AM777" s="41" t="e">
        <f t="shared" si="158"/>
        <v>#DIV/0!</v>
      </c>
      <c r="AN777" s="41" t="e">
        <f t="shared" si="165"/>
        <v>#DIV/0!</v>
      </c>
      <c r="AO777" s="41" t="e">
        <f t="shared" si="166"/>
        <v>#DIV/0!</v>
      </c>
      <c r="AP777" s="40"/>
      <c r="AQ777" s="36"/>
      <c r="AR777" s="36"/>
      <c r="AS777" s="36"/>
      <c r="AT777" s="36"/>
      <c r="AU777" s="36"/>
      <c r="AV777" s="38"/>
      <c r="AW777" s="40"/>
    </row>
    <row r="778" spans="1:49" s="34" customFormat="1" ht="15.75" customHeight="1" x14ac:dyDescent="0.3">
      <c r="A778" s="35"/>
      <c r="B778" s="36"/>
      <c r="C778" s="37"/>
      <c r="D778" s="39"/>
      <c r="E778" s="40"/>
      <c r="F778" s="36"/>
      <c r="G778" s="37"/>
      <c r="H778" s="40"/>
      <c r="I778" s="40"/>
      <c r="J778" s="41"/>
      <c r="K778" s="41">
        <v>0</v>
      </c>
      <c r="L778" s="30">
        <f t="shared" si="155"/>
        <v>0</v>
      </c>
      <c r="M778" s="30">
        <f t="shared" si="155"/>
        <v>0</v>
      </c>
      <c r="N778" s="40"/>
      <c r="O778" s="40"/>
      <c r="P778" s="40"/>
      <c r="Q778" s="44"/>
      <c r="R778" s="37"/>
      <c r="S778" s="37"/>
      <c r="T778" s="48"/>
      <c r="U778" s="30" t="e">
        <f>M778/W778</f>
        <v>#DIV/0!</v>
      </c>
      <c r="V778" s="41" t="e">
        <f t="shared" si="159"/>
        <v>#DIV/0!</v>
      </c>
      <c r="W778" s="41">
        <f t="shared" si="154"/>
        <v>0</v>
      </c>
      <c r="X778" s="41">
        <f t="shared" si="157"/>
        <v>0</v>
      </c>
      <c r="Y778" s="41">
        <v>0</v>
      </c>
      <c r="Z778" s="41" t="e">
        <f t="shared" si="160"/>
        <v>#DIV/0!</v>
      </c>
      <c r="AA778" s="41">
        <v>0</v>
      </c>
      <c r="AB778" s="41" t="e">
        <f t="shared" si="161"/>
        <v>#DIV/0!</v>
      </c>
      <c r="AC778" s="41">
        <f t="shared" si="156"/>
        <v>0</v>
      </c>
      <c r="AD778" s="41">
        <v>0</v>
      </c>
      <c r="AE778" s="41" t="e">
        <f t="shared" si="162"/>
        <v>#DIV/0!</v>
      </c>
      <c r="AF778" s="41">
        <v>0</v>
      </c>
      <c r="AG778" s="41" t="e">
        <f t="shared" si="163"/>
        <v>#DIV/0!</v>
      </c>
      <c r="AH778" s="41">
        <f t="shared" si="164"/>
        <v>0</v>
      </c>
      <c r="AI778" s="41">
        <v>0</v>
      </c>
      <c r="AJ778" s="41">
        <v>0</v>
      </c>
      <c r="AK778" s="41">
        <v>0</v>
      </c>
      <c r="AL778" s="41">
        <v>0</v>
      </c>
      <c r="AM778" s="41" t="e">
        <f t="shared" si="158"/>
        <v>#DIV/0!</v>
      </c>
      <c r="AN778" s="41" t="e">
        <f t="shared" si="165"/>
        <v>#DIV/0!</v>
      </c>
      <c r="AO778" s="41" t="e">
        <f t="shared" si="166"/>
        <v>#DIV/0!</v>
      </c>
      <c r="AP778" s="40"/>
      <c r="AQ778" s="36"/>
      <c r="AR778" s="36"/>
      <c r="AS778" s="36"/>
      <c r="AT778" s="36"/>
      <c r="AU778" s="36"/>
      <c r="AV778" s="38"/>
      <c r="AW778" s="40"/>
    </row>
    <row r="779" spans="1:49" s="34" customFormat="1" ht="15.75" customHeight="1" x14ac:dyDescent="0.3">
      <c r="A779" s="35"/>
      <c r="B779" s="36"/>
      <c r="C779" s="37"/>
      <c r="D779" s="39"/>
      <c r="E779" s="40"/>
      <c r="F779" s="36"/>
      <c r="G779" s="37"/>
      <c r="H779" s="40"/>
      <c r="I779" s="40"/>
      <c r="J779" s="41"/>
      <c r="K779" s="41">
        <v>0</v>
      </c>
      <c r="L779" s="30">
        <f t="shared" si="155"/>
        <v>0</v>
      </c>
      <c r="M779" s="30">
        <f t="shared" si="155"/>
        <v>0</v>
      </c>
      <c r="N779" s="40"/>
      <c r="O779" s="40"/>
      <c r="P779" s="40"/>
      <c r="Q779" s="44"/>
      <c r="R779" s="37"/>
      <c r="S779" s="37"/>
      <c r="T779" s="48"/>
      <c r="U779" s="30" t="e">
        <f>M779/W779</f>
        <v>#DIV/0!</v>
      </c>
      <c r="V779" s="41" t="e">
        <f t="shared" si="159"/>
        <v>#DIV/0!</v>
      </c>
      <c r="W779" s="41">
        <f t="shared" si="154"/>
        <v>0</v>
      </c>
      <c r="X779" s="41">
        <f t="shared" si="157"/>
        <v>0</v>
      </c>
      <c r="Y779" s="41">
        <v>0</v>
      </c>
      <c r="Z779" s="41" t="e">
        <f t="shared" si="160"/>
        <v>#DIV/0!</v>
      </c>
      <c r="AA779" s="41">
        <v>0</v>
      </c>
      <c r="AB779" s="41" t="e">
        <f t="shared" si="161"/>
        <v>#DIV/0!</v>
      </c>
      <c r="AC779" s="41">
        <f t="shared" si="156"/>
        <v>0</v>
      </c>
      <c r="AD779" s="41">
        <v>0</v>
      </c>
      <c r="AE779" s="41" t="e">
        <f t="shared" si="162"/>
        <v>#DIV/0!</v>
      </c>
      <c r="AF779" s="41">
        <v>0</v>
      </c>
      <c r="AG779" s="41" t="e">
        <f t="shared" si="163"/>
        <v>#DIV/0!</v>
      </c>
      <c r="AH779" s="41">
        <f t="shared" si="164"/>
        <v>0</v>
      </c>
      <c r="AI779" s="41">
        <v>0</v>
      </c>
      <c r="AJ779" s="41">
        <v>0</v>
      </c>
      <c r="AK779" s="41">
        <v>0</v>
      </c>
      <c r="AL779" s="41">
        <v>0</v>
      </c>
      <c r="AM779" s="41" t="e">
        <f t="shared" si="158"/>
        <v>#DIV/0!</v>
      </c>
      <c r="AN779" s="41" t="e">
        <f t="shared" si="165"/>
        <v>#DIV/0!</v>
      </c>
      <c r="AO779" s="41" t="e">
        <f t="shared" si="166"/>
        <v>#DIV/0!</v>
      </c>
      <c r="AP779" s="40"/>
      <c r="AQ779" s="36"/>
      <c r="AR779" s="36"/>
      <c r="AS779" s="36"/>
      <c r="AT779" s="36"/>
      <c r="AU779" s="36"/>
      <c r="AV779" s="38"/>
      <c r="AW779" s="40"/>
    </row>
    <row r="780" spans="1:49" s="34" customFormat="1" ht="15.75" customHeight="1" x14ac:dyDescent="0.3">
      <c r="A780" s="35"/>
      <c r="B780" s="36"/>
      <c r="C780" s="37"/>
      <c r="D780" s="39"/>
      <c r="E780" s="40"/>
      <c r="F780" s="36"/>
      <c r="G780" s="37"/>
      <c r="H780" s="40"/>
      <c r="I780" s="40"/>
      <c r="J780" s="41"/>
      <c r="K780" s="41">
        <v>0</v>
      </c>
      <c r="L780" s="30">
        <f t="shared" si="155"/>
        <v>0</v>
      </c>
      <c r="M780" s="30">
        <f t="shared" si="155"/>
        <v>0</v>
      </c>
      <c r="N780" s="40"/>
      <c r="O780" s="40"/>
      <c r="P780" s="40"/>
      <c r="Q780" s="44"/>
      <c r="R780" s="37"/>
      <c r="S780" s="37"/>
      <c r="T780" s="48"/>
      <c r="U780" s="30" t="e">
        <f>M780/W780</f>
        <v>#DIV/0!</v>
      </c>
      <c r="V780" s="41" t="e">
        <f t="shared" si="159"/>
        <v>#DIV/0!</v>
      </c>
      <c r="W780" s="41">
        <f t="shared" si="154"/>
        <v>0</v>
      </c>
      <c r="X780" s="41">
        <f t="shared" si="157"/>
        <v>0</v>
      </c>
      <c r="Y780" s="41">
        <v>0</v>
      </c>
      <c r="Z780" s="41" t="e">
        <f t="shared" si="160"/>
        <v>#DIV/0!</v>
      </c>
      <c r="AA780" s="41">
        <v>0</v>
      </c>
      <c r="AB780" s="41" t="e">
        <f t="shared" si="161"/>
        <v>#DIV/0!</v>
      </c>
      <c r="AC780" s="41">
        <f t="shared" si="156"/>
        <v>0</v>
      </c>
      <c r="AD780" s="41">
        <v>0</v>
      </c>
      <c r="AE780" s="41" t="e">
        <f t="shared" si="162"/>
        <v>#DIV/0!</v>
      </c>
      <c r="AF780" s="41">
        <v>0</v>
      </c>
      <c r="AG780" s="41" t="e">
        <f t="shared" si="163"/>
        <v>#DIV/0!</v>
      </c>
      <c r="AH780" s="41">
        <f t="shared" si="164"/>
        <v>0</v>
      </c>
      <c r="AI780" s="41">
        <v>0</v>
      </c>
      <c r="AJ780" s="41">
        <v>0</v>
      </c>
      <c r="AK780" s="41">
        <v>0</v>
      </c>
      <c r="AL780" s="41">
        <v>0</v>
      </c>
      <c r="AM780" s="41" t="e">
        <f t="shared" si="158"/>
        <v>#DIV/0!</v>
      </c>
      <c r="AN780" s="41" t="e">
        <f t="shared" si="165"/>
        <v>#DIV/0!</v>
      </c>
      <c r="AO780" s="41" t="e">
        <f t="shared" si="166"/>
        <v>#DIV/0!</v>
      </c>
      <c r="AP780" s="40"/>
      <c r="AQ780" s="36"/>
      <c r="AR780" s="36"/>
      <c r="AS780" s="36"/>
      <c r="AT780" s="36"/>
      <c r="AU780" s="36"/>
      <c r="AV780" s="38"/>
      <c r="AW780" s="40"/>
    </row>
    <row r="781" spans="1:49" s="34" customFormat="1" ht="15.75" customHeight="1" x14ac:dyDescent="0.3">
      <c r="A781" s="35"/>
      <c r="B781" s="36"/>
      <c r="C781" s="37"/>
      <c r="D781" s="39"/>
      <c r="E781" s="40"/>
      <c r="F781" s="36"/>
      <c r="G781" s="37"/>
      <c r="H781" s="40"/>
      <c r="I781" s="40"/>
      <c r="J781" s="41"/>
      <c r="K781" s="41">
        <v>0</v>
      </c>
      <c r="L781" s="30">
        <f t="shared" si="155"/>
        <v>0</v>
      </c>
      <c r="M781" s="30">
        <f t="shared" si="155"/>
        <v>0</v>
      </c>
      <c r="N781" s="40"/>
      <c r="O781" s="40"/>
      <c r="P781" s="40"/>
      <c r="Q781" s="44"/>
      <c r="R781" s="37"/>
      <c r="S781" s="37"/>
      <c r="T781" s="48"/>
      <c r="U781" s="30" t="e">
        <f>M781/W781</f>
        <v>#DIV/0!</v>
      </c>
      <c r="V781" s="41" t="e">
        <f t="shared" si="159"/>
        <v>#DIV/0!</v>
      </c>
      <c r="W781" s="41">
        <f t="shared" si="154"/>
        <v>0</v>
      </c>
      <c r="X781" s="41">
        <f t="shared" si="157"/>
        <v>0</v>
      </c>
      <c r="Y781" s="41">
        <v>0</v>
      </c>
      <c r="Z781" s="41" t="e">
        <f t="shared" si="160"/>
        <v>#DIV/0!</v>
      </c>
      <c r="AA781" s="41">
        <v>0</v>
      </c>
      <c r="AB781" s="41" t="e">
        <f t="shared" si="161"/>
        <v>#DIV/0!</v>
      </c>
      <c r="AC781" s="41">
        <f t="shared" si="156"/>
        <v>0</v>
      </c>
      <c r="AD781" s="41">
        <v>0</v>
      </c>
      <c r="AE781" s="41" t="e">
        <f t="shared" si="162"/>
        <v>#DIV/0!</v>
      </c>
      <c r="AF781" s="41">
        <v>0</v>
      </c>
      <c r="AG781" s="41" t="e">
        <f t="shared" si="163"/>
        <v>#DIV/0!</v>
      </c>
      <c r="AH781" s="41">
        <f t="shared" si="164"/>
        <v>0</v>
      </c>
      <c r="AI781" s="41">
        <v>0</v>
      </c>
      <c r="AJ781" s="41">
        <v>0</v>
      </c>
      <c r="AK781" s="41">
        <v>0</v>
      </c>
      <c r="AL781" s="41">
        <v>0</v>
      </c>
      <c r="AM781" s="41" t="e">
        <f t="shared" si="158"/>
        <v>#DIV/0!</v>
      </c>
      <c r="AN781" s="41" t="e">
        <f t="shared" si="165"/>
        <v>#DIV/0!</v>
      </c>
      <c r="AO781" s="41" t="e">
        <f t="shared" si="166"/>
        <v>#DIV/0!</v>
      </c>
      <c r="AP781" s="40"/>
      <c r="AQ781" s="36"/>
      <c r="AR781" s="36"/>
      <c r="AS781" s="36"/>
      <c r="AT781" s="36"/>
      <c r="AU781" s="36"/>
      <c r="AV781" s="38"/>
      <c r="AW781" s="40"/>
    </row>
    <row r="782" spans="1:49" s="34" customFormat="1" ht="15.75" customHeight="1" x14ac:dyDescent="0.3">
      <c r="A782" s="35"/>
      <c r="B782" s="36"/>
      <c r="C782" s="37"/>
      <c r="D782" s="39"/>
      <c r="E782" s="40"/>
      <c r="F782" s="36"/>
      <c r="G782" s="37"/>
      <c r="H782" s="40"/>
      <c r="I782" s="40"/>
      <c r="J782" s="41"/>
      <c r="K782" s="41">
        <v>0</v>
      </c>
      <c r="L782" s="30">
        <f t="shared" si="155"/>
        <v>0</v>
      </c>
      <c r="M782" s="30">
        <f t="shared" si="155"/>
        <v>0</v>
      </c>
      <c r="N782" s="40"/>
      <c r="O782" s="40"/>
      <c r="P782" s="40"/>
      <c r="Q782" s="44"/>
      <c r="R782" s="37"/>
      <c r="S782" s="37"/>
      <c r="T782" s="48"/>
      <c r="U782" s="30" t="e">
        <f>M782/W782</f>
        <v>#DIV/0!</v>
      </c>
      <c r="V782" s="41" t="e">
        <f t="shared" si="159"/>
        <v>#DIV/0!</v>
      </c>
      <c r="W782" s="41">
        <f t="shared" si="154"/>
        <v>0</v>
      </c>
      <c r="X782" s="41">
        <f t="shared" si="157"/>
        <v>0</v>
      </c>
      <c r="Y782" s="41">
        <v>0</v>
      </c>
      <c r="Z782" s="41" t="e">
        <f t="shared" si="160"/>
        <v>#DIV/0!</v>
      </c>
      <c r="AA782" s="41">
        <v>0</v>
      </c>
      <c r="AB782" s="41" t="e">
        <f t="shared" si="161"/>
        <v>#DIV/0!</v>
      </c>
      <c r="AC782" s="41">
        <f t="shared" si="156"/>
        <v>0</v>
      </c>
      <c r="AD782" s="41">
        <v>0</v>
      </c>
      <c r="AE782" s="41" t="e">
        <f t="shared" si="162"/>
        <v>#DIV/0!</v>
      </c>
      <c r="AF782" s="41">
        <v>0</v>
      </c>
      <c r="AG782" s="41" t="e">
        <f t="shared" si="163"/>
        <v>#DIV/0!</v>
      </c>
      <c r="AH782" s="41">
        <f t="shared" si="164"/>
        <v>0</v>
      </c>
      <c r="AI782" s="41">
        <v>0</v>
      </c>
      <c r="AJ782" s="41">
        <v>0</v>
      </c>
      <c r="AK782" s="41">
        <v>0</v>
      </c>
      <c r="AL782" s="41">
        <v>0</v>
      </c>
      <c r="AM782" s="41" t="e">
        <f t="shared" si="158"/>
        <v>#DIV/0!</v>
      </c>
      <c r="AN782" s="41" t="e">
        <f t="shared" si="165"/>
        <v>#DIV/0!</v>
      </c>
      <c r="AO782" s="41" t="e">
        <f t="shared" si="166"/>
        <v>#DIV/0!</v>
      </c>
      <c r="AP782" s="40"/>
      <c r="AQ782" s="36"/>
      <c r="AR782" s="36"/>
      <c r="AS782" s="36"/>
      <c r="AT782" s="36"/>
      <c r="AU782" s="36"/>
      <c r="AV782" s="38"/>
      <c r="AW782" s="40"/>
    </row>
    <row r="783" spans="1:49" s="34" customFormat="1" ht="15.75" customHeight="1" x14ac:dyDescent="0.3">
      <c r="A783" s="35"/>
      <c r="B783" s="36"/>
      <c r="C783" s="37"/>
      <c r="D783" s="39"/>
      <c r="E783" s="40"/>
      <c r="F783" s="36"/>
      <c r="G783" s="37"/>
      <c r="H783" s="40"/>
      <c r="I783" s="40"/>
      <c r="J783" s="41"/>
      <c r="K783" s="41">
        <v>0</v>
      </c>
      <c r="L783" s="30">
        <f t="shared" si="155"/>
        <v>0</v>
      </c>
      <c r="M783" s="30">
        <f t="shared" si="155"/>
        <v>0</v>
      </c>
      <c r="N783" s="40"/>
      <c r="O783" s="40"/>
      <c r="P783" s="40"/>
      <c r="Q783" s="44"/>
      <c r="R783" s="37"/>
      <c r="S783" s="37"/>
      <c r="T783" s="48"/>
      <c r="U783" s="30" t="e">
        <f>M783/W783</f>
        <v>#DIV/0!</v>
      </c>
      <c r="V783" s="41" t="e">
        <f t="shared" si="159"/>
        <v>#DIV/0!</v>
      </c>
      <c r="W783" s="41">
        <f t="shared" si="154"/>
        <v>0</v>
      </c>
      <c r="X783" s="41">
        <f t="shared" si="157"/>
        <v>0</v>
      </c>
      <c r="Y783" s="41">
        <v>0</v>
      </c>
      <c r="Z783" s="41" t="e">
        <f t="shared" si="160"/>
        <v>#DIV/0!</v>
      </c>
      <c r="AA783" s="41">
        <v>0</v>
      </c>
      <c r="AB783" s="41" t="e">
        <f t="shared" si="161"/>
        <v>#DIV/0!</v>
      </c>
      <c r="AC783" s="41">
        <f t="shared" si="156"/>
        <v>0</v>
      </c>
      <c r="AD783" s="41">
        <v>0</v>
      </c>
      <c r="AE783" s="41" t="e">
        <f t="shared" si="162"/>
        <v>#DIV/0!</v>
      </c>
      <c r="AF783" s="41">
        <v>0</v>
      </c>
      <c r="AG783" s="41" t="e">
        <f t="shared" si="163"/>
        <v>#DIV/0!</v>
      </c>
      <c r="AH783" s="41">
        <f t="shared" si="164"/>
        <v>0</v>
      </c>
      <c r="AI783" s="41">
        <v>0</v>
      </c>
      <c r="AJ783" s="41">
        <v>0</v>
      </c>
      <c r="AK783" s="41">
        <v>0</v>
      </c>
      <c r="AL783" s="41">
        <v>0</v>
      </c>
      <c r="AM783" s="41" t="e">
        <f t="shared" si="158"/>
        <v>#DIV/0!</v>
      </c>
      <c r="AN783" s="41" t="e">
        <f t="shared" si="165"/>
        <v>#DIV/0!</v>
      </c>
      <c r="AO783" s="41" t="e">
        <f t="shared" si="166"/>
        <v>#DIV/0!</v>
      </c>
      <c r="AP783" s="40"/>
      <c r="AQ783" s="36"/>
      <c r="AR783" s="36"/>
      <c r="AS783" s="36"/>
      <c r="AT783" s="36"/>
      <c r="AU783" s="36"/>
      <c r="AV783" s="38"/>
      <c r="AW783" s="40"/>
    </row>
    <row r="784" spans="1:49" s="34" customFormat="1" ht="15.75" customHeight="1" x14ac:dyDescent="0.3">
      <c r="A784" s="35"/>
      <c r="B784" s="36"/>
      <c r="C784" s="37"/>
      <c r="D784" s="39"/>
      <c r="E784" s="40"/>
      <c r="F784" s="36"/>
      <c r="G784" s="37"/>
      <c r="H784" s="40"/>
      <c r="I784" s="40"/>
      <c r="J784" s="41"/>
      <c r="K784" s="41">
        <v>0</v>
      </c>
      <c r="L784" s="30">
        <f t="shared" si="155"/>
        <v>0</v>
      </c>
      <c r="M784" s="30">
        <f t="shared" si="155"/>
        <v>0</v>
      </c>
      <c r="N784" s="40"/>
      <c r="O784" s="40"/>
      <c r="P784" s="40"/>
      <c r="Q784" s="44"/>
      <c r="R784" s="37"/>
      <c r="S784" s="37"/>
      <c r="T784" s="48"/>
      <c r="U784" s="30" t="e">
        <f>M784/W784</f>
        <v>#DIV/0!</v>
      </c>
      <c r="V784" s="41" t="e">
        <f t="shared" si="159"/>
        <v>#DIV/0!</v>
      </c>
      <c r="W784" s="41">
        <f t="shared" si="154"/>
        <v>0</v>
      </c>
      <c r="X784" s="41">
        <f t="shared" si="157"/>
        <v>0</v>
      </c>
      <c r="Y784" s="41">
        <v>0</v>
      </c>
      <c r="Z784" s="41" t="e">
        <f t="shared" si="160"/>
        <v>#DIV/0!</v>
      </c>
      <c r="AA784" s="41">
        <v>0</v>
      </c>
      <c r="AB784" s="41" t="e">
        <f t="shared" si="161"/>
        <v>#DIV/0!</v>
      </c>
      <c r="AC784" s="41">
        <f t="shared" si="156"/>
        <v>0</v>
      </c>
      <c r="AD784" s="41">
        <v>0</v>
      </c>
      <c r="AE784" s="41" t="e">
        <f t="shared" si="162"/>
        <v>#DIV/0!</v>
      </c>
      <c r="AF784" s="41">
        <v>0</v>
      </c>
      <c r="AG784" s="41" t="e">
        <f t="shared" si="163"/>
        <v>#DIV/0!</v>
      </c>
      <c r="AH784" s="41">
        <f t="shared" si="164"/>
        <v>0</v>
      </c>
      <c r="AI784" s="41">
        <v>0</v>
      </c>
      <c r="AJ784" s="41">
        <v>0</v>
      </c>
      <c r="AK784" s="41">
        <v>0</v>
      </c>
      <c r="AL784" s="41">
        <v>0</v>
      </c>
      <c r="AM784" s="41" t="e">
        <f t="shared" si="158"/>
        <v>#DIV/0!</v>
      </c>
      <c r="AN784" s="41" t="e">
        <f t="shared" si="165"/>
        <v>#DIV/0!</v>
      </c>
      <c r="AO784" s="41" t="e">
        <f t="shared" si="166"/>
        <v>#DIV/0!</v>
      </c>
      <c r="AP784" s="40"/>
      <c r="AQ784" s="36"/>
      <c r="AR784" s="36"/>
      <c r="AS784" s="36"/>
      <c r="AT784" s="36"/>
      <c r="AU784" s="36"/>
      <c r="AV784" s="38"/>
      <c r="AW784" s="40"/>
    </row>
    <row r="785" spans="1:49" s="34" customFormat="1" ht="15.75" customHeight="1" x14ac:dyDescent="0.3">
      <c r="A785" s="35"/>
      <c r="B785" s="36"/>
      <c r="C785" s="37"/>
      <c r="D785" s="39"/>
      <c r="E785" s="40"/>
      <c r="F785" s="36"/>
      <c r="G785" s="37"/>
      <c r="H785" s="40"/>
      <c r="I785" s="40"/>
      <c r="J785" s="41"/>
      <c r="K785" s="41">
        <v>0</v>
      </c>
      <c r="L785" s="30">
        <f t="shared" si="155"/>
        <v>0</v>
      </c>
      <c r="M785" s="30">
        <f t="shared" si="155"/>
        <v>0</v>
      </c>
      <c r="N785" s="40"/>
      <c r="O785" s="40"/>
      <c r="P785" s="40"/>
      <c r="Q785" s="44"/>
      <c r="R785" s="37"/>
      <c r="S785" s="37"/>
      <c r="T785" s="48"/>
      <c r="U785" s="30" t="e">
        <f>M785/W785</f>
        <v>#DIV/0!</v>
      </c>
      <c r="V785" s="41" t="e">
        <f t="shared" si="159"/>
        <v>#DIV/0!</v>
      </c>
      <c r="W785" s="41">
        <f t="shared" si="154"/>
        <v>0</v>
      </c>
      <c r="X785" s="41">
        <f t="shared" si="157"/>
        <v>0</v>
      </c>
      <c r="Y785" s="41">
        <v>0</v>
      </c>
      <c r="Z785" s="41" t="e">
        <f t="shared" si="160"/>
        <v>#DIV/0!</v>
      </c>
      <c r="AA785" s="41">
        <v>0</v>
      </c>
      <c r="AB785" s="41" t="e">
        <f t="shared" si="161"/>
        <v>#DIV/0!</v>
      </c>
      <c r="AC785" s="41">
        <f t="shared" si="156"/>
        <v>0</v>
      </c>
      <c r="AD785" s="41">
        <v>0</v>
      </c>
      <c r="AE785" s="41" t="e">
        <f t="shared" si="162"/>
        <v>#DIV/0!</v>
      </c>
      <c r="AF785" s="41">
        <v>0</v>
      </c>
      <c r="AG785" s="41" t="e">
        <f t="shared" si="163"/>
        <v>#DIV/0!</v>
      </c>
      <c r="AH785" s="41">
        <f t="shared" si="164"/>
        <v>0</v>
      </c>
      <c r="AI785" s="41">
        <v>0</v>
      </c>
      <c r="AJ785" s="41">
        <v>0</v>
      </c>
      <c r="AK785" s="41">
        <v>0</v>
      </c>
      <c r="AL785" s="41">
        <v>0</v>
      </c>
      <c r="AM785" s="41" t="e">
        <f t="shared" si="158"/>
        <v>#DIV/0!</v>
      </c>
      <c r="AN785" s="41" t="e">
        <f t="shared" si="165"/>
        <v>#DIV/0!</v>
      </c>
      <c r="AO785" s="41" t="e">
        <f t="shared" si="166"/>
        <v>#DIV/0!</v>
      </c>
      <c r="AP785" s="40"/>
      <c r="AQ785" s="36"/>
      <c r="AR785" s="36"/>
      <c r="AS785" s="36"/>
      <c r="AT785" s="36"/>
      <c r="AU785" s="36"/>
      <c r="AV785" s="38"/>
      <c r="AW785" s="40"/>
    </row>
    <row r="786" spans="1:49" s="34" customFormat="1" ht="15.75" customHeight="1" x14ac:dyDescent="0.3">
      <c r="A786" s="35"/>
      <c r="B786" s="36"/>
      <c r="C786" s="37"/>
      <c r="D786" s="39"/>
      <c r="E786" s="40"/>
      <c r="F786" s="36"/>
      <c r="G786" s="37"/>
      <c r="H786" s="40"/>
      <c r="I786" s="40"/>
      <c r="J786" s="41"/>
      <c r="K786" s="41">
        <v>0</v>
      </c>
      <c r="L786" s="30">
        <f t="shared" si="155"/>
        <v>0</v>
      </c>
      <c r="M786" s="30">
        <f t="shared" si="155"/>
        <v>0</v>
      </c>
      <c r="N786" s="40"/>
      <c r="O786" s="40"/>
      <c r="P786" s="40"/>
      <c r="Q786" s="44"/>
      <c r="R786" s="37"/>
      <c r="S786" s="37"/>
      <c r="T786" s="48"/>
      <c r="U786" s="30" t="e">
        <f>M786/W786</f>
        <v>#DIV/0!</v>
      </c>
      <c r="V786" s="41" t="e">
        <f t="shared" si="159"/>
        <v>#DIV/0!</v>
      </c>
      <c r="W786" s="41">
        <f t="shared" si="154"/>
        <v>0</v>
      </c>
      <c r="X786" s="41">
        <f t="shared" si="157"/>
        <v>0</v>
      </c>
      <c r="Y786" s="41">
        <v>0</v>
      </c>
      <c r="Z786" s="41" t="e">
        <f t="shared" si="160"/>
        <v>#DIV/0!</v>
      </c>
      <c r="AA786" s="41">
        <v>0</v>
      </c>
      <c r="AB786" s="41" t="e">
        <f t="shared" si="161"/>
        <v>#DIV/0!</v>
      </c>
      <c r="AC786" s="41">
        <f t="shared" si="156"/>
        <v>0</v>
      </c>
      <c r="AD786" s="41">
        <v>0</v>
      </c>
      <c r="AE786" s="41" t="e">
        <f t="shared" si="162"/>
        <v>#DIV/0!</v>
      </c>
      <c r="AF786" s="41">
        <v>0</v>
      </c>
      <c r="AG786" s="41" t="e">
        <f t="shared" si="163"/>
        <v>#DIV/0!</v>
      </c>
      <c r="AH786" s="41">
        <f t="shared" si="164"/>
        <v>0</v>
      </c>
      <c r="AI786" s="41">
        <v>0</v>
      </c>
      <c r="AJ786" s="41">
        <v>0</v>
      </c>
      <c r="AK786" s="41">
        <v>0</v>
      </c>
      <c r="AL786" s="41">
        <v>0</v>
      </c>
      <c r="AM786" s="41" t="e">
        <f t="shared" si="158"/>
        <v>#DIV/0!</v>
      </c>
      <c r="AN786" s="41" t="e">
        <f t="shared" si="165"/>
        <v>#DIV/0!</v>
      </c>
      <c r="AO786" s="41" t="e">
        <f t="shared" si="166"/>
        <v>#DIV/0!</v>
      </c>
      <c r="AP786" s="40"/>
      <c r="AQ786" s="36"/>
      <c r="AR786" s="36"/>
      <c r="AS786" s="36"/>
      <c r="AT786" s="36"/>
      <c r="AU786" s="36"/>
      <c r="AV786" s="38"/>
      <c r="AW786" s="40"/>
    </row>
    <row r="787" spans="1:49" s="34" customFormat="1" ht="15.75" customHeight="1" x14ac:dyDescent="0.3">
      <c r="A787" s="35"/>
      <c r="B787" s="36"/>
      <c r="C787" s="37"/>
      <c r="D787" s="39"/>
      <c r="E787" s="40"/>
      <c r="F787" s="36"/>
      <c r="G787" s="37"/>
      <c r="H787" s="40"/>
      <c r="I787" s="40"/>
      <c r="J787" s="41"/>
      <c r="K787" s="41">
        <v>0</v>
      </c>
      <c r="L787" s="30">
        <f t="shared" si="155"/>
        <v>0</v>
      </c>
      <c r="M787" s="30">
        <f t="shared" si="155"/>
        <v>0</v>
      </c>
      <c r="N787" s="40"/>
      <c r="O787" s="40"/>
      <c r="P787" s="40"/>
      <c r="Q787" s="44"/>
      <c r="R787" s="37"/>
      <c r="S787" s="37"/>
      <c r="T787" s="48"/>
      <c r="U787" s="30" t="e">
        <f>M787/W787</f>
        <v>#DIV/0!</v>
      </c>
      <c r="V787" s="41" t="e">
        <f t="shared" si="159"/>
        <v>#DIV/0!</v>
      </c>
      <c r="W787" s="41">
        <f t="shared" si="154"/>
        <v>0</v>
      </c>
      <c r="X787" s="41">
        <f t="shared" si="157"/>
        <v>0</v>
      </c>
      <c r="Y787" s="41">
        <v>0</v>
      </c>
      <c r="Z787" s="41" t="e">
        <f t="shared" si="160"/>
        <v>#DIV/0!</v>
      </c>
      <c r="AA787" s="41">
        <v>0</v>
      </c>
      <c r="AB787" s="41" t="e">
        <f t="shared" si="161"/>
        <v>#DIV/0!</v>
      </c>
      <c r="AC787" s="41">
        <f t="shared" si="156"/>
        <v>0</v>
      </c>
      <c r="AD787" s="41">
        <v>0</v>
      </c>
      <c r="AE787" s="41" t="e">
        <f t="shared" si="162"/>
        <v>#DIV/0!</v>
      </c>
      <c r="AF787" s="41">
        <v>0</v>
      </c>
      <c r="AG787" s="41" t="e">
        <f t="shared" si="163"/>
        <v>#DIV/0!</v>
      </c>
      <c r="AH787" s="41">
        <f t="shared" si="164"/>
        <v>0</v>
      </c>
      <c r="AI787" s="41">
        <v>0</v>
      </c>
      <c r="AJ787" s="41">
        <v>0</v>
      </c>
      <c r="AK787" s="41">
        <v>0</v>
      </c>
      <c r="AL787" s="41">
        <v>0</v>
      </c>
      <c r="AM787" s="41" t="e">
        <f t="shared" si="158"/>
        <v>#DIV/0!</v>
      </c>
      <c r="AN787" s="41" t="e">
        <f t="shared" si="165"/>
        <v>#DIV/0!</v>
      </c>
      <c r="AO787" s="41" t="e">
        <f t="shared" si="166"/>
        <v>#DIV/0!</v>
      </c>
      <c r="AP787" s="40"/>
      <c r="AQ787" s="36"/>
      <c r="AR787" s="36"/>
      <c r="AS787" s="36"/>
      <c r="AT787" s="36"/>
      <c r="AU787" s="36"/>
      <c r="AV787" s="38"/>
      <c r="AW787" s="40"/>
    </row>
    <row r="788" spans="1:49" s="34" customFormat="1" ht="15.75" customHeight="1" x14ac:dyDescent="0.3">
      <c r="A788" s="35"/>
      <c r="B788" s="36"/>
      <c r="C788" s="37"/>
      <c r="D788" s="39"/>
      <c r="E788" s="40"/>
      <c r="F788" s="36"/>
      <c r="G788" s="37"/>
      <c r="H788" s="40"/>
      <c r="I788" s="40"/>
      <c r="J788" s="41"/>
      <c r="K788" s="41">
        <v>0</v>
      </c>
      <c r="L788" s="30">
        <f t="shared" si="155"/>
        <v>0</v>
      </c>
      <c r="M788" s="30">
        <f t="shared" si="155"/>
        <v>0</v>
      </c>
      <c r="N788" s="40"/>
      <c r="O788" s="40"/>
      <c r="P788" s="40"/>
      <c r="Q788" s="44"/>
      <c r="R788" s="37"/>
      <c r="S788" s="37"/>
      <c r="T788" s="48"/>
      <c r="U788" s="30" t="e">
        <f>M788/W788</f>
        <v>#DIV/0!</v>
      </c>
      <c r="V788" s="41" t="e">
        <f t="shared" si="159"/>
        <v>#DIV/0!</v>
      </c>
      <c r="W788" s="41">
        <f t="shared" si="154"/>
        <v>0</v>
      </c>
      <c r="X788" s="41">
        <f t="shared" si="157"/>
        <v>0</v>
      </c>
      <c r="Y788" s="41">
        <v>0</v>
      </c>
      <c r="Z788" s="41" t="e">
        <f t="shared" si="160"/>
        <v>#DIV/0!</v>
      </c>
      <c r="AA788" s="41">
        <v>0</v>
      </c>
      <c r="AB788" s="41" t="e">
        <f t="shared" si="161"/>
        <v>#DIV/0!</v>
      </c>
      <c r="AC788" s="41">
        <f t="shared" si="156"/>
        <v>0</v>
      </c>
      <c r="AD788" s="41">
        <v>0</v>
      </c>
      <c r="AE788" s="41" t="e">
        <f t="shared" si="162"/>
        <v>#DIV/0!</v>
      </c>
      <c r="AF788" s="41">
        <v>0</v>
      </c>
      <c r="AG788" s="41" t="e">
        <f t="shared" si="163"/>
        <v>#DIV/0!</v>
      </c>
      <c r="AH788" s="41">
        <f t="shared" si="164"/>
        <v>0</v>
      </c>
      <c r="AI788" s="41">
        <v>0</v>
      </c>
      <c r="AJ788" s="41">
        <v>0</v>
      </c>
      <c r="AK788" s="41">
        <v>0</v>
      </c>
      <c r="AL788" s="41">
        <v>0</v>
      </c>
      <c r="AM788" s="41" t="e">
        <f t="shared" si="158"/>
        <v>#DIV/0!</v>
      </c>
      <c r="AN788" s="41" t="e">
        <f t="shared" si="165"/>
        <v>#DIV/0!</v>
      </c>
      <c r="AO788" s="41" t="e">
        <f t="shared" si="166"/>
        <v>#DIV/0!</v>
      </c>
      <c r="AP788" s="40"/>
      <c r="AQ788" s="36"/>
      <c r="AR788" s="36"/>
      <c r="AS788" s="36"/>
      <c r="AT788" s="36"/>
      <c r="AU788" s="36"/>
      <c r="AV788" s="38"/>
      <c r="AW788" s="40"/>
    </row>
    <row r="789" spans="1:49" s="34" customFormat="1" ht="15.75" customHeight="1" x14ac:dyDescent="0.3">
      <c r="A789" s="35"/>
      <c r="B789" s="36"/>
      <c r="C789" s="37"/>
      <c r="D789" s="39"/>
      <c r="E789" s="40"/>
      <c r="F789" s="36"/>
      <c r="G789" s="37"/>
      <c r="H789" s="40"/>
      <c r="I789" s="40"/>
      <c r="J789" s="41"/>
      <c r="K789" s="41">
        <v>0</v>
      </c>
      <c r="L789" s="30">
        <f t="shared" si="155"/>
        <v>0</v>
      </c>
      <c r="M789" s="30">
        <f t="shared" si="155"/>
        <v>0</v>
      </c>
      <c r="N789" s="40"/>
      <c r="O789" s="40"/>
      <c r="P789" s="40"/>
      <c r="Q789" s="44"/>
      <c r="R789" s="37"/>
      <c r="S789" s="37"/>
      <c r="T789" s="48"/>
      <c r="U789" s="30" t="e">
        <f>M789/W789</f>
        <v>#DIV/0!</v>
      </c>
      <c r="V789" s="41" t="e">
        <f t="shared" si="159"/>
        <v>#DIV/0!</v>
      </c>
      <c r="W789" s="41">
        <f t="shared" ref="W789:W852" si="167">X789+AC789+AH789</f>
        <v>0</v>
      </c>
      <c r="X789" s="41">
        <f t="shared" si="157"/>
        <v>0</v>
      </c>
      <c r="Y789" s="41">
        <v>0</v>
      </c>
      <c r="Z789" s="41" t="e">
        <f t="shared" si="160"/>
        <v>#DIV/0!</v>
      </c>
      <c r="AA789" s="41">
        <v>0</v>
      </c>
      <c r="AB789" s="41" t="e">
        <f t="shared" si="161"/>
        <v>#DIV/0!</v>
      </c>
      <c r="AC789" s="41">
        <f t="shared" si="156"/>
        <v>0</v>
      </c>
      <c r="AD789" s="41">
        <v>0</v>
      </c>
      <c r="AE789" s="41" t="e">
        <f t="shared" si="162"/>
        <v>#DIV/0!</v>
      </c>
      <c r="AF789" s="41">
        <v>0</v>
      </c>
      <c r="AG789" s="41" t="e">
        <f t="shared" si="163"/>
        <v>#DIV/0!</v>
      </c>
      <c r="AH789" s="41">
        <f t="shared" si="164"/>
        <v>0</v>
      </c>
      <c r="AI789" s="41">
        <v>0</v>
      </c>
      <c r="AJ789" s="41">
        <v>0</v>
      </c>
      <c r="AK789" s="41">
        <v>0</v>
      </c>
      <c r="AL789" s="41">
        <v>0</v>
      </c>
      <c r="AM789" s="41" t="e">
        <f t="shared" si="158"/>
        <v>#DIV/0!</v>
      </c>
      <c r="AN789" s="41" t="e">
        <f t="shared" si="165"/>
        <v>#DIV/0!</v>
      </c>
      <c r="AO789" s="41" t="e">
        <f t="shared" si="166"/>
        <v>#DIV/0!</v>
      </c>
      <c r="AP789" s="40"/>
      <c r="AQ789" s="36"/>
      <c r="AR789" s="36"/>
      <c r="AS789" s="36"/>
      <c r="AT789" s="36"/>
      <c r="AU789" s="36"/>
      <c r="AV789" s="38"/>
      <c r="AW789" s="40"/>
    </row>
    <row r="790" spans="1:49" s="34" customFormat="1" ht="15.75" customHeight="1" x14ac:dyDescent="0.3">
      <c r="A790" s="35"/>
      <c r="B790" s="36"/>
      <c r="C790" s="37"/>
      <c r="D790" s="39"/>
      <c r="E790" s="40"/>
      <c r="F790" s="36"/>
      <c r="G790" s="37"/>
      <c r="H790" s="40"/>
      <c r="I790" s="40"/>
      <c r="J790" s="41"/>
      <c r="K790" s="41">
        <v>0</v>
      </c>
      <c r="L790" s="30">
        <f t="shared" si="155"/>
        <v>0</v>
      </c>
      <c r="M790" s="30">
        <f t="shared" si="155"/>
        <v>0</v>
      </c>
      <c r="N790" s="40"/>
      <c r="O790" s="40"/>
      <c r="P790" s="40"/>
      <c r="Q790" s="44"/>
      <c r="R790" s="37"/>
      <c r="S790" s="37"/>
      <c r="T790" s="48"/>
      <c r="U790" s="30" t="e">
        <f>M790/W790</f>
        <v>#DIV/0!</v>
      </c>
      <c r="V790" s="41" t="e">
        <f t="shared" si="159"/>
        <v>#DIV/0!</v>
      </c>
      <c r="W790" s="41">
        <f t="shared" si="167"/>
        <v>0</v>
      </c>
      <c r="X790" s="41">
        <f t="shared" si="157"/>
        <v>0</v>
      </c>
      <c r="Y790" s="41">
        <v>0</v>
      </c>
      <c r="Z790" s="41" t="e">
        <f t="shared" si="160"/>
        <v>#DIV/0!</v>
      </c>
      <c r="AA790" s="41">
        <v>0</v>
      </c>
      <c r="AB790" s="41" t="e">
        <f t="shared" si="161"/>
        <v>#DIV/0!</v>
      </c>
      <c r="AC790" s="41">
        <f t="shared" si="156"/>
        <v>0</v>
      </c>
      <c r="AD790" s="41">
        <v>0</v>
      </c>
      <c r="AE790" s="41" t="e">
        <f t="shared" si="162"/>
        <v>#DIV/0!</v>
      </c>
      <c r="AF790" s="41">
        <v>0</v>
      </c>
      <c r="AG790" s="41" t="e">
        <f t="shared" si="163"/>
        <v>#DIV/0!</v>
      </c>
      <c r="AH790" s="41">
        <f t="shared" si="164"/>
        <v>0</v>
      </c>
      <c r="AI790" s="41">
        <v>0</v>
      </c>
      <c r="AJ790" s="41">
        <v>0</v>
      </c>
      <c r="AK790" s="41">
        <v>0</v>
      </c>
      <c r="AL790" s="41">
        <v>0</v>
      </c>
      <c r="AM790" s="41" t="e">
        <f t="shared" si="158"/>
        <v>#DIV/0!</v>
      </c>
      <c r="AN790" s="41" t="e">
        <f t="shared" si="165"/>
        <v>#DIV/0!</v>
      </c>
      <c r="AO790" s="41" t="e">
        <f t="shared" si="166"/>
        <v>#DIV/0!</v>
      </c>
      <c r="AP790" s="40"/>
      <c r="AQ790" s="36"/>
      <c r="AR790" s="36"/>
      <c r="AS790" s="36"/>
      <c r="AT790" s="36"/>
      <c r="AU790" s="36"/>
      <c r="AV790" s="38"/>
      <c r="AW790" s="40"/>
    </row>
    <row r="791" spans="1:49" s="34" customFormat="1" ht="15.75" customHeight="1" x14ac:dyDescent="0.3">
      <c r="A791" s="35"/>
      <c r="B791" s="36"/>
      <c r="C791" s="37"/>
      <c r="D791" s="39"/>
      <c r="E791" s="40"/>
      <c r="F791" s="36"/>
      <c r="G791" s="37"/>
      <c r="H791" s="40"/>
      <c r="I791" s="40"/>
      <c r="J791" s="41"/>
      <c r="K791" s="41">
        <v>0</v>
      </c>
      <c r="L791" s="30">
        <f t="shared" si="155"/>
        <v>0</v>
      </c>
      <c r="M791" s="30">
        <f t="shared" si="155"/>
        <v>0</v>
      </c>
      <c r="N791" s="40"/>
      <c r="O791" s="40"/>
      <c r="P791" s="40"/>
      <c r="Q791" s="44"/>
      <c r="R791" s="37"/>
      <c r="S791" s="37"/>
      <c r="T791" s="48"/>
      <c r="U791" s="30" t="e">
        <f>M791/W791</f>
        <v>#DIV/0!</v>
      </c>
      <c r="V791" s="41" t="e">
        <f t="shared" si="159"/>
        <v>#DIV/0!</v>
      </c>
      <c r="W791" s="41">
        <f t="shared" si="167"/>
        <v>0</v>
      </c>
      <c r="X791" s="41">
        <f t="shared" si="157"/>
        <v>0</v>
      </c>
      <c r="Y791" s="41">
        <v>0</v>
      </c>
      <c r="Z791" s="41" t="e">
        <f t="shared" si="160"/>
        <v>#DIV/0!</v>
      </c>
      <c r="AA791" s="41">
        <v>0</v>
      </c>
      <c r="AB791" s="41" t="e">
        <f t="shared" si="161"/>
        <v>#DIV/0!</v>
      </c>
      <c r="AC791" s="41">
        <f t="shared" si="156"/>
        <v>0</v>
      </c>
      <c r="AD791" s="41">
        <v>0</v>
      </c>
      <c r="AE791" s="41" t="e">
        <f t="shared" si="162"/>
        <v>#DIV/0!</v>
      </c>
      <c r="AF791" s="41">
        <v>0</v>
      </c>
      <c r="AG791" s="41" t="e">
        <f t="shared" si="163"/>
        <v>#DIV/0!</v>
      </c>
      <c r="AH791" s="41">
        <f t="shared" si="164"/>
        <v>0</v>
      </c>
      <c r="AI791" s="41">
        <v>0</v>
      </c>
      <c r="AJ791" s="41">
        <v>0</v>
      </c>
      <c r="AK791" s="41">
        <v>0</v>
      </c>
      <c r="AL791" s="41">
        <v>0</v>
      </c>
      <c r="AM791" s="41" t="e">
        <f t="shared" si="158"/>
        <v>#DIV/0!</v>
      </c>
      <c r="AN791" s="41" t="e">
        <f t="shared" si="165"/>
        <v>#DIV/0!</v>
      </c>
      <c r="AO791" s="41" t="e">
        <f t="shared" si="166"/>
        <v>#DIV/0!</v>
      </c>
      <c r="AP791" s="40"/>
      <c r="AQ791" s="36"/>
      <c r="AR791" s="36"/>
      <c r="AS791" s="36"/>
      <c r="AT791" s="36"/>
      <c r="AU791" s="36"/>
      <c r="AV791" s="38"/>
      <c r="AW791" s="40"/>
    </row>
    <row r="792" spans="1:49" s="34" customFormat="1" ht="15.75" customHeight="1" x14ac:dyDescent="0.3">
      <c r="A792" s="35"/>
      <c r="B792" s="36"/>
      <c r="C792" s="37"/>
      <c r="D792" s="39"/>
      <c r="E792" s="40"/>
      <c r="F792" s="36"/>
      <c r="G792" s="37"/>
      <c r="H792" s="40"/>
      <c r="I792" s="40"/>
      <c r="J792" s="41"/>
      <c r="K792" s="41">
        <v>0</v>
      </c>
      <c r="L792" s="30">
        <f t="shared" si="155"/>
        <v>0</v>
      </c>
      <c r="M792" s="30">
        <f t="shared" si="155"/>
        <v>0</v>
      </c>
      <c r="N792" s="40"/>
      <c r="O792" s="40"/>
      <c r="P792" s="40"/>
      <c r="Q792" s="44"/>
      <c r="R792" s="37"/>
      <c r="S792" s="37"/>
      <c r="T792" s="48"/>
      <c r="U792" s="30" t="e">
        <f>M792/W792</f>
        <v>#DIV/0!</v>
      </c>
      <c r="V792" s="41" t="e">
        <f t="shared" si="159"/>
        <v>#DIV/0!</v>
      </c>
      <c r="W792" s="41">
        <f t="shared" si="167"/>
        <v>0</v>
      </c>
      <c r="X792" s="41">
        <f t="shared" si="157"/>
        <v>0</v>
      </c>
      <c r="Y792" s="41">
        <v>0</v>
      </c>
      <c r="Z792" s="41" t="e">
        <f t="shared" si="160"/>
        <v>#DIV/0!</v>
      </c>
      <c r="AA792" s="41">
        <v>0</v>
      </c>
      <c r="AB792" s="41" t="e">
        <f t="shared" si="161"/>
        <v>#DIV/0!</v>
      </c>
      <c r="AC792" s="41">
        <f t="shared" si="156"/>
        <v>0</v>
      </c>
      <c r="AD792" s="41">
        <v>0</v>
      </c>
      <c r="AE792" s="41" t="e">
        <f t="shared" si="162"/>
        <v>#DIV/0!</v>
      </c>
      <c r="AF792" s="41">
        <v>0</v>
      </c>
      <c r="AG792" s="41" t="e">
        <f t="shared" si="163"/>
        <v>#DIV/0!</v>
      </c>
      <c r="AH792" s="41">
        <f t="shared" si="164"/>
        <v>0</v>
      </c>
      <c r="AI792" s="41">
        <v>0</v>
      </c>
      <c r="AJ792" s="41">
        <v>0</v>
      </c>
      <c r="AK792" s="41">
        <v>0</v>
      </c>
      <c r="AL792" s="41">
        <v>0</v>
      </c>
      <c r="AM792" s="41" t="e">
        <f t="shared" si="158"/>
        <v>#DIV/0!</v>
      </c>
      <c r="AN792" s="41" t="e">
        <f t="shared" si="165"/>
        <v>#DIV/0!</v>
      </c>
      <c r="AO792" s="41" t="e">
        <f t="shared" si="166"/>
        <v>#DIV/0!</v>
      </c>
      <c r="AP792" s="40"/>
      <c r="AQ792" s="36"/>
      <c r="AR792" s="36"/>
      <c r="AS792" s="36"/>
      <c r="AT792" s="36"/>
      <c r="AU792" s="36"/>
      <c r="AV792" s="38"/>
      <c r="AW792" s="40"/>
    </row>
    <row r="793" spans="1:49" s="34" customFormat="1" ht="15.75" customHeight="1" x14ac:dyDescent="0.3">
      <c r="A793" s="35"/>
      <c r="B793" s="36"/>
      <c r="C793" s="37"/>
      <c r="D793" s="39"/>
      <c r="E793" s="40"/>
      <c r="F793" s="36"/>
      <c r="G793" s="37"/>
      <c r="H793" s="40"/>
      <c r="I793" s="40"/>
      <c r="J793" s="41"/>
      <c r="K793" s="41">
        <v>0</v>
      </c>
      <c r="L793" s="30">
        <f t="shared" si="155"/>
        <v>0</v>
      </c>
      <c r="M793" s="30">
        <f t="shared" si="155"/>
        <v>0</v>
      </c>
      <c r="N793" s="40"/>
      <c r="O793" s="40"/>
      <c r="P793" s="40"/>
      <c r="Q793" s="44"/>
      <c r="R793" s="37"/>
      <c r="S793" s="37"/>
      <c r="T793" s="48"/>
      <c r="U793" s="30" t="e">
        <f>M793/W793</f>
        <v>#DIV/0!</v>
      </c>
      <c r="V793" s="41" t="e">
        <f t="shared" si="159"/>
        <v>#DIV/0!</v>
      </c>
      <c r="W793" s="41">
        <f t="shared" si="167"/>
        <v>0</v>
      </c>
      <c r="X793" s="41">
        <f t="shared" si="157"/>
        <v>0</v>
      </c>
      <c r="Y793" s="41">
        <v>0</v>
      </c>
      <c r="Z793" s="41" t="e">
        <f t="shared" si="160"/>
        <v>#DIV/0!</v>
      </c>
      <c r="AA793" s="41">
        <v>0</v>
      </c>
      <c r="AB793" s="41" t="e">
        <f t="shared" si="161"/>
        <v>#DIV/0!</v>
      </c>
      <c r="AC793" s="41">
        <f t="shared" si="156"/>
        <v>0</v>
      </c>
      <c r="AD793" s="41">
        <v>0</v>
      </c>
      <c r="AE793" s="41" t="e">
        <f t="shared" si="162"/>
        <v>#DIV/0!</v>
      </c>
      <c r="AF793" s="41">
        <v>0</v>
      </c>
      <c r="AG793" s="41" t="e">
        <f t="shared" si="163"/>
        <v>#DIV/0!</v>
      </c>
      <c r="AH793" s="41">
        <f t="shared" si="164"/>
        <v>0</v>
      </c>
      <c r="AI793" s="41">
        <v>0</v>
      </c>
      <c r="AJ793" s="41">
        <v>0</v>
      </c>
      <c r="AK793" s="41">
        <v>0</v>
      </c>
      <c r="AL793" s="41">
        <v>0</v>
      </c>
      <c r="AM793" s="41" t="e">
        <f t="shared" si="158"/>
        <v>#DIV/0!</v>
      </c>
      <c r="AN793" s="41" t="e">
        <f t="shared" si="165"/>
        <v>#DIV/0!</v>
      </c>
      <c r="AO793" s="41" t="e">
        <f t="shared" si="166"/>
        <v>#DIV/0!</v>
      </c>
      <c r="AP793" s="40"/>
      <c r="AQ793" s="36"/>
      <c r="AR793" s="36"/>
      <c r="AS793" s="36"/>
      <c r="AT793" s="36"/>
      <c r="AU793" s="36"/>
      <c r="AV793" s="38"/>
      <c r="AW793" s="40"/>
    </row>
    <row r="794" spans="1:49" s="34" customFormat="1" ht="15.75" customHeight="1" x14ac:dyDescent="0.3">
      <c r="A794" s="35"/>
      <c r="B794" s="36"/>
      <c r="C794" s="37"/>
      <c r="D794" s="39"/>
      <c r="E794" s="40"/>
      <c r="F794" s="36"/>
      <c r="G794" s="37"/>
      <c r="H794" s="40"/>
      <c r="I794" s="40"/>
      <c r="J794" s="41"/>
      <c r="K794" s="41">
        <v>0</v>
      </c>
      <c r="L794" s="30">
        <f t="shared" si="155"/>
        <v>0</v>
      </c>
      <c r="M794" s="30">
        <f t="shared" si="155"/>
        <v>0</v>
      </c>
      <c r="N794" s="40"/>
      <c r="O794" s="40"/>
      <c r="P794" s="40"/>
      <c r="Q794" s="44"/>
      <c r="R794" s="37"/>
      <c r="S794" s="37"/>
      <c r="T794" s="48"/>
      <c r="U794" s="30" t="e">
        <f>M794/W794</f>
        <v>#DIV/0!</v>
      </c>
      <c r="V794" s="41" t="e">
        <f t="shared" si="159"/>
        <v>#DIV/0!</v>
      </c>
      <c r="W794" s="41">
        <f t="shared" si="167"/>
        <v>0</v>
      </c>
      <c r="X794" s="41">
        <f t="shared" si="157"/>
        <v>0</v>
      </c>
      <c r="Y794" s="41">
        <v>0</v>
      </c>
      <c r="Z794" s="41" t="e">
        <f t="shared" si="160"/>
        <v>#DIV/0!</v>
      </c>
      <c r="AA794" s="41">
        <v>0</v>
      </c>
      <c r="AB794" s="41" t="e">
        <f t="shared" si="161"/>
        <v>#DIV/0!</v>
      </c>
      <c r="AC794" s="41">
        <f t="shared" si="156"/>
        <v>0</v>
      </c>
      <c r="AD794" s="41">
        <v>0</v>
      </c>
      <c r="AE794" s="41" t="e">
        <f t="shared" si="162"/>
        <v>#DIV/0!</v>
      </c>
      <c r="AF794" s="41">
        <v>0</v>
      </c>
      <c r="AG794" s="41" t="e">
        <f t="shared" si="163"/>
        <v>#DIV/0!</v>
      </c>
      <c r="AH794" s="41">
        <f t="shared" si="164"/>
        <v>0</v>
      </c>
      <c r="AI794" s="41">
        <v>0</v>
      </c>
      <c r="AJ794" s="41">
        <v>0</v>
      </c>
      <c r="AK794" s="41">
        <v>0</v>
      </c>
      <c r="AL794" s="41">
        <v>0</v>
      </c>
      <c r="AM794" s="41" t="e">
        <f t="shared" si="158"/>
        <v>#DIV/0!</v>
      </c>
      <c r="AN794" s="41" t="e">
        <f t="shared" si="165"/>
        <v>#DIV/0!</v>
      </c>
      <c r="AO794" s="41" t="e">
        <f t="shared" si="166"/>
        <v>#DIV/0!</v>
      </c>
      <c r="AP794" s="40"/>
      <c r="AQ794" s="36"/>
      <c r="AR794" s="36"/>
      <c r="AS794" s="36"/>
      <c r="AT794" s="36"/>
      <c r="AU794" s="36"/>
      <c r="AV794" s="38"/>
      <c r="AW794" s="40"/>
    </row>
    <row r="795" spans="1:49" s="34" customFormat="1" ht="15.75" customHeight="1" x14ac:dyDescent="0.3">
      <c r="A795" s="35"/>
      <c r="B795" s="36"/>
      <c r="C795" s="37"/>
      <c r="D795" s="39"/>
      <c r="E795" s="40"/>
      <c r="F795" s="36"/>
      <c r="G795" s="37"/>
      <c r="H795" s="40"/>
      <c r="I795" s="40"/>
      <c r="J795" s="41"/>
      <c r="K795" s="41">
        <v>0</v>
      </c>
      <c r="L795" s="30">
        <f t="shared" si="155"/>
        <v>0</v>
      </c>
      <c r="M795" s="30">
        <f t="shared" si="155"/>
        <v>0</v>
      </c>
      <c r="N795" s="40"/>
      <c r="O795" s="40"/>
      <c r="P795" s="40"/>
      <c r="Q795" s="44"/>
      <c r="R795" s="37"/>
      <c r="S795" s="37"/>
      <c r="T795" s="48"/>
      <c r="U795" s="30" t="e">
        <f>M795/W795</f>
        <v>#DIV/0!</v>
      </c>
      <c r="V795" s="41" t="e">
        <f t="shared" si="159"/>
        <v>#DIV/0!</v>
      </c>
      <c r="W795" s="41">
        <f t="shared" si="167"/>
        <v>0</v>
      </c>
      <c r="X795" s="41">
        <f t="shared" si="157"/>
        <v>0</v>
      </c>
      <c r="Y795" s="41">
        <v>0</v>
      </c>
      <c r="Z795" s="41" t="e">
        <f t="shared" si="160"/>
        <v>#DIV/0!</v>
      </c>
      <c r="AA795" s="41">
        <v>0</v>
      </c>
      <c r="AB795" s="41" t="e">
        <f t="shared" si="161"/>
        <v>#DIV/0!</v>
      </c>
      <c r="AC795" s="41">
        <f t="shared" si="156"/>
        <v>0</v>
      </c>
      <c r="AD795" s="41">
        <v>0</v>
      </c>
      <c r="AE795" s="41" t="e">
        <f t="shared" si="162"/>
        <v>#DIV/0!</v>
      </c>
      <c r="AF795" s="41">
        <v>0</v>
      </c>
      <c r="AG795" s="41" t="e">
        <f t="shared" si="163"/>
        <v>#DIV/0!</v>
      </c>
      <c r="AH795" s="41">
        <f t="shared" si="164"/>
        <v>0</v>
      </c>
      <c r="AI795" s="41">
        <v>0</v>
      </c>
      <c r="AJ795" s="41">
        <v>0</v>
      </c>
      <c r="AK795" s="41">
        <v>0</v>
      </c>
      <c r="AL795" s="41">
        <v>0</v>
      </c>
      <c r="AM795" s="41" t="e">
        <f t="shared" si="158"/>
        <v>#DIV/0!</v>
      </c>
      <c r="AN795" s="41" t="e">
        <f t="shared" si="165"/>
        <v>#DIV/0!</v>
      </c>
      <c r="AO795" s="41" t="e">
        <f t="shared" si="166"/>
        <v>#DIV/0!</v>
      </c>
      <c r="AP795" s="40"/>
      <c r="AQ795" s="36"/>
      <c r="AR795" s="36"/>
      <c r="AS795" s="36"/>
      <c r="AT795" s="36"/>
      <c r="AU795" s="36"/>
      <c r="AV795" s="38"/>
      <c r="AW795" s="40"/>
    </row>
    <row r="796" spans="1:49" s="34" customFormat="1" ht="15.75" customHeight="1" x14ac:dyDescent="0.3">
      <c r="A796" s="35"/>
      <c r="B796" s="36"/>
      <c r="C796" s="37"/>
      <c r="D796" s="39"/>
      <c r="E796" s="40"/>
      <c r="F796" s="36"/>
      <c r="G796" s="37"/>
      <c r="H796" s="40"/>
      <c r="I796" s="40"/>
      <c r="J796" s="41"/>
      <c r="K796" s="41">
        <v>0</v>
      </c>
      <c r="L796" s="30">
        <f t="shared" si="155"/>
        <v>0</v>
      </c>
      <c r="M796" s="30">
        <f t="shared" si="155"/>
        <v>0</v>
      </c>
      <c r="N796" s="40"/>
      <c r="O796" s="40"/>
      <c r="P796" s="40"/>
      <c r="Q796" s="44"/>
      <c r="R796" s="37"/>
      <c r="S796" s="37"/>
      <c r="T796" s="48"/>
      <c r="U796" s="30" t="e">
        <f>M796/W796</f>
        <v>#DIV/0!</v>
      </c>
      <c r="V796" s="41" t="e">
        <f t="shared" si="159"/>
        <v>#DIV/0!</v>
      </c>
      <c r="W796" s="41">
        <f t="shared" si="167"/>
        <v>0</v>
      </c>
      <c r="X796" s="41">
        <f t="shared" si="157"/>
        <v>0</v>
      </c>
      <c r="Y796" s="41">
        <v>0</v>
      </c>
      <c r="Z796" s="41" t="e">
        <f t="shared" si="160"/>
        <v>#DIV/0!</v>
      </c>
      <c r="AA796" s="41">
        <v>0</v>
      </c>
      <c r="AB796" s="41" t="e">
        <f t="shared" si="161"/>
        <v>#DIV/0!</v>
      </c>
      <c r="AC796" s="41">
        <f t="shared" si="156"/>
        <v>0</v>
      </c>
      <c r="AD796" s="41">
        <v>0</v>
      </c>
      <c r="AE796" s="41" t="e">
        <f t="shared" si="162"/>
        <v>#DIV/0!</v>
      </c>
      <c r="AF796" s="41">
        <v>0</v>
      </c>
      <c r="AG796" s="41" t="e">
        <f t="shared" si="163"/>
        <v>#DIV/0!</v>
      </c>
      <c r="AH796" s="41">
        <f t="shared" si="164"/>
        <v>0</v>
      </c>
      <c r="AI796" s="41">
        <v>0</v>
      </c>
      <c r="AJ796" s="41">
        <v>0</v>
      </c>
      <c r="AK796" s="41">
        <v>0</v>
      </c>
      <c r="AL796" s="41">
        <v>0</v>
      </c>
      <c r="AM796" s="41" t="e">
        <f t="shared" si="158"/>
        <v>#DIV/0!</v>
      </c>
      <c r="AN796" s="41" t="e">
        <f t="shared" si="165"/>
        <v>#DIV/0!</v>
      </c>
      <c r="AO796" s="41" t="e">
        <f t="shared" si="166"/>
        <v>#DIV/0!</v>
      </c>
      <c r="AP796" s="40"/>
      <c r="AQ796" s="36"/>
      <c r="AR796" s="36"/>
      <c r="AS796" s="36"/>
      <c r="AT796" s="36"/>
      <c r="AU796" s="36"/>
      <c r="AV796" s="38"/>
      <c r="AW796" s="40"/>
    </row>
    <row r="797" spans="1:49" s="34" customFormat="1" ht="15.75" customHeight="1" x14ac:dyDescent="0.3">
      <c r="A797" s="35"/>
      <c r="B797" s="36"/>
      <c r="C797" s="37"/>
      <c r="D797" s="39"/>
      <c r="E797" s="40"/>
      <c r="F797" s="36"/>
      <c r="G797" s="37"/>
      <c r="H797" s="40"/>
      <c r="I797" s="40"/>
      <c r="J797" s="41"/>
      <c r="K797" s="41">
        <v>0</v>
      </c>
      <c r="L797" s="30">
        <f t="shared" si="155"/>
        <v>0</v>
      </c>
      <c r="M797" s="30">
        <f t="shared" si="155"/>
        <v>0</v>
      </c>
      <c r="N797" s="40"/>
      <c r="O797" s="40"/>
      <c r="P797" s="40"/>
      <c r="Q797" s="44"/>
      <c r="R797" s="37"/>
      <c r="S797" s="37"/>
      <c r="T797" s="48"/>
      <c r="U797" s="30" t="e">
        <f>M797/W797</f>
        <v>#DIV/0!</v>
      </c>
      <c r="V797" s="41" t="e">
        <f t="shared" si="159"/>
        <v>#DIV/0!</v>
      </c>
      <c r="W797" s="41">
        <f t="shared" si="167"/>
        <v>0</v>
      </c>
      <c r="X797" s="41">
        <f t="shared" si="157"/>
        <v>0</v>
      </c>
      <c r="Y797" s="41">
        <v>0</v>
      </c>
      <c r="Z797" s="41" t="e">
        <f t="shared" si="160"/>
        <v>#DIV/0!</v>
      </c>
      <c r="AA797" s="41">
        <v>0</v>
      </c>
      <c r="AB797" s="41" t="e">
        <f t="shared" si="161"/>
        <v>#DIV/0!</v>
      </c>
      <c r="AC797" s="41">
        <f t="shared" si="156"/>
        <v>0</v>
      </c>
      <c r="AD797" s="41">
        <v>0</v>
      </c>
      <c r="AE797" s="41" t="e">
        <f t="shared" si="162"/>
        <v>#DIV/0!</v>
      </c>
      <c r="AF797" s="41">
        <v>0</v>
      </c>
      <c r="AG797" s="41" t="e">
        <f t="shared" si="163"/>
        <v>#DIV/0!</v>
      </c>
      <c r="AH797" s="41">
        <f t="shared" si="164"/>
        <v>0</v>
      </c>
      <c r="AI797" s="41">
        <v>0</v>
      </c>
      <c r="AJ797" s="41">
        <v>0</v>
      </c>
      <c r="AK797" s="41">
        <v>0</v>
      </c>
      <c r="AL797" s="41">
        <v>0</v>
      </c>
      <c r="AM797" s="41" t="e">
        <f t="shared" si="158"/>
        <v>#DIV/0!</v>
      </c>
      <c r="AN797" s="41" t="e">
        <f t="shared" si="165"/>
        <v>#DIV/0!</v>
      </c>
      <c r="AO797" s="41" t="e">
        <f t="shared" si="166"/>
        <v>#DIV/0!</v>
      </c>
      <c r="AP797" s="40"/>
      <c r="AQ797" s="36"/>
      <c r="AR797" s="36"/>
      <c r="AS797" s="36"/>
      <c r="AT797" s="36"/>
      <c r="AU797" s="36"/>
      <c r="AV797" s="38"/>
      <c r="AW797" s="40"/>
    </row>
    <row r="798" spans="1:49" s="34" customFormat="1" ht="15.75" customHeight="1" x14ac:dyDescent="0.3">
      <c r="A798" s="35"/>
      <c r="B798" s="36"/>
      <c r="C798" s="37"/>
      <c r="D798" s="39"/>
      <c r="E798" s="40"/>
      <c r="F798" s="36"/>
      <c r="G798" s="37"/>
      <c r="H798" s="40"/>
      <c r="I798" s="40"/>
      <c r="J798" s="41"/>
      <c r="K798" s="41">
        <v>0</v>
      </c>
      <c r="L798" s="30">
        <f t="shared" si="155"/>
        <v>0</v>
      </c>
      <c r="M798" s="30">
        <f t="shared" si="155"/>
        <v>0</v>
      </c>
      <c r="N798" s="40"/>
      <c r="O798" s="40"/>
      <c r="P798" s="40"/>
      <c r="Q798" s="44"/>
      <c r="R798" s="37"/>
      <c r="S798" s="37"/>
      <c r="T798" s="48"/>
      <c r="U798" s="30" t="e">
        <f>M798/W798</f>
        <v>#DIV/0!</v>
      </c>
      <c r="V798" s="41" t="e">
        <f t="shared" si="159"/>
        <v>#DIV/0!</v>
      </c>
      <c r="W798" s="41">
        <f t="shared" si="167"/>
        <v>0</v>
      </c>
      <c r="X798" s="41">
        <f t="shared" si="157"/>
        <v>0</v>
      </c>
      <c r="Y798" s="41">
        <v>0</v>
      </c>
      <c r="Z798" s="41" t="e">
        <f t="shared" si="160"/>
        <v>#DIV/0!</v>
      </c>
      <c r="AA798" s="41">
        <v>0</v>
      </c>
      <c r="AB798" s="41" t="e">
        <f t="shared" si="161"/>
        <v>#DIV/0!</v>
      </c>
      <c r="AC798" s="41">
        <f t="shared" si="156"/>
        <v>0</v>
      </c>
      <c r="AD798" s="41">
        <v>0</v>
      </c>
      <c r="AE798" s="41" t="e">
        <f t="shared" si="162"/>
        <v>#DIV/0!</v>
      </c>
      <c r="AF798" s="41">
        <v>0</v>
      </c>
      <c r="AG798" s="41" t="e">
        <f t="shared" si="163"/>
        <v>#DIV/0!</v>
      </c>
      <c r="AH798" s="41">
        <f t="shared" si="164"/>
        <v>0</v>
      </c>
      <c r="AI798" s="41">
        <v>0</v>
      </c>
      <c r="AJ798" s="41">
        <v>0</v>
      </c>
      <c r="AK798" s="41">
        <v>0</v>
      </c>
      <c r="AL798" s="41">
        <v>0</v>
      </c>
      <c r="AM798" s="41" t="e">
        <f t="shared" si="158"/>
        <v>#DIV/0!</v>
      </c>
      <c r="AN798" s="41" t="e">
        <f t="shared" si="165"/>
        <v>#DIV/0!</v>
      </c>
      <c r="AO798" s="41" t="e">
        <f t="shared" si="166"/>
        <v>#DIV/0!</v>
      </c>
      <c r="AP798" s="40"/>
      <c r="AQ798" s="36"/>
      <c r="AR798" s="36"/>
      <c r="AS798" s="36"/>
      <c r="AT798" s="36"/>
      <c r="AU798" s="36"/>
      <c r="AV798" s="38"/>
      <c r="AW798" s="40"/>
    </row>
    <row r="799" spans="1:49" s="34" customFormat="1" ht="15.75" customHeight="1" x14ac:dyDescent="0.3">
      <c r="A799" s="35"/>
      <c r="B799" s="36"/>
      <c r="C799" s="37"/>
      <c r="D799" s="39"/>
      <c r="E799" s="40"/>
      <c r="F799" s="36"/>
      <c r="G799" s="37"/>
      <c r="H799" s="40"/>
      <c r="I799" s="40"/>
      <c r="J799" s="41"/>
      <c r="K799" s="41">
        <v>0</v>
      </c>
      <c r="L799" s="30">
        <f t="shared" si="155"/>
        <v>0</v>
      </c>
      <c r="M799" s="30">
        <f t="shared" si="155"/>
        <v>0</v>
      </c>
      <c r="N799" s="40"/>
      <c r="O799" s="40"/>
      <c r="P799" s="40"/>
      <c r="Q799" s="44"/>
      <c r="R799" s="37"/>
      <c r="S799" s="37"/>
      <c r="T799" s="48"/>
      <c r="U799" s="30" t="e">
        <f>M799/W799</f>
        <v>#DIV/0!</v>
      </c>
      <c r="V799" s="41" t="e">
        <f t="shared" si="159"/>
        <v>#DIV/0!</v>
      </c>
      <c r="W799" s="41">
        <f t="shared" si="167"/>
        <v>0</v>
      </c>
      <c r="X799" s="41">
        <f t="shared" si="157"/>
        <v>0</v>
      </c>
      <c r="Y799" s="41">
        <v>0</v>
      </c>
      <c r="Z799" s="41" t="e">
        <f t="shared" si="160"/>
        <v>#DIV/0!</v>
      </c>
      <c r="AA799" s="41">
        <v>0</v>
      </c>
      <c r="AB799" s="41" t="e">
        <f t="shared" si="161"/>
        <v>#DIV/0!</v>
      </c>
      <c r="AC799" s="41">
        <f t="shared" si="156"/>
        <v>0</v>
      </c>
      <c r="AD799" s="41">
        <v>0</v>
      </c>
      <c r="AE799" s="41" t="e">
        <f t="shared" si="162"/>
        <v>#DIV/0!</v>
      </c>
      <c r="AF799" s="41">
        <v>0</v>
      </c>
      <c r="AG799" s="41" t="e">
        <f t="shared" si="163"/>
        <v>#DIV/0!</v>
      </c>
      <c r="AH799" s="41">
        <f t="shared" si="164"/>
        <v>0</v>
      </c>
      <c r="AI799" s="41">
        <v>0</v>
      </c>
      <c r="AJ799" s="41">
        <v>0</v>
      </c>
      <c r="AK799" s="41">
        <v>0</v>
      </c>
      <c r="AL799" s="41">
        <v>0</v>
      </c>
      <c r="AM799" s="41" t="e">
        <f t="shared" si="158"/>
        <v>#DIV/0!</v>
      </c>
      <c r="AN799" s="41" t="e">
        <f t="shared" si="165"/>
        <v>#DIV/0!</v>
      </c>
      <c r="AO799" s="41" t="e">
        <f t="shared" si="166"/>
        <v>#DIV/0!</v>
      </c>
      <c r="AP799" s="40"/>
      <c r="AQ799" s="36"/>
      <c r="AR799" s="36"/>
      <c r="AS799" s="36"/>
      <c r="AT799" s="36"/>
      <c r="AU799" s="36"/>
      <c r="AV799" s="38"/>
      <c r="AW799" s="40"/>
    </row>
    <row r="800" spans="1:49" s="34" customFormat="1" ht="15.75" customHeight="1" x14ac:dyDescent="0.3">
      <c r="A800" s="35"/>
      <c r="B800" s="36"/>
      <c r="C800" s="37"/>
      <c r="D800" s="39"/>
      <c r="E800" s="40"/>
      <c r="F800" s="36"/>
      <c r="G800" s="37"/>
      <c r="H800" s="40"/>
      <c r="I800" s="40"/>
      <c r="J800" s="41"/>
      <c r="K800" s="41">
        <v>0</v>
      </c>
      <c r="L800" s="30">
        <f t="shared" si="155"/>
        <v>0</v>
      </c>
      <c r="M800" s="30">
        <f t="shared" si="155"/>
        <v>0</v>
      </c>
      <c r="N800" s="40"/>
      <c r="O800" s="40"/>
      <c r="P800" s="40"/>
      <c r="Q800" s="44"/>
      <c r="R800" s="37"/>
      <c r="S800" s="37"/>
      <c r="T800" s="48"/>
      <c r="U800" s="30" t="e">
        <f>M800/W800</f>
        <v>#DIV/0!</v>
      </c>
      <c r="V800" s="41" t="e">
        <f t="shared" si="159"/>
        <v>#DIV/0!</v>
      </c>
      <c r="W800" s="41">
        <f t="shared" si="167"/>
        <v>0</v>
      </c>
      <c r="X800" s="41">
        <f t="shared" si="157"/>
        <v>0</v>
      </c>
      <c r="Y800" s="41">
        <v>0</v>
      </c>
      <c r="Z800" s="41" t="e">
        <f t="shared" si="160"/>
        <v>#DIV/0!</v>
      </c>
      <c r="AA800" s="41">
        <v>0</v>
      </c>
      <c r="AB800" s="41" t="e">
        <f t="shared" si="161"/>
        <v>#DIV/0!</v>
      </c>
      <c r="AC800" s="41">
        <f t="shared" si="156"/>
        <v>0</v>
      </c>
      <c r="AD800" s="41">
        <v>0</v>
      </c>
      <c r="AE800" s="41" t="e">
        <f t="shared" si="162"/>
        <v>#DIV/0!</v>
      </c>
      <c r="AF800" s="41">
        <v>0</v>
      </c>
      <c r="AG800" s="41" t="e">
        <f t="shared" si="163"/>
        <v>#DIV/0!</v>
      </c>
      <c r="AH800" s="41">
        <f t="shared" si="164"/>
        <v>0</v>
      </c>
      <c r="AI800" s="41">
        <v>0</v>
      </c>
      <c r="AJ800" s="41">
        <v>0</v>
      </c>
      <c r="AK800" s="41">
        <v>0</v>
      </c>
      <c r="AL800" s="41">
        <v>0</v>
      </c>
      <c r="AM800" s="41" t="e">
        <f t="shared" si="158"/>
        <v>#DIV/0!</v>
      </c>
      <c r="AN800" s="41" t="e">
        <f t="shared" si="165"/>
        <v>#DIV/0!</v>
      </c>
      <c r="AO800" s="41" t="e">
        <f t="shared" si="166"/>
        <v>#DIV/0!</v>
      </c>
      <c r="AP800" s="40"/>
      <c r="AQ800" s="36"/>
      <c r="AR800" s="36"/>
      <c r="AS800" s="36"/>
      <c r="AT800" s="36"/>
      <c r="AU800" s="36"/>
      <c r="AV800" s="38"/>
      <c r="AW800" s="40"/>
    </row>
    <row r="801" spans="1:49" s="34" customFormat="1" ht="15.75" customHeight="1" x14ac:dyDescent="0.3">
      <c r="A801" s="35"/>
      <c r="B801" s="36"/>
      <c r="C801" s="37"/>
      <c r="D801" s="39"/>
      <c r="E801" s="40"/>
      <c r="F801" s="36"/>
      <c r="G801" s="37"/>
      <c r="H801" s="40"/>
      <c r="I801" s="40"/>
      <c r="J801" s="41"/>
      <c r="K801" s="41">
        <v>0</v>
      </c>
      <c r="L801" s="30">
        <f t="shared" si="155"/>
        <v>0</v>
      </c>
      <c r="M801" s="30">
        <f t="shared" si="155"/>
        <v>0</v>
      </c>
      <c r="N801" s="40"/>
      <c r="O801" s="40"/>
      <c r="P801" s="40"/>
      <c r="Q801" s="44"/>
      <c r="R801" s="37"/>
      <c r="S801" s="37"/>
      <c r="T801" s="48"/>
      <c r="U801" s="30" t="e">
        <f>M801/W801</f>
        <v>#DIV/0!</v>
      </c>
      <c r="V801" s="41" t="e">
        <f t="shared" si="159"/>
        <v>#DIV/0!</v>
      </c>
      <c r="W801" s="41">
        <f t="shared" si="167"/>
        <v>0</v>
      </c>
      <c r="X801" s="41">
        <f t="shared" si="157"/>
        <v>0</v>
      </c>
      <c r="Y801" s="41">
        <v>0</v>
      </c>
      <c r="Z801" s="41" t="e">
        <f t="shared" si="160"/>
        <v>#DIV/0!</v>
      </c>
      <c r="AA801" s="41">
        <v>0</v>
      </c>
      <c r="AB801" s="41" t="e">
        <f t="shared" si="161"/>
        <v>#DIV/0!</v>
      </c>
      <c r="AC801" s="41">
        <f t="shared" si="156"/>
        <v>0</v>
      </c>
      <c r="AD801" s="41">
        <v>0</v>
      </c>
      <c r="AE801" s="41" t="e">
        <f t="shared" si="162"/>
        <v>#DIV/0!</v>
      </c>
      <c r="AF801" s="41">
        <v>0</v>
      </c>
      <c r="AG801" s="41" t="e">
        <f t="shared" si="163"/>
        <v>#DIV/0!</v>
      </c>
      <c r="AH801" s="41">
        <f t="shared" si="164"/>
        <v>0</v>
      </c>
      <c r="AI801" s="41">
        <v>0</v>
      </c>
      <c r="AJ801" s="41">
        <v>0</v>
      </c>
      <c r="AK801" s="41">
        <v>0</v>
      </c>
      <c r="AL801" s="41">
        <v>0</v>
      </c>
      <c r="AM801" s="41" t="e">
        <f t="shared" si="158"/>
        <v>#DIV/0!</v>
      </c>
      <c r="AN801" s="41" t="e">
        <f t="shared" si="165"/>
        <v>#DIV/0!</v>
      </c>
      <c r="AO801" s="41" t="e">
        <f t="shared" si="166"/>
        <v>#DIV/0!</v>
      </c>
      <c r="AP801" s="40"/>
      <c r="AQ801" s="36"/>
      <c r="AR801" s="36"/>
      <c r="AS801" s="36"/>
      <c r="AT801" s="36"/>
      <c r="AU801" s="36"/>
      <c r="AV801" s="38"/>
      <c r="AW801" s="40"/>
    </row>
    <row r="802" spans="1:49" s="34" customFormat="1" ht="15.75" customHeight="1" x14ac:dyDescent="0.3">
      <c r="A802" s="35"/>
      <c r="B802" s="36"/>
      <c r="C802" s="37"/>
      <c r="D802" s="39"/>
      <c r="E802" s="40"/>
      <c r="F802" s="36"/>
      <c r="G802" s="37"/>
      <c r="H802" s="40"/>
      <c r="I802" s="40"/>
      <c r="J802" s="41"/>
      <c r="K802" s="41">
        <v>0</v>
      </c>
      <c r="L802" s="30">
        <f t="shared" si="155"/>
        <v>0</v>
      </c>
      <c r="M802" s="30">
        <f t="shared" si="155"/>
        <v>0</v>
      </c>
      <c r="N802" s="40"/>
      <c r="O802" s="40"/>
      <c r="P802" s="40"/>
      <c r="Q802" s="44"/>
      <c r="R802" s="37"/>
      <c r="S802" s="37"/>
      <c r="T802" s="48"/>
      <c r="U802" s="30" t="e">
        <f>M802/W802</f>
        <v>#DIV/0!</v>
      </c>
      <c r="V802" s="41" t="e">
        <f t="shared" si="159"/>
        <v>#DIV/0!</v>
      </c>
      <c r="W802" s="41">
        <f t="shared" si="167"/>
        <v>0</v>
      </c>
      <c r="X802" s="41">
        <f t="shared" si="157"/>
        <v>0</v>
      </c>
      <c r="Y802" s="41">
        <v>0</v>
      </c>
      <c r="Z802" s="41" t="e">
        <f t="shared" si="160"/>
        <v>#DIV/0!</v>
      </c>
      <c r="AA802" s="41">
        <v>0</v>
      </c>
      <c r="AB802" s="41" t="e">
        <f t="shared" si="161"/>
        <v>#DIV/0!</v>
      </c>
      <c r="AC802" s="41">
        <f t="shared" si="156"/>
        <v>0</v>
      </c>
      <c r="AD802" s="41">
        <v>0</v>
      </c>
      <c r="AE802" s="41" t="e">
        <f t="shared" si="162"/>
        <v>#DIV/0!</v>
      </c>
      <c r="AF802" s="41">
        <v>0</v>
      </c>
      <c r="AG802" s="41" t="e">
        <f t="shared" si="163"/>
        <v>#DIV/0!</v>
      </c>
      <c r="AH802" s="41">
        <f t="shared" si="164"/>
        <v>0</v>
      </c>
      <c r="AI802" s="41">
        <v>0</v>
      </c>
      <c r="AJ802" s="41">
        <v>0</v>
      </c>
      <c r="AK802" s="41">
        <v>0</v>
      </c>
      <c r="AL802" s="41">
        <v>0</v>
      </c>
      <c r="AM802" s="41" t="e">
        <f t="shared" si="158"/>
        <v>#DIV/0!</v>
      </c>
      <c r="AN802" s="41" t="e">
        <f t="shared" si="165"/>
        <v>#DIV/0!</v>
      </c>
      <c r="AO802" s="41" t="e">
        <f t="shared" si="166"/>
        <v>#DIV/0!</v>
      </c>
      <c r="AP802" s="40"/>
      <c r="AQ802" s="36"/>
      <c r="AR802" s="36"/>
      <c r="AS802" s="36"/>
      <c r="AT802" s="36"/>
      <c r="AU802" s="36"/>
      <c r="AV802" s="38"/>
      <c r="AW802" s="40"/>
    </row>
    <row r="803" spans="1:49" s="34" customFormat="1" ht="15.75" customHeight="1" x14ac:dyDescent="0.3">
      <c r="A803" s="35"/>
      <c r="B803" s="36"/>
      <c r="C803" s="37"/>
      <c r="D803" s="39"/>
      <c r="E803" s="40"/>
      <c r="F803" s="36"/>
      <c r="G803" s="37"/>
      <c r="H803" s="40"/>
      <c r="I803" s="40"/>
      <c r="J803" s="41"/>
      <c r="K803" s="41">
        <v>0</v>
      </c>
      <c r="L803" s="30">
        <f t="shared" ref="L803:M843" si="168">K803</f>
        <v>0</v>
      </c>
      <c r="M803" s="30">
        <f t="shared" si="168"/>
        <v>0</v>
      </c>
      <c r="N803" s="40"/>
      <c r="O803" s="40"/>
      <c r="P803" s="40"/>
      <c r="Q803" s="44"/>
      <c r="R803" s="37"/>
      <c r="S803" s="37"/>
      <c r="T803" s="48"/>
      <c r="U803" s="30" t="e">
        <f>M803/W803</f>
        <v>#DIV/0!</v>
      </c>
      <c r="V803" s="41" t="e">
        <f t="shared" si="159"/>
        <v>#DIV/0!</v>
      </c>
      <c r="W803" s="41">
        <f t="shared" si="167"/>
        <v>0</v>
      </c>
      <c r="X803" s="41">
        <f t="shared" si="157"/>
        <v>0</v>
      </c>
      <c r="Y803" s="41">
        <v>0</v>
      </c>
      <c r="Z803" s="41" t="e">
        <f t="shared" si="160"/>
        <v>#DIV/0!</v>
      </c>
      <c r="AA803" s="41">
        <v>0</v>
      </c>
      <c r="AB803" s="41" t="e">
        <f t="shared" si="161"/>
        <v>#DIV/0!</v>
      </c>
      <c r="AC803" s="41">
        <f t="shared" si="156"/>
        <v>0</v>
      </c>
      <c r="AD803" s="41">
        <v>0</v>
      </c>
      <c r="AE803" s="41" t="e">
        <f t="shared" si="162"/>
        <v>#DIV/0!</v>
      </c>
      <c r="AF803" s="41">
        <v>0</v>
      </c>
      <c r="AG803" s="41" t="e">
        <f t="shared" si="163"/>
        <v>#DIV/0!</v>
      </c>
      <c r="AH803" s="41">
        <f t="shared" si="164"/>
        <v>0</v>
      </c>
      <c r="AI803" s="41">
        <v>0</v>
      </c>
      <c r="AJ803" s="41">
        <v>0</v>
      </c>
      <c r="AK803" s="41">
        <v>0</v>
      </c>
      <c r="AL803" s="41">
        <v>0</v>
      </c>
      <c r="AM803" s="41" t="e">
        <f t="shared" si="158"/>
        <v>#DIV/0!</v>
      </c>
      <c r="AN803" s="41" t="e">
        <f t="shared" si="165"/>
        <v>#DIV/0!</v>
      </c>
      <c r="AO803" s="41" t="e">
        <f t="shared" si="166"/>
        <v>#DIV/0!</v>
      </c>
      <c r="AP803" s="40"/>
      <c r="AQ803" s="36"/>
      <c r="AR803" s="36"/>
      <c r="AS803" s="36"/>
      <c r="AT803" s="36"/>
      <c r="AU803" s="36"/>
      <c r="AV803" s="38"/>
      <c r="AW803" s="40"/>
    </row>
    <row r="804" spans="1:49" s="34" customFormat="1" ht="15.75" customHeight="1" x14ac:dyDescent="0.3">
      <c r="A804" s="35"/>
      <c r="B804" s="36"/>
      <c r="C804" s="37"/>
      <c r="D804" s="39"/>
      <c r="E804" s="40"/>
      <c r="F804" s="36"/>
      <c r="G804" s="37"/>
      <c r="H804" s="40"/>
      <c r="I804" s="40"/>
      <c r="J804" s="41"/>
      <c r="K804" s="41">
        <v>0</v>
      </c>
      <c r="L804" s="30">
        <f t="shared" si="168"/>
        <v>0</v>
      </c>
      <c r="M804" s="30">
        <f t="shared" si="168"/>
        <v>0</v>
      </c>
      <c r="N804" s="40"/>
      <c r="O804" s="40"/>
      <c r="P804" s="40"/>
      <c r="Q804" s="44"/>
      <c r="R804" s="37"/>
      <c r="S804" s="37"/>
      <c r="T804" s="48"/>
      <c r="U804" s="30" t="e">
        <f>M804/W804</f>
        <v>#DIV/0!</v>
      </c>
      <c r="V804" s="41" t="e">
        <f t="shared" si="159"/>
        <v>#DIV/0!</v>
      </c>
      <c r="W804" s="41">
        <f t="shared" si="167"/>
        <v>0</v>
      </c>
      <c r="X804" s="41">
        <f t="shared" si="157"/>
        <v>0</v>
      </c>
      <c r="Y804" s="41">
        <v>0</v>
      </c>
      <c r="Z804" s="41" t="e">
        <f t="shared" si="160"/>
        <v>#DIV/0!</v>
      </c>
      <c r="AA804" s="41">
        <v>0</v>
      </c>
      <c r="AB804" s="41" t="e">
        <f t="shared" si="161"/>
        <v>#DIV/0!</v>
      </c>
      <c r="AC804" s="41">
        <f t="shared" ref="AC804:AC844" si="169">AD804+AF804</f>
        <v>0</v>
      </c>
      <c r="AD804" s="41">
        <v>0</v>
      </c>
      <c r="AE804" s="41" t="e">
        <f t="shared" si="162"/>
        <v>#DIV/0!</v>
      </c>
      <c r="AF804" s="41">
        <v>0</v>
      </c>
      <c r="AG804" s="41" t="e">
        <f t="shared" si="163"/>
        <v>#DIV/0!</v>
      </c>
      <c r="AH804" s="41">
        <f t="shared" si="164"/>
        <v>0</v>
      </c>
      <c r="AI804" s="41">
        <v>0</v>
      </c>
      <c r="AJ804" s="41">
        <v>0</v>
      </c>
      <c r="AK804" s="41">
        <v>0</v>
      </c>
      <c r="AL804" s="41">
        <v>0</v>
      </c>
      <c r="AM804" s="41" t="e">
        <f t="shared" si="158"/>
        <v>#DIV/0!</v>
      </c>
      <c r="AN804" s="41" t="e">
        <f t="shared" si="165"/>
        <v>#DIV/0!</v>
      </c>
      <c r="AO804" s="41" t="e">
        <f t="shared" si="166"/>
        <v>#DIV/0!</v>
      </c>
      <c r="AP804" s="40"/>
      <c r="AQ804" s="36"/>
      <c r="AR804" s="36"/>
      <c r="AS804" s="36"/>
      <c r="AT804" s="36"/>
      <c r="AU804" s="36"/>
      <c r="AV804" s="38"/>
      <c r="AW804" s="40"/>
    </row>
    <row r="805" spans="1:49" s="34" customFormat="1" ht="15.75" customHeight="1" x14ac:dyDescent="0.3">
      <c r="A805" s="35"/>
      <c r="B805" s="36"/>
      <c r="C805" s="37"/>
      <c r="D805" s="39"/>
      <c r="E805" s="40"/>
      <c r="F805" s="36"/>
      <c r="G805" s="37"/>
      <c r="H805" s="40"/>
      <c r="I805" s="40"/>
      <c r="J805" s="41"/>
      <c r="K805" s="41">
        <v>0</v>
      </c>
      <c r="L805" s="30">
        <f t="shared" si="168"/>
        <v>0</v>
      </c>
      <c r="M805" s="30">
        <f t="shared" si="168"/>
        <v>0</v>
      </c>
      <c r="N805" s="40"/>
      <c r="O805" s="40"/>
      <c r="P805" s="40"/>
      <c r="Q805" s="44"/>
      <c r="R805" s="37"/>
      <c r="S805" s="37"/>
      <c r="T805" s="48"/>
      <c r="U805" s="30" t="e">
        <f>M805/W805</f>
        <v>#DIV/0!</v>
      </c>
      <c r="V805" s="41" t="e">
        <f t="shared" si="159"/>
        <v>#DIV/0!</v>
      </c>
      <c r="W805" s="41">
        <f t="shared" si="167"/>
        <v>0</v>
      </c>
      <c r="X805" s="41">
        <f t="shared" si="157"/>
        <v>0</v>
      </c>
      <c r="Y805" s="41">
        <v>0</v>
      </c>
      <c r="Z805" s="41" t="e">
        <f t="shared" si="160"/>
        <v>#DIV/0!</v>
      </c>
      <c r="AA805" s="41">
        <v>0</v>
      </c>
      <c r="AB805" s="41" t="e">
        <f t="shared" si="161"/>
        <v>#DIV/0!</v>
      </c>
      <c r="AC805" s="41">
        <f t="shared" si="169"/>
        <v>0</v>
      </c>
      <c r="AD805" s="41">
        <v>0</v>
      </c>
      <c r="AE805" s="41" t="e">
        <f t="shared" si="162"/>
        <v>#DIV/0!</v>
      </c>
      <c r="AF805" s="41">
        <v>0</v>
      </c>
      <c r="AG805" s="41" t="e">
        <f t="shared" si="163"/>
        <v>#DIV/0!</v>
      </c>
      <c r="AH805" s="41">
        <f t="shared" si="164"/>
        <v>0</v>
      </c>
      <c r="AI805" s="41">
        <v>0</v>
      </c>
      <c r="AJ805" s="41">
        <v>0</v>
      </c>
      <c r="AK805" s="41">
        <v>0</v>
      </c>
      <c r="AL805" s="41">
        <v>0</v>
      </c>
      <c r="AM805" s="41" t="e">
        <f t="shared" si="158"/>
        <v>#DIV/0!</v>
      </c>
      <c r="AN805" s="41" t="e">
        <f t="shared" si="165"/>
        <v>#DIV/0!</v>
      </c>
      <c r="AO805" s="41" t="e">
        <f t="shared" si="166"/>
        <v>#DIV/0!</v>
      </c>
      <c r="AP805" s="40"/>
      <c r="AQ805" s="36"/>
      <c r="AR805" s="36"/>
      <c r="AS805" s="36"/>
      <c r="AT805" s="36"/>
      <c r="AU805" s="36"/>
      <c r="AV805" s="38"/>
      <c r="AW805" s="40"/>
    </row>
    <row r="806" spans="1:49" s="34" customFormat="1" ht="15.75" customHeight="1" x14ac:dyDescent="0.3">
      <c r="A806" s="35"/>
      <c r="B806" s="36"/>
      <c r="C806" s="37"/>
      <c r="D806" s="39"/>
      <c r="E806" s="40"/>
      <c r="F806" s="36"/>
      <c r="G806" s="37"/>
      <c r="H806" s="40"/>
      <c r="I806" s="40"/>
      <c r="J806" s="41"/>
      <c r="K806" s="41">
        <v>0</v>
      </c>
      <c r="L806" s="30">
        <f t="shared" si="168"/>
        <v>0</v>
      </c>
      <c r="M806" s="30">
        <f t="shared" si="168"/>
        <v>0</v>
      </c>
      <c r="N806" s="40"/>
      <c r="O806" s="40"/>
      <c r="P806" s="40"/>
      <c r="Q806" s="44"/>
      <c r="R806" s="37"/>
      <c r="S806" s="37"/>
      <c r="T806" s="48"/>
      <c r="U806" s="30" t="e">
        <f>M806/W806</f>
        <v>#DIV/0!</v>
      </c>
      <c r="V806" s="41" t="e">
        <f t="shared" si="159"/>
        <v>#DIV/0!</v>
      </c>
      <c r="W806" s="41">
        <f t="shared" si="167"/>
        <v>0</v>
      </c>
      <c r="X806" s="41">
        <f t="shared" si="157"/>
        <v>0</v>
      </c>
      <c r="Y806" s="41">
        <v>0</v>
      </c>
      <c r="Z806" s="41" t="e">
        <f t="shared" si="160"/>
        <v>#DIV/0!</v>
      </c>
      <c r="AA806" s="41">
        <v>0</v>
      </c>
      <c r="AB806" s="41" t="e">
        <f t="shared" si="161"/>
        <v>#DIV/0!</v>
      </c>
      <c r="AC806" s="41">
        <f t="shared" si="169"/>
        <v>0</v>
      </c>
      <c r="AD806" s="41">
        <v>0</v>
      </c>
      <c r="AE806" s="41" t="e">
        <f t="shared" si="162"/>
        <v>#DIV/0!</v>
      </c>
      <c r="AF806" s="41">
        <v>0</v>
      </c>
      <c r="AG806" s="41" t="e">
        <f t="shared" si="163"/>
        <v>#DIV/0!</v>
      </c>
      <c r="AH806" s="41">
        <f t="shared" si="164"/>
        <v>0</v>
      </c>
      <c r="AI806" s="41">
        <v>0</v>
      </c>
      <c r="AJ806" s="41">
        <v>0</v>
      </c>
      <c r="AK806" s="41">
        <v>0</v>
      </c>
      <c r="AL806" s="41">
        <v>0</v>
      </c>
      <c r="AM806" s="41" t="e">
        <f t="shared" si="158"/>
        <v>#DIV/0!</v>
      </c>
      <c r="AN806" s="41" t="e">
        <f t="shared" si="165"/>
        <v>#DIV/0!</v>
      </c>
      <c r="AO806" s="41" t="e">
        <f t="shared" si="166"/>
        <v>#DIV/0!</v>
      </c>
      <c r="AP806" s="40"/>
      <c r="AQ806" s="36"/>
      <c r="AR806" s="36"/>
      <c r="AS806" s="36"/>
      <c r="AT806" s="36"/>
      <c r="AU806" s="36"/>
      <c r="AV806" s="38"/>
      <c r="AW806" s="40"/>
    </row>
    <row r="807" spans="1:49" s="34" customFormat="1" ht="15.75" customHeight="1" x14ac:dyDescent="0.3">
      <c r="A807" s="35"/>
      <c r="B807" s="36"/>
      <c r="C807" s="37"/>
      <c r="D807" s="39"/>
      <c r="E807" s="40"/>
      <c r="F807" s="36"/>
      <c r="G807" s="37"/>
      <c r="H807" s="40"/>
      <c r="I807" s="40"/>
      <c r="J807" s="41"/>
      <c r="K807" s="41">
        <v>0</v>
      </c>
      <c r="L807" s="30">
        <f t="shared" si="168"/>
        <v>0</v>
      </c>
      <c r="M807" s="30">
        <f t="shared" si="168"/>
        <v>0</v>
      </c>
      <c r="N807" s="40"/>
      <c r="O807" s="40"/>
      <c r="P807" s="40"/>
      <c r="Q807" s="44"/>
      <c r="R807" s="37"/>
      <c r="S807" s="37"/>
      <c r="T807" s="48"/>
      <c r="U807" s="30" t="e">
        <f>M807/W807</f>
        <v>#DIV/0!</v>
      </c>
      <c r="V807" s="41" t="e">
        <f t="shared" si="159"/>
        <v>#DIV/0!</v>
      </c>
      <c r="W807" s="41">
        <f t="shared" si="167"/>
        <v>0</v>
      </c>
      <c r="X807" s="41">
        <f t="shared" si="157"/>
        <v>0</v>
      </c>
      <c r="Y807" s="41">
        <v>0</v>
      </c>
      <c r="Z807" s="41" t="e">
        <f t="shared" si="160"/>
        <v>#DIV/0!</v>
      </c>
      <c r="AA807" s="41">
        <v>0</v>
      </c>
      <c r="AB807" s="41" t="e">
        <f t="shared" si="161"/>
        <v>#DIV/0!</v>
      </c>
      <c r="AC807" s="41">
        <f t="shared" si="169"/>
        <v>0</v>
      </c>
      <c r="AD807" s="41">
        <v>0</v>
      </c>
      <c r="AE807" s="41" t="e">
        <f t="shared" si="162"/>
        <v>#DIV/0!</v>
      </c>
      <c r="AF807" s="41">
        <v>0</v>
      </c>
      <c r="AG807" s="41" t="e">
        <f t="shared" si="163"/>
        <v>#DIV/0!</v>
      </c>
      <c r="AH807" s="41">
        <f t="shared" si="164"/>
        <v>0</v>
      </c>
      <c r="AI807" s="41">
        <v>0</v>
      </c>
      <c r="AJ807" s="41">
        <v>0</v>
      </c>
      <c r="AK807" s="41">
        <v>0</v>
      </c>
      <c r="AL807" s="41">
        <v>0</v>
      </c>
      <c r="AM807" s="41" t="e">
        <f t="shared" si="158"/>
        <v>#DIV/0!</v>
      </c>
      <c r="AN807" s="41" t="e">
        <f t="shared" si="165"/>
        <v>#DIV/0!</v>
      </c>
      <c r="AO807" s="41" t="e">
        <f t="shared" si="166"/>
        <v>#DIV/0!</v>
      </c>
      <c r="AP807" s="40"/>
      <c r="AQ807" s="36"/>
      <c r="AR807" s="36"/>
      <c r="AS807" s="36"/>
      <c r="AT807" s="36"/>
      <c r="AU807" s="36"/>
      <c r="AV807" s="38"/>
      <c r="AW807" s="40"/>
    </row>
    <row r="808" spans="1:49" s="34" customFormat="1" ht="15.75" customHeight="1" x14ac:dyDescent="0.3">
      <c r="A808" s="35"/>
      <c r="B808" s="36"/>
      <c r="C808" s="37"/>
      <c r="D808" s="39"/>
      <c r="E808" s="40"/>
      <c r="F808" s="36"/>
      <c r="G808" s="37"/>
      <c r="H808" s="40"/>
      <c r="I808" s="40"/>
      <c r="J808" s="41"/>
      <c r="K808" s="41">
        <v>0</v>
      </c>
      <c r="L808" s="30">
        <f t="shared" si="168"/>
        <v>0</v>
      </c>
      <c r="M808" s="30">
        <f t="shared" si="168"/>
        <v>0</v>
      </c>
      <c r="N808" s="40"/>
      <c r="O808" s="40"/>
      <c r="P808" s="40"/>
      <c r="Q808" s="44"/>
      <c r="R808" s="37"/>
      <c r="S808" s="37"/>
      <c r="T808" s="48"/>
      <c r="U808" s="30" t="e">
        <f>M808/W808</f>
        <v>#DIV/0!</v>
      </c>
      <c r="V808" s="41" t="e">
        <f t="shared" si="159"/>
        <v>#DIV/0!</v>
      </c>
      <c r="W808" s="41">
        <f t="shared" si="167"/>
        <v>0</v>
      </c>
      <c r="X808" s="41">
        <f t="shared" si="157"/>
        <v>0</v>
      </c>
      <c r="Y808" s="41">
        <v>0</v>
      </c>
      <c r="Z808" s="41" t="e">
        <f t="shared" si="160"/>
        <v>#DIV/0!</v>
      </c>
      <c r="AA808" s="41">
        <v>0</v>
      </c>
      <c r="AB808" s="41" t="e">
        <f t="shared" si="161"/>
        <v>#DIV/0!</v>
      </c>
      <c r="AC808" s="41">
        <f t="shared" si="169"/>
        <v>0</v>
      </c>
      <c r="AD808" s="41">
        <v>0</v>
      </c>
      <c r="AE808" s="41" t="e">
        <f t="shared" si="162"/>
        <v>#DIV/0!</v>
      </c>
      <c r="AF808" s="41">
        <v>0</v>
      </c>
      <c r="AG808" s="41" t="e">
        <f t="shared" si="163"/>
        <v>#DIV/0!</v>
      </c>
      <c r="AH808" s="41">
        <f t="shared" si="164"/>
        <v>0</v>
      </c>
      <c r="AI808" s="41">
        <v>0</v>
      </c>
      <c r="AJ808" s="41">
        <v>0</v>
      </c>
      <c r="AK808" s="41">
        <v>0</v>
      </c>
      <c r="AL808" s="41">
        <v>0</v>
      </c>
      <c r="AM808" s="41" t="e">
        <f t="shared" si="158"/>
        <v>#DIV/0!</v>
      </c>
      <c r="AN808" s="41" t="e">
        <f t="shared" si="165"/>
        <v>#DIV/0!</v>
      </c>
      <c r="AO808" s="41" t="e">
        <f t="shared" si="166"/>
        <v>#DIV/0!</v>
      </c>
      <c r="AP808" s="40"/>
      <c r="AQ808" s="36"/>
      <c r="AR808" s="36"/>
      <c r="AS808" s="36"/>
      <c r="AT808" s="36"/>
      <c r="AU808" s="36"/>
      <c r="AV808" s="38"/>
      <c r="AW808" s="40"/>
    </row>
    <row r="809" spans="1:49" s="34" customFormat="1" ht="15.75" customHeight="1" x14ac:dyDescent="0.3">
      <c r="A809" s="35"/>
      <c r="B809" s="36"/>
      <c r="C809" s="37"/>
      <c r="D809" s="39"/>
      <c r="E809" s="40"/>
      <c r="F809" s="36"/>
      <c r="G809" s="37"/>
      <c r="H809" s="40"/>
      <c r="I809" s="40"/>
      <c r="J809" s="41"/>
      <c r="K809" s="41">
        <v>0</v>
      </c>
      <c r="L809" s="30">
        <f t="shared" si="168"/>
        <v>0</v>
      </c>
      <c r="M809" s="30">
        <f t="shared" si="168"/>
        <v>0</v>
      </c>
      <c r="N809" s="40"/>
      <c r="O809" s="40"/>
      <c r="P809" s="40"/>
      <c r="Q809" s="44"/>
      <c r="R809" s="37"/>
      <c r="S809" s="37"/>
      <c r="T809" s="48"/>
      <c r="U809" s="30" t="e">
        <f>M809/W809</f>
        <v>#DIV/0!</v>
      </c>
      <c r="V809" s="41" t="e">
        <f t="shared" si="159"/>
        <v>#DIV/0!</v>
      </c>
      <c r="W809" s="41">
        <f t="shared" si="167"/>
        <v>0</v>
      </c>
      <c r="X809" s="41">
        <f t="shared" ref="X809:X849" si="170">Y809+AA809</f>
        <v>0</v>
      </c>
      <c r="Y809" s="41">
        <v>0</v>
      </c>
      <c r="Z809" s="41" t="e">
        <f t="shared" si="160"/>
        <v>#DIV/0!</v>
      </c>
      <c r="AA809" s="41">
        <v>0</v>
      </c>
      <c r="AB809" s="41" t="e">
        <f t="shared" si="161"/>
        <v>#DIV/0!</v>
      </c>
      <c r="AC809" s="41">
        <f t="shared" si="169"/>
        <v>0</v>
      </c>
      <c r="AD809" s="41">
        <v>0</v>
      </c>
      <c r="AE809" s="41" t="e">
        <f t="shared" si="162"/>
        <v>#DIV/0!</v>
      </c>
      <c r="AF809" s="41">
        <v>0</v>
      </c>
      <c r="AG809" s="41" t="e">
        <f t="shared" si="163"/>
        <v>#DIV/0!</v>
      </c>
      <c r="AH809" s="41">
        <f t="shared" si="164"/>
        <v>0</v>
      </c>
      <c r="AI809" s="41">
        <v>0</v>
      </c>
      <c r="AJ809" s="41">
        <v>0</v>
      </c>
      <c r="AK809" s="41">
        <v>0</v>
      </c>
      <c r="AL809" s="41">
        <v>0</v>
      </c>
      <c r="AM809" s="41" t="e">
        <f t="shared" si="158"/>
        <v>#DIV/0!</v>
      </c>
      <c r="AN809" s="41" t="e">
        <f t="shared" si="165"/>
        <v>#DIV/0!</v>
      </c>
      <c r="AO809" s="41" t="e">
        <f t="shared" si="166"/>
        <v>#DIV/0!</v>
      </c>
      <c r="AP809" s="40"/>
      <c r="AQ809" s="36"/>
      <c r="AR809" s="36"/>
      <c r="AS809" s="36"/>
      <c r="AT809" s="36"/>
      <c r="AU809" s="36"/>
      <c r="AV809" s="38"/>
      <c r="AW809" s="40"/>
    </row>
    <row r="810" spans="1:49" s="34" customFormat="1" ht="15.75" customHeight="1" x14ac:dyDescent="0.3">
      <c r="A810" s="35"/>
      <c r="B810" s="36"/>
      <c r="C810" s="37"/>
      <c r="D810" s="39"/>
      <c r="E810" s="40"/>
      <c r="F810" s="36"/>
      <c r="G810" s="37"/>
      <c r="H810" s="40"/>
      <c r="I810" s="40"/>
      <c r="J810" s="41"/>
      <c r="K810" s="41">
        <v>0</v>
      </c>
      <c r="L810" s="30">
        <f t="shared" si="168"/>
        <v>0</v>
      </c>
      <c r="M810" s="30">
        <f t="shared" si="168"/>
        <v>0</v>
      </c>
      <c r="N810" s="40"/>
      <c r="O810" s="40"/>
      <c r="P810" s="40"/>
      <c r="Q810" s="44"/>
      <c r="R810" s="37"/>
      <c r="S810" s="37"/>
      <c r="T810" s="48"/>
      <c r="U810" s="30" t="e">
        <f>M810/W810</f>
        <v>#DIV/0!</v>
      </c>
      <c r="V810" s="41" t="e">
        <f t="shared" si="159"/>
        <v>#DIV/0!</v>
      </c>
      <c r="W810" s="41">
        <f t="shared" si="167"/>
        <v>0</v>
      </c>
      <c r="X810" s="41">
        <f t="shared" si="170"/>
        <v>0</v>
      </c>
      <c r="Y810" s="41">
        <v>0</v>
      </c>
      <c r="Z810" s="41" t="e">
        <f t="shared" si="160"/>
        <v>#DIV/0!</v>
      </c>
      <c r="AA810" s="41">
        <v>0</v>
      </c>
      <c r="AB810" s="41" t="e">
        <f t="shared" si="161"/>
        <v>#DIV/0!</v>
      </c>
      <c r="AC810" s="41">
        <f t="shared" si="169"/>
        <v>0</v>
      </c>
      <c r="AD810" s="41">
        <v>0</v>
      </c>
      <c r="AE810" s="41" t="e">
        <f t="shared" si="162"/>
        <v>#DIV/0!</v>
      </c>
      <c r="AF810" s="41">
        <v>0</v>
      </c>
      <c r="AG810" s="41" t="e">
        <f t="shared" si="163"/>
        <v>#DIV/0!</v>
      </c>
      <c r="AH810" s="41">
        <f t="shared" si="164"/>
        <v>0</v>
      </c>
      <c r="AI810" s="41">
        <v>0</v>
      </c>
      <c r="AJ810" s="41">
        <v>0</v>
      </c>
      <c r="AK810" s="41">
        <v>0</v>
      </c>
      <c r="AL810" s="41">
        <v>0</v>
      </c>
      <c r="AM810" s="41" t="e">
        <f t="shared" si="158"/>
        <v>#DIV/0!</v>
      </c>
      <c r="AN810" s="41" t="e">
        <f t="shared" si="165"/>
        <v>#DIV/0!</v>
      </c>
      <c r="AO810" s="41" t="e">
        <f t="shared" si="166"/>
        <v>#DIV/0!</v>
      </c>
      <c r="AP810" s="40"/>
      <c r="AQ810" s="36"/>
      <c r="AR810" s="36"/>
      <c r="AS810" s="36"/>
      <c r="AT810" s="36"/>
      <c r="AU810" s="36"/>
      <c r="AV810" s="38"/>
      <c r="AW810" s="40"/>
    </row>
    <row r="811" spans="1:49" s="34" customFormat="1" ht="15.75" customHeight="1" x14ac:dyDescent="0.3">
      <c r="A811" s="35"/>
      <c r="B811" s="36"/>
      <c r="C811" s="37"/>
      <c r="D811" s="39"/>
      <c r="E811" s="40"/>
      <c r="F811" s="36"/>
      <c r="G811" s="37"/>
      <c r="H811" s="40"/>
      <c r="I811" s="40"/>
      <c r="J811" s="41"/>
      <c r="K811" s="41">
        <v>0</v>
      </c>
      <c r="L811" s="30">
        <f t="shared" si="168"/>
        <v>0</v>
      </c>
      <c r="M811" s="30">
        <f t="shared" si="168"/>
        <v>0</v>
      </c>
      <c r="N811" s="40"/>
      <c r="O811" s="40"/>
      <c r="P811" s="40"/>
      <c r="Q811" s="44"/>
      <c r="R811" s="37"/>
      <c r="S811" s="37"/>
      <c r="T811" s="48"/>
      <c r="U811" s="30" t="e">
        <f>M811/W811</f>
        <v>#DIV/0!</v>
      </c>
      <c r="V811" s="41" t="e">
        <f t="shared" si="159"/>
        <v>#DIV/0!</v>
      </c>
      <c r="W811" s="41">
        <f t="shared" si="167"/>
        <v>0</v>
      </c>
      <c r="X811" s="41">
        <f t="shared" si="170"/>
        <v>0</v>
      </c>
      <c r="Y811" s="41">
        <v>0</v>
      </c>
      <c r="Z811" s="41" t="e">
        <f t="shared" si="160"/>
        <v>#DIV/0!</v>
      </c>
      <c r="AA811" s="41">
        <v>0</v>
      </c>
      <c r="AB811" s="41" t="e">
        <f t="shared" si="161"/>
        <v>#DIV/0!</v>
      </c>
      <c r="AC811" s="41">
        <f t="shared" si="169"/>
        <v>0</v>
      </c>
      <c r="AD811" s="41">
        <v>0</v>
      </c>
      <c r="AE811" s="41" t="e">
        <f t="shared" si="162"/>
        <v>#DIV/0!</v>
      </c>
      <c r="AF811" s="41">
        <v>0</v>
      </c>
      <c r="AG811" s="41" t="e">
        <f t="shared" si="163"/>
        <v>#DIV/0!</v>
      </c>
      <c r="AH811" s="41">
        <f t="shared" si="164"/>
        <v>0</v>
      </c>
      <c r="AI811" s="41">
        <v>0</v>
      </c>
      <c r="AJ811" s="41">
        <v>0</v>
      </c>
      <c r="AK811" s="41">
        <v>0</v>
      </c>
      <c r="AL811" s="41">
        <v>0</v>
      </c>
      <c r="AM811" s="41" t="e">
        <f t="shared" si="158"/>
        <v>#DIV/0!</v>
      </c>
      <c r="AN811" s="41" t="e">
        <f t="shared" si="165"/>
        <v>#DIV/0!</v>
      </c>
      <c r="AO811" s="41" t="e">
        <f t="shared" si="166"/>
        <v>#DIV/0!</v>
      </c>
      <c r="AP811" s="40"/>
      <c r="AQ811" s="36"/>
      <c r="AR811" s="36"/>
      <c r="AS811" s="36"/>
      <c r="AT811" s="36"/>
      <c r="AU811" s="36"/>
      <c r="AV811" s="38"/>
      <c r="AW811" s="40"/>
    </row>
    <row r="812" spans="1:49" s="34" customFormat="1" ht="15.75" customHeight="1" x14ac:dyDescent="0.3">
      <c r="A812" s="35"/>
      <c r="B812" s="36"/>
      <c r="C812" s="37"/>
      <c r="D812" s="39"/>
      <c r="E812" s="40"/>
      <c r="F812" s="36"/>
      <c r="G812" s="37"/>
      <c r="H812" s="40"/>
      <c r="I812" s="40"/>
      <c r="J812" s="41"/>
      <c r="K812" s="41">
        <v>0</v>
      </c>
      <c r="L812" s="30">
        <f t="shared" si="168"/>
        <v>0</v>
      </c>
      <c r="M812" s="30">
        <f t="shared" si="168"/>
        <v>0</v>
      </c>
      <c r="N812" s="40"/>
      <c r="O812" s="40"/>
      <c r="P812" s="40"/>
      <c r="Q812" s="44"/>
      <c r="R812" s="37"/>
      <c r="S812" s="37"/>
      <c r="T812" s="48"/>
      <c r="U812" s="30" t="e">
        <f>M812/W812</f>
        <v>#DIV/0!</v>
      </c>
      <c r="V812" s="41" t="e">
        <f t="shared" si="159"/>
        <v>#DIV/0!</v>
      </c>
      <c r="W812" s="41">
        <f t="shared" si="167"/>
        <v>0</v>
      </c>
      <c r="X812" s="41">
        <f t="shared" si="170"/>
        <v>0</v>
      </c>
      <c r="Y812" s="41">
        <v>0</v>
      </c>
      <c r="Z812" s="41" t="e">
        <f t="shared" si="160"/>
        <v>#DIV/0!</v>
      </c>
      <c r="AA812" s="41">
        <v>0</v>
      </c>
      <c r="AB812" s="41" t="e">
        <f t="shared" si="161"/>
        <v>#DIV/0!</v>
      </c>
      <c r="AC812" s="41">
        <f t="shared" si="169"/>
        <v>0</v>
      </c>
      <c r="AD812" s="41">
        <v>0</v>
      </c>
      <c r="AE812" s="41" t="e">
        <f t="shared" si="162"/>
        <v>#DIV/0!</v>
      </c>
      <c r="AF812" s="41">
        <v>0</v>
      </c>
      <c r="AG812" s="41" t="e">
        <f t="shared" si="163"/>
        <v>#DIV/0!</v>
      </c>
      <c r="AH812" s="41">
        <f t="shared" si="164"/>
        <v>0</v>
      </c>
      <c r="AI812" s="41">
        <v>0</v>
      </c>
      <c r="AJ812" s="41">
        <v>0</v>
      </c>
      <c r="AK812" s="41">
        <v>0</v>
      </c>
      <c r="AL812" s="41">
        <v>0</v>
      </c>
      <c r="AM812" s="41" t="e">
        <f t="shared" si="158"/>
        <v>#DIV/0!</v>
      </c>
      <c r="AN812" s="41" t="e">
        <f t="shared" si="165"/>
        <v>#DIV/0!</v>
      </c>
      <c r="AO812" s="41" t="e">
        <f t="shared" si="166"/>
        <v>#DIV/0!</v>
      </c>
      <c r="AP812" s="40"/>
      <c r="AQ812" s="36"/>
      <c r="AR812" s="36"/>
      <c r="AS812" s="36"/>
      <c r="AT812" s="36"/>
      <c r="AU812" s="36"/>
      <c r="AV812" s="38"/>
      <c r="AW812" s="40"/>
    </row>
    <row r="813" spans="1:49" s="34" customFormat="1" ht="15.75" customHeight="1" x14ac:dyDescent="0.3">
      <c r="A813" s="35"/>
      <c r="B813" s="36"/>
      <c r="C813" s="37"/>
      <c r="D813" s="39"/>
      <c r="E813" s="40"/>
      <c r="F813" s="36"/>
      <c r="G813" s="37"/>
      <c r="H813" s="40"/>
      <c r="I813" s="40"/>
      <c r="J813" s="41"/>
      <c r="K813" s="41">
        <v>0</v>
      </c>
      <c r="L813" s="30">
        <f t="shared" si="168"/>
        <v>0</v>
      </c>
      <c r="M813" s="30">
        <f t="shared" si="168"/>
        <v>0</v>
      </c>
      <c r="N813" s="40"/>
      <c r="O813" s="40"/>
      <c r="P813" s="40"/>
      <c r="Q813" s="44"/>
      <c r="R813" s="37"/>
      <c r="S813" s="37"/>
      <c r="T813" s="48"/>
      <c r="U813" s="30" t="e">
        <f>M813/W813</f>
        <v>#DIV/0!</v>
      </c>
      <c r="V813" s="41" t="e">
        <f t="shared" si="159"/>
        <v>#DIV/0!</v>
      </c>
      <c r="W813" s="41">
        <f t="shared" si="167"/>
        <v>0</v>
      </c>
      <c r="X813" s="41">
        <f t="shared" si="170"/>
        <v>0</v>
      </c>
      <c r="Y813" s="41">
        <v>0</v>
      </c>
      <c r="Z813" s="41" t="e">
        <f t="shared" si="160"/>
        <v>#DIV/0!</v>
      </c>
      <c r="AA813" s="41">
        <v>0</v>
      </c>
      <c r="AB813" s="41" t="e">
        <f t="shared" si="161"/>
        <v>#DIV/0!</v>
      </c>
      <c r="AC813" s="41">
        <f t="shared" si="169"/>
        <v>0</v>
      </c>
      <c r="AD813" s="41">
        <v>0</v>
      </c>
      <c r="AE813" s="41" t="e">
        <f t="shared" si="162"/>
        <v>#DIV/0!</v>
      </c>
      <c r="AF813" s="41">
        <v>0</v>
      </c>
      <c r="AG813" s="41" t="e">
        <f t="shared" si="163"/>
        <v>#DIV/0!</v>
      </c>
      <c r="AH813" s="41">
        <f t="shared" si="164"/>
        <v>0</v>
      </c>
      <c r="AI813" s="41">
        <v>0</v>
      </c>
      <c r="AJ813" s="41">
        <v>0</v>
      </c>
      <c r="AK813" s="41">
        <v>0</v>
      </c>
      <c r="AL813" s="41">
        <v>0</v>
      </c>
      <c r="AM813" s="41" t="e">
        <f t="shared" si="158"/>
        <v>#DIV/0!</v>
      </c>
      <c r="AN813" s="41" t="e">
        <f t="shared" si="165"/>
        <v>#DIV/0!</v>
      </c>
      <c r="AO813" s="41" t="e">
        <f t="shared" si="166"/>
        <v>#DIV/0!</v>
      </c>
      <c r="AP813" s="40"/>
      <c r="AQ813" s="36"/>
      <c r="AR813" s="36"/>
      <c r="AS813" s="36"/>
      <c r="AT813" s="36"/>
      <c r="AU813" s="36"/>
      <c r="AV813" s="38"/>
      <c r="AW813" s="40"/>
    </row>
    <row r="814" spans="1:49" s="34" customFormat="1" ht="15.75" customHeight="1" x14ac:dyDescent="0.3">
      <c r="A814" s="35"/>
      <c r="B814" s="36"/>
      <c r="C814" s="37"/>
      <c r="D814" s="39"/>
      <c r="E814" s="40"/>
      <c r="F814" s="36"/>
      <c r="G814" s="37"/>
      <c r="H814" s="40"/>
      <c r="I814" s="40"/>
      <c r="J814" s="41"/>
      <c r="K814" s="41">
        <v>0</v>
      </c>
      <c r="L814" s="30">
        <f t="shared" si="168"/>
        <v>0</v>
      </c>
      <c r="M814" s="30">
        <f t="shared" si="168"/>
        <v>0</v>
      </c>
      <c r="N814" s="40"/>
      <c r="O814" s="40"/>
      <c r="P814" s="40"/>
      <c r="Q814" s="44"/>
      <c r="R814" s="37"/>
      <c r="S814" s="37"/>
      <c r="T814" s="48"/>
      <c r="U814" s="30" t="e">
        <f>M814/W814</f>
        <v>#DIV/0!</v>
      </c>
      <c r="V814" s="41" t="e">
        <f t="shared" si="159"/>
        <v>#DIV/0!</v>
      </c>
      <c r="W814" s="41">
        <f t="shared" si="167"/>
        <v>0</v>
      </c>
      <c r="X814" s="41">
        <f t="shared" si="170"/>
        <v>0</v>
      </c>
      <c r="Y814" s="41">
        <v>0</v>
      </c>
      <c r="Z814" s="41" t="e">
        <f t="shared" si="160"/>
        <v>#DIV/0!</v>
      </c>
      <c r="AA814" s="41">
        <v>0</v>
      </c>
      <c r="AB814" s="41" t="e">
        <f t="shared" si="161"/>
        <v>#DIV/0!</v>
      </c>
      <c r="AC814" s="41">
        <f t="shared" si="169"/>
        <v>0</v>
      </c>
      <c r="AD814" s="41">
        <v>0</v>
      </c>
      <c r="AE814" s="41" t="e">
        <f t="shared" si="162"/>
        <v>#DIV/0!</v>
      </c>
      <c r="AF814" s="41">
        <v>0</v>
      </c>
      <c r="AG814" s="41" t="e">
        <f t="shared" si="163"/>
        <v>#DIV/0!</v>
      </c>
      <c r="AH814" s="41">
        <f t="shared" si="164"/>
        <v>0</v>
      </c>
      <c r="AI814" s="41">
        <v>0</v>
      </c>
      <c r="AJ814" s="41">
        <v>0</v>
      </c>
      <c r="AK814" s="41">
        <v>0</v>
      </c>
      <c r="AL814" s="41">
        <v>0</v>
      </c>
      <c r="AM814" s="41" t="e">
        <f t="shared" si="158"/>
        <v>#DIV/0!</v>
      </c>
      <c r="AN814" s="41" t="e">
        <f t="shared" si="165"/>
        <v>#DIV/0!</v>
      </c>
      <c r="AO814" s="41" t="e">
        <f t="shared" si="166"/>
        <v>#DIV/0!</v>
      </c>
      <c r="AP814" s="40"/>
      <c r="AQ814" s="36"/>
      <c r="AR814" s="36"/>
      <c r="AS814" s="36"/>
      <c r="AT814" s="36"/>
      <c r="AU814" s="36"/>
      <c r="AV814" s="38"/>
      <c r="AW814" s="40"/>
    </row>
    <row r="815" spans="1:49" s="34" customFormat="1" ht="15.75" customHeight="1" x14ac:dyDescent="0.3">
      <c r="A815" s="35"/>
      <c r="B815" s="36"/>
      <c r="C815" s="37"/>
      <c r="D815" s="39"/>
      <c r="E815" s="40"/>
      <c r="F815" s="36"/>
      <c r="G815" s="37"/>
      <c r="H815" s="40"/>
      <c r="I815" s="40"/>
      <c r="J815" s="41"/>
      <c r="K815" s="41">
        <v>0</v>
      </c>
      <c r="L815" s="30">
        <f t="shared" si="168"/>
        <v>0</v>
      </c>
      <c r="M815" s="30">
        <f t="shared" si="168"/>
        <v>0</v>
      </c>
      <c r="N815" s="40"/>
      <c r="O815" s="40"/>
      <c r="P815" s="40"/>
      <c r="Q815" s="44"/>
      <c r="R815" s="37"/>
      <c r="S815" s="37"/>
      <c r="T815" s="48"/>
      <c r="U815" s="30" t="e">
        <f>M815/W815</f>
        <v>#DIV/0!</v>
      </c>
      <c r="V815" s="41" t="e">
        <f t="shared" si="159"/>
        <v>#DIV/0!</v>
      </c>
      <c r="W815" s="41">
        <f t="shared" si="167"/>
        <v>0</v>
      </c>
      <c r="X815" s="41">
        <f t="shared" si="170"/>
        <v>0</v>
      </c>
      <c r="Y815" s="41">
        <v>0</v>
      </c>
      <c r="Z815" s="41" t="e">
        <f t="shared" si="160"/>
        <v>#DIV/0!</v>
      </c>
      <c r="AA815" s="41">
        <v>0</v>
      </c>
      <c r="AB815" s="41" t="e">
        <f t="shared" si="161"/>
        <v>#DIV/0!</v>
      </c>
      <c r="AC815" s="41">
        <f t="shared" si="169"/>
        <v>0</v>
      </c>
      <c r="AD815" s="41">
        <v>0</v>
      </c>
      <c r="AE815" s="41" t="e">
        <f t="shared" si="162"/>
        <v>#DIV/0!</v>
      </c>
      <c r="AF815" s="41">
        <v>0</v>
      </c>
      <c r="AG815" s="41" t="e">
        <f t="shared" si="163"/>
        <v>#DIV/0!</v>
      </c>
      <c r="AH815" s="41">
        <f t="shared" si="164"/>
        <v>0</v>
      </c>
      <c r="AI815" s="41">
        <v>0</v>
      </c>
      <c r="AJ815" s="41">
        <v>0</v>
      </c>
      <c r="AK815" s="41">
        <v>0</v>
      </c>
      <c r="AL815" s="41">
        <v>0</v>
      </c>
      <c r="AM815" s="41" t="e">
        <f t="shared" si="158"/>
        <v>#DIV/0!</v>
      </c>
      <c r="AN815" s="41" t="e">
        <f t="shared" si="165"/>
        <v>#DIV/0!</v>
      </c>
      <c r="AO815" s="41" t="e">
        <f t="shared" si="166"/>
        <v>#DIV/0!</v>
      </c>
      <c r="AP815" s="40"/>
      <c r="AQ815" s="36"/>
      <c r="AR815" s="36"/>
      <c r="AS815" s="36"/>
      <c r="AT815" s="36"/>
      <c r="AU815" s="36"/>
      <c r="AV815" s="38"/>
      <c r="AW815" s="40"/>
    </row>
    <row r="816" spans="1:49" s="34" customFormat="1" ht="15.75" customHeight="1" x14ac:dyDescent="0.3">
      <c r="A816" s="35"/>
      <c r="B816" s="36"/>
      <c r="C816" s="37"/>
      <c r="D816" s="39"/>
      <c r="E816" s="40"/>
      <c r="F816" s="36"/>
      <c r="G816" s="37"/>
      <c r="H816" s="40"/>
      <c r="I816" s="40"/>
      <c r="J816" s="41"/>
      <c r="K816" s="41">
        <v>0</v>
      </c>
      <c r="L816" s="30">
        <f t="shared" si="168"/>
        <v>0</v>
      </c>
      <c r="M816" s="30">
        <f t="shared" si="168"/>
        <v>0</v>
      </c>
      <c r="N816" s="40"/>
      <c r="O816" s="40"/>
      <c r="P816" s="40"/>
      <c r="Q816" s="44"/>
      <c r="R816" s="37"/>
      <c r="S816" s="37"/>
      <c r="T816" s="48"/>
      <c r="U816" s="30" t="e">
        <f>M816/W816</f>
        <v>#DIV/0!</v>
      </c>
      <c r="V816" s="41" t="e">
        <f t="shared" si="159"/>
        <v>#DIV/0!</v>
      </c>
      <c r="W816" s="41">
        <f t="shared" si="167"/>
        <v>0</v>
      </c>
      <c r="X816" s="41">
        <f t="shared" si="170"/>
        <v>0</v>
      </c>
      <c r="Y816" s="41">
        <v>0</v>
      </c>
      <c r="Z816" s="41" t="e">
        <f t="shared" si="160"/>
        <v>#DIV/0!</v>
      </c>
      <c r="AA816" s="41">
        <v>0</v>
      </c>
      <c r="AB816" s="41" t="e">
        <f t="shared" si="161"/>
        <v>#DIV/0!</v>
      </c>
      <c r="AC816" s="41">
        <f t="shared" si="169"/>
        <v>0</v>
      </c>
      <c r="AD816" s="41">
        <v>0</v>
      </c>
      <c r="AE816" s="41" t="e">
        <f t="shared" si="162"/>
        <v>#DIV/0!</v>
      </c>
      <c r="AF816" s="41">
        <v>0</v>
      </c>
      <c r="AG816" s="41" t="e">
        <f t="shared" si="163"/>
        <v>#DIV/0!</v>
      </c>
      <c r="AH816" s="41">
        <f t="shared" si="164"/>
        <v>0</v>
      </c>
      <c r="AI816" s="41">
        <v>0</v>
      </c>
      <c r="AJ816" s="41">
        <v>0</v>
      </c>
      <c r="AK816" s="41">
        <v>0</v>
      </c>
      <c r="AL816" s="41">
        <v>0</v>
      </c>
      <c r="AM816" s="41" t="e">
        <f t="shared" si="158"/>
        <v>#DIV/0!</v>
      </c>
      <c r="AN816" s="41" t="e">
        <f t="shared" si="165"/>
        <v>#DIV/0!</v>
      </c>
      <c r="AO816" s="41" t="e">
        <f t="shared" si="166"/>
        <v>#DIV/0!</v>
      </c>
      <c r="AP816" s="40"/>
      <c r="AQ816" s="36"/>
      <c r="AR816" s="36"/>
      <c r="AS816" s="36"/>
      <c r="AT816" s="36"/>
      <c r="AU816" s="36"/>
      <c r="AV816" s="38"/>
      <c r="AW816" s="40"/>
    </row>
    <row r="817" spans="1:49" s="34" customFormat="1" ht="15.75" customHeight="1" x14ac:dyDescent="0.3">
      <c r="A817" s="35"/>
      <c r="B817" s="36"/>
      <c r="C817" s="37"/>
      <c r="D817" s="39"/>
      <c r="E817" s="40"/>
      <c r="F817" s="36"/>
      <c r="G817" s="37"/>
      <c r="H817" s="40"/>
      <c r="I817" s="40"/>
      <c r="J817" s="41"/>
      <c r="K817" s="41">
        <v>0</v>
      </c>
      <c r="L817" s="30">
        <f t="shared" si="168"/>
        <v>0</v>
      </c>
      <c r="M817" s="30">
        <f t="shared" si="168"/>
        <v>0</v>
      </c>
      <c r="N817" s="40"/>
      <c r="O817" s="40"/>
      <c r="P817" s="40"/>
      <c r="Q817" s="44"/>
      <c r="R817" s="37"/>
      <c r="S817" s="37"/>
      <c r="T817" s="48"/>
      <c r="U817" s="30" t="e">
        <f>M817/W817</f>
        <v>#DIV/0!</v>
      </c>
      <c r="V817" s="41" t="e">
        <f t="shared" si="159"/>
        <v>#DIV/0!</v>
      </c>
      <c r="W817" s="41">
        <f t="shared" si="167"/>
        <v>0</v>
      </c>
      <c r="X817" s="41">
        <f t="shared" si="170"/>
        <v>0</v>
      </c>
      <c r="Y817" s="41">
        <v>0</v>
      </c>
      <c r="Z817" s="41" t="e">
        <f t="shared" si="160"/>
        <v>#DIV/0!</v>
      </c>
      <c r="AA817" s="41">
        <v>0</v>
      </c>
      <c r="AB817" s="41" t="e">
        <f t="shared" si="161"/>
        <v>#DIV/0!</v>
      </c>
      <c r="AC817" s="41">
        <f t="shared" si="169"/>
        <v>0</v>
      </c>
      <c r="AD817" s="41">
        <v>0</v>
      </c>
      <c r="AE817" s="41" t="e">
        <f t="shared" si="162"/>
        <v>#DIV/0!</v>
      </c>
      <c r="AF817" s="41">
        <v>0</v>
      </c>
      <c r="AG817" s="41" t="e">
        <f t="shared" si="163"/>
        <v>#DIV/0!</v>
      </c>
      <c r="AH817" s="41">
        <f t="shared" si="164"/>
        <v>0</v>
      </c>
      <c r="AI817" s="41">
        <v>0</v>
      </c>
      <c r="AJ817" s="41">
        <v>0</v>
      </c>
      <c r="AK817" s="41">
        <v>0</v>
      </c>
      <c r="AL817" s="41">
        <v>0</v>
      </c>
      <c r="AM817" s="41" t="e">
        <f t="shared" si="158"/>
        <v>#DIV/0!</v>
      </c>
      <c r="AN817" s="41" t="e">
        <f t="shared" si="165"/>
        <v>#DIV/0!</v>
      </c>
      <c r="AO817" s="41" t="e">
        <f t="shared" si="166"/>
        <v>#DIV/0!</v>
      </c>
      <c r="AP817" s="40"/>
      <c r="AQ817" s="36"/>
      <c r="AR817" s="36"/>
      <c r="AS817" s="36"/>
      <c r="AT817" s="36"/>
      <c r="AU817" s="36"/>
      <c r="AV817" s="38"/>
      <c r="AW817" s="40"/>
    </row>
    <row r="818" spans="1:49" s="34" customFormat="1" ht="15.75" customHeight="1" x14ac:dyDescent="0.3">
      <c r="A818" s="35"/>
      <c r="B818" s="36"/>
      <c r="C818" s="37"/>
      <c r="D818" s="39"/>
      <c r="E818" s="40"/>
      <c r="F818" s="36"/>
      <c r="G818" s="37"/>
      <c r="H818" s="40"/>
      <c r="I818" s="40"/>
      <c r="J818" s="41"/>
      <c r="K818" s="41">
        <v>0</v>
      </c>
      <c r="L818" s="30">
        <f t="shared" si="168"/>
        <v>0</v>
      </c>
      <c r="M818" s="30">
        <f t="shared" si="168"/>
        <v>0</v>
      </c>
      <c r="N818" s="40"/>
      <c r="O818" s="40"/>
      <c r="P818" s="40"/>
      <c r="Q818" s="44"/>
      <c r="R818" s="37"/>
      <c r="S818" s="37"/>
      <c r="T818" s="48"/>
      <c r="U818" s="30" t="e">
        <f>M818/W818</f>
        <v>#DIV/0!</v>
      </c>
      <c r="V818" s="41" t="e">
        <f t="shared" si="159"/>
        <v>#DIV/0!</v>
      </c>
      <c r="W818" s="41">
        <f t="shared" si="167"/>
        <v>0</v>
      </c>
      <c r="X818" s="41">
        <f t="shared" si="170"/>
        <v>0</v>
      </c>
      <c r="Y818" s="41">
        <v>0</v>
      </c>
      <c r="Z818" s="41" t="e">
        <f t="shared" si="160"/>
        <v>#DIV/0!</v>
      </c>
      <c r="AA818" s="41">
        <v>0</v>
      </c>
      <c r="AB818" s="41" t="e">
        <f t="shared" si="161"/>
        <v>#DIV/0!</v>
      </c>
      <c r="AC818" s="41">
        <f t="shared" si="169"/>
        <v>0</v>
      </c>
      <c r="AD818" s="41">
        <v>0</v>
      </c>
      <c r="AE818" s="41" t="e">
        <f t="shared" si="162"/>
        <v>#DIV/0!</v>
      </c>
      <c r="AF818" s="41">
        <v>0</v>
      </c>
      <c r="AG818" s="41" t="e">
        <f t="shared" si="163"/>
        <v>#DIV/0!</v>
      </c>
      <c r="AH818" s="41">
        <f t="shared" si="164"/>
        <v>0</v>
      </c>
      <c r="AI818" s="41">
        <v>0</v>
      </c>
      <c r="AJ818" s="41">
        <v>0</v>
      </c>
      <c r="AK818" s="41">
        <v>0</v>
      </c>
      <c r="AL818" s="41">
        <v>0</v>
      </c>
      <c r="AM818" s="41" t="e">
        <f t="shared" si="158"/>
        <v>#DIV/0!</v>
      </c>
      <c r="AN818" s="41" t="e">
        <f t="shared" si="165"/>
        <v>#DIV/0!</v>
      </c>
      <c r="AO818" s="41" t="e">
        <f t="shared" si="166"/>
        <v>#DIV/0!</v>
      </c>
      <c r="AP818" s="40"/>
      <c r="AQ818" s="36"/>
      <c r="AR818" s="36"/>
      <c r="AS818" s="36"/>
      <c r="AT818" s="36"/>
      <c r="AU818" s="36"/>
      <c r="AV818" s="38"/>
      <c r="AW818" s="40"/>
    </row>
    <row r="819" spans="1:49" s="34" customFormat="1" ht="15.75" customHeight="1" x14ac:dyDescent="0.3">
      <c r="A819" s="35"/>
      <c r="B819" s="36"/>
      <c r="C819" s="37"/>
      <c r="D819" s="39"/>
      <c r="E819" s="40"/>
      <c r="F819" s="36"/>
      <c r="G819" s="37"/>
      <c r="H819" s="40"/>
      <c r="I819" s="40"/>
      <c r="J819" s="41"/>
      <c r="K819" s="41">
        <v>0</v>
      </c>
      <c r="L819" s="30">
        <f t="shared" si="168"/>
        <v>0</v>
      </c>
      <c r="M819" s="30">
        <f t="shared" si="168"/>
        <v>0</v>
      </c>
      <c r="N819" s="40"/>
      <c r="O819" s="40"/>
      <c r="P819" s="40"/>
      <c r="Q819" s="44"/>
      <c r="R819" s="37"/>
      <c r="S819" s="37"/>
      <c r="T819" s="48"/>
      <c r="U819" s="30" t="e">
        <f>M819/W819</f>
        <v>#DIV/0!</v>
      </c>
      <c r="V819" s="41" t="e">
        <f t="shared" si="159"/>
        <v>#DIV/0!</v>
      </c>
      <c r="W819" s="41">
        <f t="shared" si="167"/>
        <v>0</v>
      </c>
      <c r="X819" s="41">
        <f t="shared" si="170"/>
        <v>0</v>
      </c>
      <c r="Y819" s="41">
        <v>0</v>
      </c>
      <c r="Z819" s="41" t="e">
        <f t="shared" si="160"/>
        <v>#DIV/0!</v>
      </c>
      <c r="AA819" s="41">
        <v>0</v>
      </c>
      <c r="AB819" s="41" t="e">
        <f t="shared" si="161"/>
        <v>#DIV/0!</v>
      </c>
      <c r="AC819" s="41">
        <f t="shared" si="169"/>
        <v>0</v>
      </c>
      <c r="AD819" s="41">
        <v>0</v>
      </c>
      <c r="AE819" s="41" t="e">
        <f t="shared" si="162"/>
        <v>#DIV/0!</v>
      </c>
      <c r="AF819" s="41">
        <v>0</v>
      </c>
      <c r="AG819" s="41" t="e">
        <f t="shared" si="163"/>
        <v>#DIV/0!</v>
      </c>
      <c r="AH819" s="41">
        <f t="shared" si="164"/>
        <v>0</v>
      </c>
      <c r="AI819" s="41">
        <v>0</v>
      </c>
      <c r="AJ819" s="41">
        <v>0</v>
      </c>
      <c r="AK819" s="41">
        <v>0</v>
      </c>
      <c r="AL819" s="41">
        <v>0</v>
      </c>
      <c r="AM819" s="41" t="e">
        <f t="shared" si="158"/>
        <v>#DIV/0!</v>
      </c>
      <c r="AN819" s="41" t="e">
        <f t="shared" si="165"/>
        <v>#DIV/0!</v>
      </c>
      <c r="AO819" s="41" t="e">
        <f t="shared" si="166"/>
        <v>#DIV/0!</v>
      </c>
      <c r="AP819" s="40"/>
      <c r="AQ819" s="36"/>
      <c r="AR819" s="36"/>
      <c r="AS819" s="36"/>
      <c r="AT819" s="36"/>
      <c r="AU819" s="36"/>
      <c r="AV819" s="38"/>
      <c r="AW819" s="40"/>
    </row>
    <row r="820" spans="1:49" s="34" customFormat="1" ht="15.75" customHeight="1" x14ac:dyDescent="0.3">
      <c r="A820" s="35"/>
      <c r="B820" s="36"/>
      <c r="C820" s="37"/>
      <c r="D820" s="39"/>
      <c r="E820" s="40"/>
      <c r="F820" s="36"/>
      <c r="G820" s="37"/>
      <c r="H820" s="40"/>
      <c r="I820" s="40"/>
      <c r="J820" s="41"/>
      <c r="K820" s="41">
        <v>0</v>
      </c>
      <c r="L820" s="30">
        <f t="shared" si="168"/>
        <v>0</v>
      </c>
      <c r="M820" s="30">
        <f t="shared" si="168"/>
        <v>0</v>
      </c>
      <c r="N820" s="40"/>
      <c r="O820" s="40"/>
      <c r="P820" s="40"/>
      <c r="Q820" s="44"/>
      <c r="R820" s="37"/>
      <c r="S820" s="37"/>
      <c r="T820" s="48"/>
      <c r="U820" s="30" t="e">
        <f>M820/W820</f>
        <v>#DIV/0!</v>
      </c>
      <c r="V820" s="41" t="e">
        <f t="shared" si="159"/>
        <v>#DIV/0!</v>
      </c>
      <c r="W820" s="41">
        <f t="shared" si="167"/>
        <v>0</v>
      </c>
      <c r="X820" s="41">
        <f t="shared" si="170"/>
        <v>0</v>
      </c>
      <c r="Y820" s="41">
        <v>0</v>
      </c>
      <c r="Z820" s="41" t="e">
        <f t="shared" si="160"/>
        <v>#DIV/0!</v>
      </c>
      <c r="AA820" s="41">
        <v>0</v>
      </c>
      <c r="AB820" s="41" t="e">
        <f t="shared" si="161"/>
        <v>#DIV/0!</v>
      </c>
      <c r="AC820" s="41">
        <f t="shared" si="169"/>
        <v>0</v>
      </c>
      <c r="AD820" s="41">
        <v>0</v>
      </c>
      <c r="AE820" s="41" t="e">
        <f t="shared" si="162"/>
        <v>#DIV/0!</v>
      </c>
      <c r="AF820" s="41">
        <v>0</v>
      </c>
      <c r="AG820" s="41" t="e">
        <f t="shared" si="163"/>
        <v>#DIV/0!</v>
      </c>
      <c r="AH820" s="41">
        <f t="shared" si="164"/>
        <v>0</v>
      </c>
      <c r="AI820" s="41">
        <v>0</v>
      </c>
      <c r="AJ820" s="41">
        <v>0</v>
      </c>
      <c r="AK820" s="41">
        <v>0</v>
      </c>
      <c r="AL820" s="41">
        <v>0</v>
      </c>
      <c r="AM820" s="41" t="e">
        <f t="shared" si="158"/>
        <v>#DIV/0!</v>
      </c>
      <c r="AN820" s="41" t="e">
        <f t="shared" si="165"/>
        <v>#DIV/0!</v>
      </c>
      <c r="AO820" s="41" t="e">
        <f t="shared" si="166"/>
        <v>#DIV/0!</v>
      </c>
      <c r="AP820" s="40"/>
      <c r="AQ820" s="36"/>
      <c r="AR820" s="36"/>
      <c r="AS820" s="36"/>
      <c r="AT820" s="36"/>
      <c r="AU820" s="36"/>
      <c r="AV820" s="38"/>
      <c r="AW820" s="40"/>
    </row>
    <row r="821" spans="1:49" s="34" customFormat="1" ht="15.75" customHeight="1" x14ac:dyDescent="0.3">
      <c r="A821" s="35"/>
      <c r="B821" s="36"/>
      <c r="C821" s="37"/>
      <c r="D821" s="39"/>
      <c r="E821" s="40"/>
      <c r="F821" s="36"/>
      <c r="G821" s="37"/>
      <c r="H821" s="40"/>
      <c r="I821" s="40"/>
      <c r="J821" s="41"/>
      <c r="K821" s="41">
        <v>0</v>
      </c>
      <c r="L821" s="30">
        <f t="shared" si="168"/>
        <v>0</v>
      </c>
      <c r="M821" s="30">
        <f t="shared" si="168"/>
        <v>0</v>
      </c>
      <c r="N821" s="40"/>
      <c r="O821" s="40"/>
      <c r="P821" s="40"/>
      <c r="Q821" s="44"/>
      <c r="R821" s="37"/>
      <c r="S821" s="37"/>
      <c r="T821" s="48"/>
      <c r="U821" s="30" t="e">
        <f>M821/W821</f>
        <v>#DIV/0!</v>
      </c>
      <c r="V821" s="41" t="e">
        <f t="shared" si="159"/>
        <v>#DIV/0!</v>
      </c>
      <c r="W821" s="41">
        <f t="shared" si="167"/>
        <v>0</v>
      </c>
      <c r="X821" s="41">
        <f t="shared" si="170"/>
        <v>0</v>
      </c>
      <c r="Y821" s="41">
        <v>0</v>
      </c>
      <c r="Z821" s="41" t="e">
        <f t="shared" si="160"/>
        <v>#DIV/0!</v>
      </c>
      <c r="AA821" s="41">
        <v>0</v>
      </c>
      <c r="AB821" s="41" t="e">
        <f t="shared" si="161"/>
        <v>#DIV/0!</v>
      </c>
      <c r="AC821" s="41">
        <f t="shared" si="169"/>
        <v>0</v>
      </c>
      <c r="AD821" s="41">
        <v>0</v>
      </c>
      <c r="AE821" s="41" t="e">
        <f t="shared" si="162"/>
        <v>#DIV/0!</v>
      </c>
      <c r="AF821" s="41">
        <v>0</v>
      </c>
      <c r="AG821" s="41" t="e">
        <f t="shared" si="163"/>
        <v>#DIV/0!</v>
      </c>
      <c r="AH821" s="41">
        <f t="shared" si="164"/>
        <v>0</v>
      </c>
      <c r="AI821" s="41">
        <v>0</v>
      </c>
      <c r="AJ821" s="41">
        <v>0</v>
      </c>
      <c r="AK821" s="41">
        <v>0</v>
      </c>
      <c r="AL821" s="41">
        <v>0</v>
      </c>
      <c r="AM821" s="41" t="e">
        <f t="shared" si="158"/>
        <v>#DIV/0!</v>
      </c>
      <c r="AN821" s="41" t="e">
        <f t="shared" si="165"/>
        <v>#DIV/0!</v>
      </c>
      <c r="AO821" s="41" t="e">
        <f t="shared" si="166"/>
        <v>#DIV/0!</v>
      </c>
      <c r="AP821" s="40"/>
      <c r="AQ821" s="36"/>
      <c r="AR821" s="36"/>
      <c r="AS821" s="36"/>
      <c r="AT821" s="36"/>
      <c r="AU821" s="36"/>
      <c r="AV821" s="38"/>
      <c r="AW821" s="40"/>
    </row>
    <row r="822" spans="1:49" s="34" customFormat="1" ht="15.75" customHeight="1" x14ac:dyDescent="0.3">
      <c r="A822" s="35"/>
      <c r="B822" s="36"/>
      <c r="C822" s="37"/>
      <c r="D822" s="39"/>
      <c r="E822" s="40"/>
      <c r="F822" s="36"/>
      <c r="G822" s="37"/>
      <c r="H822" s="40"/>
      <c r="I822" s="40"/>
      <c r="J822" s="41"/>
      <c r="K822" s="41">
        <v>0</v>
      </c>
      <c r="L822" s="30">
        <f t="shared" si="168"/>
        <v>0</v>
      </c>
      <c r="M822" s="30">
        <f t="shared" si="168"/>
        <v>0</v>
      </c>
      <c r="N822" s="40"/>
      <c r="O822" s="40"/>
      <c r="P822" s="40"/>
      <c r="Q822" s="44"/>
      <c r="R822" s="37"/>
      <c r="S822" s="37"/>
      <c r="T822" s="48"/>
      <c r="U822" s="30" t="e">
        <f>M822/W822</f>
        <v>#DIV/0!</v>
      </c>
      <c r="V822" s="41" t="e">
        <f t="shared" si="159"/>
        <v>#DIV/0!</v>
      </c>
      <c r="W822" s="41">
        <f t="shared" si="167"/>
        <v>0</v>
      </c>
      <c r="X822" s="41">
        <f t="shared" si="170"/>
        <v>0</v>
      </c>
      <c r="Y822" s="41">
        <v>0</v>
      </c>
      <c r="Z822" s="41" t="e">
        <f t="shared" si="160"/>
        <v>#DIV/0!</v>
      </c>
      <c r="AA822" s="41">
        <v>0</v>
      </c>
      <c r="AB822" s="41" t="e">
        <f t="shared" si="161"/>
        <v>#DIV/0!</v>
      </c>
      <c r="AC822" s="41">
        <f t="shared" si="169"/>
        <v>0</v>
      </c>
      <c r="AD822" s="41">
        <v>0</v>
      </c>
      <c r="AE822" s="41" t="e">
        <f t="shared" si="162"/>
        <v>#DIV/0!</v>
      </c>
      <c r="AF822" s="41">
        <v>0</v>
      </c>
      <c r="AG822" s="41" t="e">
        <f t="shared" si="163"/>
        <v>#DIV/0!</v>
      </c>
      <c r="AH822" s="41">
        <f t="shared" si="164"/>
        <v>0</v>
      </c>
      <c r="AI822" s="41">
        <v>0</v>
      </c>
      <c r="AJ822" s="41">
        <v>0</v>
      </c>
      <c r="AK822" s="41">
        <v>0</v>
      </c>
      <c r="AL822" s="41">
        <v>0</v>
      </c>
      <c r="AM822" s="41" t="e">
        <f t="shared" si="158"/>
        <v>#DIV/0!</v>
      </c>
      <c r="AN822" s="41" t="e">
        <f t="shared" si="165"/>
        <v>#DIV/0!</v>
      </c>
      <c r="AO822" s="41" t="e">
        <f t="shared" si="166"/>
        <v>#DIV/0!</v>
      </c>
      <c r="AP822" s="40"/>
      <c r="AQ822" s="36"/>
      <c r="AR822" s="36"/>
      <c r="AS822" s="36"/>
      <c r="AT822" s="36"/>
      <c r="AU822" s="36"/>
      <c r="AV822" s="38"/>
      <c r="AW822" s="40"/>
    </row>
    <row r="823" spans="1:49" s="34" customFormat="1" ht="15.75" customHeight="1" x14ac:dyDescent="0.3">
      <c r="A823" s="35"/>
      <c r="B823" s="36"/>
      <c r="C823" s="37"/>
      <c r="D823" s="39"/>
      <c r="E823" s="40"/>
      <c r="F823" s="36"/>
      <c r="G823" s="37"/>
      <c r="H823" s="40"/>
      <c r="I823" s="40"/>
      <c r="J823" s="41"/>
      <c r="K823" s="41">
        <v>0</v>
      </c>
      <c r="L823" s="30">
        <f t="shared" si="168"/>
        <v>0</v>
      </c>
      <c r="M823" s="30">
        <f t="shared" si="168"/>
        <v>0</v>
      </c>
      <c r="N823" s="40"/>
      <c r="O823" s="40"/>
      <c r="P823" s="40"/>
      <c r="Q823" s="44"/>
      <c r="R823" s="37"/>
      <c r="S823" s="37"/>
      <c r="T823" s="48"/>
      <c r="U823" s="30" t="e">
        <f>M823/W823</f>
        <v>#DIV/0!</v>
      </c>
      <c r="V823" s="41" t="e">
        <f t="shared" si="159"/>
        <v>#DIV/0!</v>
      </c>
      <c r="W823" s="41">
        <f t="shared" si="167"/>
        <v>0</v>
      </c>
      <c r="X823" s="41">
        <f t="shared" si="170"/>
        <v>0</v>
      </c>
      <c r="Y823" s="41">
        <v>0</v>
      </c>
      <c r="Z823" s="41" t="e">
        <f t="shared" si="160"/>
        <v>#DIV/0!</v>
      </c>
      <c r="AA823" s="41">
        <v>0</v>
      </c>
      <c r="AB823" s="41" t="e">
        <f t="shared" si="161"/>
        <v>#DIV/0!</v>
      </c>
      <c r="AC823" s="41">
        <f t="shared" si="169"/>
        <v>0</v>
      </c>
      <c r="AD823" s="41">
        <v>0</v>
      </c>
      <c r="AE823" s="41" t="e">
        <f t="shared" si="162"/>
        <v>#DIV/0!</v>
      </c>
      <c r="AF823" s="41">
        <v>0</v>
      </c>
      <c r="AG823" s="41" t="e">
        <f t="shared" si="163"/>
        <v>#DIV/0!</v>
      </c>
      <c r="AH823" s="41">
        <f t="shared" si="164"/>
        <v>0</v>
      </c>
      <c r="AI823" s="41">
        <v>0</v>
      </c>
      <c r="AJ823" s="41">
        <v>0</v>
      </c>
      <c r="AK823" s="41">
        <v>0</v>
      </c>
      <c r="AL823" s="41">
        <v>0</v>
      </c>
      <c r="AM823" s="41" t="e">
        <f t="shared" si="158"/>
        <v>#DIV/0!</v>
      </c>
      <c r="AN823" s="41" t="e">
        <f t="shared" si="165"/>
        <v>#DIV/0!</v>
      </c>
      <c r="AO823" s="41" t="e">
        <f t="shared" si="166"/>
        <v>#DIV/0!</v>
      </c>
      <c r="AP823" s="40"/>
      <c r="AQ823" s="36"/>
      <c r="AR823" s="36"/>
      <c r="AS823" s="36"/>
      <c r="AT823" s="36"/>
      <c r="AU823" s="36"/>
      <c r="AV823" s="38"/>
      <c r="AW823" s="40"/>
    </row>
    <row r="824" spans="1:49" s="34" customFormat="1" ht="15.75" customHeight="1" x14ac:dyDescent="0.3">
      <c r="A824" s="35"/>
      <c r="B824" s="36"/>
      <c r="C824" s="37"/>
      <c r="D824" s="39"/>
      <c r="E824" s="40"/>
      <c r="F824" s="36"/>
      <c r="G824" s="37"/>
      <c r="H824" s="40"/>
      <c r="I824" s="40"/>
      <c r="J824" s="41"/>
      <c r="K824" s="41">
        <v>0</v>
      </c>
      <c r="L824" s="30">
        <f t="shared" si="168"/>
        <v>0</v>
      </c>
      <c r="M824" s="30">
        <f t="shared" si="168"/>
        <v>0</v>
      </c>
      <c r="N824" s="40"/>
      <c r="O824" s="40"/>
      <c r="P824" s="40"/>
      <c r="Q824" s="44"/>
      <c r="R824" s="37"/>
      <c r="S824" s="37"/>
      <c r="T824" s="48"/>
      <c r="U824" s="30" t="e">
        <f>M824/W824</f>
        <v>#DIV/0!</v>
      </c>
      <c r="V824" s="41" t="e">
        <f t="shared" si="159"/>
        <v>#DIV/0!</v>
      </c>
      <c r="W824" s="41">
        <f t="shared" si="167"/>
        <v>0</v>
      </c>
      <c r="X824" s="41">
        <f t="shared" si="170"/>
        <v>0</v>
      </c>
      <c r="Y824" s="41">
        <v>0</v>
      </c>
      <c r="Z824" s="41" t="e">
        <f t="shared" si="160"/>
        <v>#DIV/0!</v>
      </c>
      <c r="AA824" s="41">
        <v>0</v>
      </c>
      <c r="AB824" s="41" t="e">
        <f t="shared" si="161"/>
        <v>#DIV/0!</v>
      </c>
      <c r="AC824" s="41">
        <f t="shared" si="169"/>
        <v>0</v>
      </c>
      <c r="AD824" s="41">
        <v>0</v>
      </c>
      <c r="AE824" s="41" t="e">
        <f t="shared" si="162"/>
        <v>#DIV/0!</v>
      </c>
      <c r="AF824" s="41">
        <v>0</v>
      </c>
      <c r="AG824" s="41" t="e">
        <f t="shared" si="163"/>
        <v>#DIV/0!</v>
      </c>
      <c r="AH824" s="41">
        <f t="shared" si="164"/>
        <v>0</v>
      </c>
      <c r="AI824" s="41">
        <v>0</v>
      </c>
      <c r="AJ824" s="41">
        <v>0</v>
      </c>
      <c r="AK824" s="41">
        <v>0</v>
      </c>
      <c r="AL824" s="41">
        <v>0</v>
      </c>
      <c r="AM824" s="41" t="e">
        <f t="shared" si="158"/>
        <v>#DIV/0!</v>
      </c>
      <c r="AN824" s="41" t="e">
        <f t="shared" si="165"/>
        <v>#DIV/0!</v>
      </c>
      <c r="AO824" s="41" t="e">
        <f t="shared" si="166"/>
        <v>#DIV/0!</v>
      </c>
      <c r="AP824" s="40"/>
      <c r="AQ824" s="36"/>
      <c r="AR824" s="36"/>
      <c r="AS824" s="36"/>
      <c r="AT824" s="36"/>
      <c r="AU824" s="36"/>
      <c r="AV824" s="38"/>
      <c r="AW824" s="40"/>
    </row>
    <row r="825" spans="1:49" s="34" customFormat="1" ht="15.75" customHeight="1" x14ac:dyDescent="0.3">
      <c r="A825" s="35"/>
      <c r="B825" s="36"/>
      <c r="C825" s="37"/>
      <c r="D825" s="39"/>
      <c r="E825" s="40"/>
      <c r="F825" s="36"/>
      <c r="G825" s="37"/>
      <c r="H825" s="40"/>
      <c r="I825" s="40"/>
      <c r="J825" s="41"/>
      <c r="K825" s="41">
        <v>0</v>
      </c>
      <c r="L825" s="30">
        <f t="shared" si="168"/>
        <v>0</v>
      </c>
      <c r="M825" s="30">
        <f t="shared" si="168"/>
        <v>0</v>
      </c>
      <c r="N825" s="40"/>
      <c r="O825" s="40"/>
      <c r="P825" s="40"/>
      <c r="Q825" s="44"/>
      <c r="R825" s="37"/>
      <c r="S825" s="37"/>
      <c r="T825" s="48"/>
      <c r="U825" s="30" t="e">
        <f>M825/W825</f>
        <v>#DIV/0!</v>
      </c>
      <c r="V825" s="41" t="e">
        <f t="shared" si="159"/>
        <v>#DIV/0!</v>
      </c>
      <c r="W825" s="41">
        <f t="shared" si="167"/>
        <v>0</v>
      </c>
      <c r="X825" s="41">
        <f t="shared" si="170"/>
        <v>0</v>
      </c>
      <c r="Y825" s="41">
        <v>0</v>
      </c>
      <c r="Z825" s="41" t="e">
        <f t="shared" si="160"/>
        <v>#DIV/0!</v>
      </c>
      <c r="AA825" s="41">
        <v>0</v>
      </c>
      <c r="AB825" s="41" t="e">
        <f t="shared" si="161"/>
        <v>#DIV/0!</v>
      </c>
      <c r="AC825" s="41">
        <f t="shared" si="169"/>
        <v>0</v>
      </c>
      <c r="AD825" s="41">
        <v>0</v>
      </c>
      <c r="AE825" s="41" t="e">
        <f t="shared" si="162"/>
        <v>#DIV/0!</v>
      </c>
      <c r="AF825" s="41">
        <v>0</v>
      </c>
      <c r="AG825" s="41" t="e">
        <f t="shared" si="163"/>
        <v>#DIV/0!</v>
      </c>
      <c r="AH825" s="41">
        <f t="shared" si="164"/>
        <v>0</v>
      </c>
      <c r="AI825" s="41">
        <v>0</v>
      </c>
      <c r="AJ825" s="41">
        <v>0</v>
      </c>
      <c r="AK825" s="41">
        <v>0</v>
      </c>
      <c r="AL825" s="41">
        <v>0</v>
      </c>
      <c r="AM825" s="41" t="e">
        <f t="shared" si="158"/>
        <v>#DIV/0!</v>
      </c>
      <c r="AN825" s="41" t="e">
        <f t="shared" si="165"/>
        <v>#DIV/0!</v>
      </c>
      <c r="AO825" s="41" t="e">
        <f t="shared" si="166"/>
        <v>#DIV/0!</v>
      </c>
      <c r="AP825" s="40"/>
      <c r="AQ825" s="36"/>
      <c r="AR825" s="36"/>
      <c r="AS825" s="36"/>
      <c r="AT825" s="36"/>
      <c r="AU825" s="36"/>
      <c r="AV825" s="38"/>
      <c r="AW825" s="40"/>
    </row>
    <row r="826" spans="1:49" s="34" customFormat="1" ht="15.75" customHeight="1" x14ac:dyDescent="0.3">
      <c r="A826" s="35"/>
      <c r="B826" s="36"/>
      <c r="C826" s="37"/>
      <c r="D826" s="39"/>
      <c r="E826" s="40"/>
      <c r="F826" s="36"/>
      <c r="G826" s="37"/>
      <c r="H826" s="40"/>
      <c r="I826" s="40"/>
      <c r="J826" s="41"/>
      <c r="K826" s="41">
        <v>0</v>
      </c>
      <c r="L826" s="30">
        <f t="shared" si="168"/>
        <v>0</v>
      </c>
      <c r="M826" s="30">
        <f t="shared" si="168"/>
        <v>0</v>
      </c>
      <c r="N826" s="40"/>
      <c r="O826" s="40"/>
      <c r="P826" s="40"/>
      <c r="Q826" s="44"/>
      <c r="R826" s="37"/>
      <c r="S826" s="37"/>
      <c r="T826" s="48"/>
      <c r="U826" s="30" t="e">
        <f>M826/W826</f>
        <v>#DIV/0!</v>
      </c>
      <c r="V826" s="41" t="e">
        <f t="shared" si="159"/>
        <v>#DIV/0!</v>
      </c>
      <c r="W826" s="41">
        <f t="shared" si="167"/>
        <v>0</v>
      </c>
      <c r="X826" s="41">
        <f t="shared" si="170"/>
        <v>0</v>
      </c>
      <c r="Y826" s="41">
        <v>0</v>
      </c>
      <c r="Z826" s="41" t="e">
        <f t="shared" si="160"/>
        <v>#DIV/0!</v>
      </c>
      <c r="AA826" s="41">
        <v>0</v>
      </c>
      <c r="AB826" s="41" t="e">
        <f t="shared" si="161"/>
        <v>#DIV/0!</v>
      </c>
      <c r="AC826" s="41">
        <f t="shared" si="169"/>
        <v>0</v>
      </c>
      <c r="AD826" s="41">
        <v>0</v>
      </c>
      <c r="AE826" s="41" t="e">
        <f t="shared" si="162"/>
        <v>#DIV/0!</v>
      </c>
      <c r="AF826" s="41">
        <v>0</v>
      </c>
      <c r="AG826" s="41" t="e">
        <f t="shared" si="163"/>
        <v>#DIV/0!</v>
      </c>
      <c r="AH826" s="41">
        <f t="shared" si="164"/>
        <v>0</v>
      </c>
      <c r="AI826" s="41">
        <v>0</v>
      </c>
      <c r="AJ826" s="41">
        <v>0</v>
      </c>
      <c r="AK826" s="41">
        <v>0</v>
      </c>
      <c r="AL826" s="41">
        <v>0</v>
      </c>
      <c r="AM826" s="41" t="e">
        <f t="shared" si="158"/>
        <v>#DIV/0!</v>
      </c>
      <c r="AN826" s="41" t="e">
        <f t="shared" si="165"/>
        <v>#DIV/0!</v>
      </c>
      <c r="AO826" s="41" t="e">
        <f t="shared" si="166"/>
        <v>#DIV/0!</v>
      </c>
      <c r="AP826" s="40"/>
      <c r="AQ826" s="36"/>
      <c r="AR826" s="36"/>
      <c r="AS826" s="36"/>
      <c r="AT826" s="36"/>
      <c r="AU826" s="36"/>
      <c r="AV826" s="38"/>
      <c r="AW826" s="40"/>
    </row>
    <row r="827" spans="1:49" s="34" customFormat="1" ht="15.75" customHeight="1" x14ac:dyDescent="0.3">
      <c r="A827" s="35"/>
      <c r="B827" s="36"/>
      <c r="C827" s="37"/>
      <c r="D827" s="39"/>
      <c r="E827" s="40"/>
      <c r="F827" s="36"/>
      <c r="G827" s="37"/>
      <c r="H827" s="40"/>
      <c r="I827" s="40"/>
      <c r="J827" s="41"/>
      <c r="K827" s="41">
        <v>0</v>
      </c>
      <c r="L827" s="30">
        <f t="shared" si="168"/>
        <v>0</v>
      </c>
      <c r="M827" s="30">
        <f t="shared" si="168"/>
        <v>0</v>
      </c>
      <c r="N827" s="40"/>
      <c r="O827" s="40"/>
      <c r="P827" s="40"/>
      <c r="Q827" s="44"/>
      <c r="R827" s="37"/>
      <c r="S827" s="37"/>
      <c r="T827" s="48"/>
      <c r="U827" s="30" t="e">
        <f>M827/W827</f>
        <v>#DIV/0!</v>
      </c>
      <c r="V827" s="41" t="e">
        <f t="shared" si="159"/>
        <v>#DIV/0!</v>
      </c>
      <c r="W827" s="41">
        <f t="shared" si="167"/>
        <v>0</v>
      </c>
      <c r="X827" s="41">
        <f t="shared" si="170"/>
        <v>0</v>
      </c>
      <c r="Y827" s="41">
        <v>0</v>
      </c>
      <c r="Z827" s="41" t="e">
        <f t="shared" si="160"/>
        <v>#DIV/0!</v>
      </c>
      <c r="AA827" s="41">
        <v>0</v>
      </c>
      <c r="AB827" s="41" t="e">
        <f t="shared" si="161"/>
        <v>#DIV/0!</v>
      </c>
      <c r="AC827" s="41">
        <f t="shared" si="169"/>
        <v>0</v>
      </c>
      <c r="AD827" s="41">
        <v>0</v>
      </c>
      <c r="AE827" s="41" t="e">
        <f t="shared" si="162"/>
        <v>#DIV/0!</v>
      </c>
      <c r="AF827" s="41">
        <v>0</v>
      </c>
      <c r="AG827" s="41" t="e">
        <f t="shared" si="163"/>
        <v>#DIV/0!</v>
      </c>
      <c r="AH827" s="41">
        <f t="shared" si="164"/>
        <v>0</v>
      </c>
      <c r="AI827" s="41">
        <v>0</v>
      </c>
      <c r="AJ827" s="41">
        <v>0</v>
      </c>
      <c r="AK827" s="41">
        <v>0</v>
      </c>
      <c r="AL827" s="41">
        <v>0</v>
      </c>
      <c r="AM827" s="41" t="e">
        <f t="shared" ref="AM827:AM867" si="171">Z827+AE827+AJ827</f>
        <v>#DIV/0!</v>
      </c>
      <c r="AN827" s="41" t="e">
        <f t="shared" si="165"/>
        <v>#DIV/0!</v>
      </c>
      <c r="AO827" s="41" t="e">
        <f t="shared" si="166"/>
        <v>#DIV/0!</v>
      </c>
      <c r="AP827" s="40"/>
      <c r="AQ827" s="36"/>
      <c r="AR827" s="36"/>
      <c r="AS827" s="36"/>
      <c r="AT827" s="36"/>
      <c r="AU827" s="36"/>
      <c r="AV827" s="38"/>
      <c r="AW827" s="40"/>
    </row>
    <row r="828" spans="1:49" s="34" customFormat="1" ht="15.75" customHeight="1" x14ac:dyDescent="0.3">
      <c r="A828" s="35"/>
      <c r="B828" s="36"/>
      <c r="C828" s="37"/>
      <c r="D828" s="39"/>
      <c r="E828" s="40"/>
      <c r="F828" s="36"/>
      <c r="G828" s="37"/>
      <c r="H828" s="40"/>
      <c r="I828" s="40"/>
      <c r="J828" s="41"/>
      <c r="K828" s="41">
        <v>0</v>
      </c>
      <c r="L828" s="30">
        <f t="shared" si="168"/>
        <v>0</v>
      </c>
      <c r="M828" s="30">
        <f t="shared" si="168"/>
        <v>0</v>
      </c>
      <c r="N828" s="40"/>
      <c r="O828" s="40"/>
      <c r="P828" s="40"/>
      <c r="Q828" s="44"/>
      <c r="R828" s="37"/>
      <c r="S828" s="37"/>
      <c r="T828" s="48"/>
      <c r="U828" s="30" t="e">
        <f>M828/W828</f>
        <v>#DIV/0!</v>
      </c>
      <c r="V828" s="41" t="e">
        <f t="shared" ref="V828:V868" si="172">U828*T828</f>
        <v>#DIV/0!</v>
      </c>
      <c r="W828" s="41">
        <f t="shared" si="167"/>
        <v>0</v>
      </c>
      <c r="X828" s="41">
        <f t="shared" si="170"/>
        <v>0</v>
      </c>
      <c r="Y828" s="41">
        <v>0</v>
      </c>
      <c r="Z828" s="41" t="e">
        <f t="shared" si="160"/>
        <v>#DIV/0!</v>
      </c>
      <c r="AA828" s="41">
        <v>0</v>
      </c>
      <c r="AB828" s="41" t="e">
        <f t="shared" si="161"/>
        <v>#DIV/0!</v>
      </c>
      <c r="AC828" s="41">
        <f t="shared" si="169"/>
        <v>0</v>
      </c>
      <c r="AD828" s="41">
        <v>0</v>
      </c>
      <c r="AE828" s="41" t="e">
        <f t="shared" si="162"/>
        <v>#DIV/0!</v>
      </c>
      <c r="AF828" s="41">
        <v>0</v>
      </c>
      <c r="AG828" s="41" t="e">
        <f t="shared" si="163"/>
        <v>#DIV/0!</v>
      </c>
      <c r="AH828" s="41">
        <f t="shared" si="164"/>
        <v>0</v>
      </c>
      <c r="AI828" s="41">
        <v>0</v>
      </c>
      <c r="AJ828" s="41">
        <v>0</v>
      </c>
      <c r="AK828" s="41">
        <v>0</v>
      </c>
      <c r="AL828" s="41">
        <v>0</v>
      </c>
      <c r="AM828" s="41" t="e">
        <f t="shared" si="171"/>
        <v>#DIV/0!</v>
      </c>
      <c r="AN828" s="41" t="e">
        <f t="shared" si="165"/>
        <v>#DIV/0!</v>
      </c>
      <c r="AO828" s="41" t="e">
        <f t="shared" si="166"/>
        <v>#DIV/0!</v>
      </c>
      <c r="AP828" s="40"/>
      <c r="AQ828" s="36"/>
      <c r="AR828" s="36"/>
      <c r="AS828" s="36"/>
      <c r="AT828" s="36"/>
      <c r="AU828" s="36"/>
      <c r="AV828" s="38"/>
      <c r="AW828" s="40"/>
    </row>
    <row r="829" spans="1:49" s="34" customFormat="1" ht="15.75" customHeight="1" x14ac:dyDescent="0.3">
      <c r="A829" s="35"/>
      <c r="B829" s="36"/>
      <c r="C829" s="37"/>
      <c r="D829" s="39"/>
      <c r="E829" s="40"/>
      <c r="F829" s="36"/>
      <c r="G829" s="37"/>
      <c r="H829" s="40"/>
      <c r="I829" s="40"/>
      <c r="J829" s="41"/>
      <c r="K829" s="41">
        <v>0</v>
      </c>
      <c r="L829" s="30">
        <f t="shared" si="168"/>
        <v>0</v>
      </c>
      <c r="M829" s="30">
        <f t="shared" si="168"/>
        <v>0</v>
      </c>
      <c r="N829" s="40"/>
      <c r="O829" s="40"/>
      <c r="P829" s="40"/>
      <c r="Q829" s="44"/>
      <c r="R829" s="37"/>
      <c r="S829" s="37"/>
      <c r="T829" s="48"/>
      <c r="U829" s="30" t="e">
        <f>M829/W829</f>
        <v>#DIV/0!</v>
      </c>
      <c r="V829" s="41" t="e">
        <f t="shared" si="172"/>
        <v>#DIV/0!</v>
      </c>
      <c r="W829" s="41">
        <f t="shared" si="167"/>
        <v>0</v>
      </c>
      <c r="X829" s="41">
        <f t="shared" si="170"/>
        <v>0</v>
      </c>
      <c r="Y829" s="41">
        <v>0</v>
      </c>
      <c r="Z829" s="41" t="e">
        <f t="shared" si="160"/>
        <v>#DIV/0!</v>
      </c>
      <c r="AA829" s="41">
        <v>0</v>
      </c>
      <c r="AB829" s="41" t="e">
        <f t="shared" si="161"/>
        <v>#DIV/0!</v>
      </c>
      <c r="AC829" s="41">
        <f t="shared" si="169"/>
        <v>0</v>
      </c>
      <c r="AD829" s="41">
        <v>0</v>
      </c>
      <c r="AE829" s="41" t="e">
        <f t="shared" si="162"/>
        <v>#DIV/0!</v>
      </c>
      <c r="AF829" s="41">
        <v>0</v>
      </c>
      <c r="AG829" s="41" t="e">
        <f t="shared" si="163"/>
        <v>#DIV/0!</v>
      </c>
      <c r="AH829" s="41">
        <f t="shared" si="164"/>
        <v>0</v>
      </c>
      <c r="AI829" s="41">
        <v>0</v>
      </c>
      <c r="AJ829" s="41">
        <v>0</v>
      </c>
      <c r="AK829" s="41">
        <v>0</v>
      </c>
      <c r="AL829" s="41">
        <v>0</v>
      </c>
      <c r="AM829" s="41" t="e">
        <f t="shared" si="171"/>
        <v>#DIV/0!</v>
      </c>
      <c r="AN829" s="41" t="e">
        <f t="shared" si="165"/>
        <v>#DIV/0!</v>
      </c>
      <c r="AO829" s="41" t="e">
        <f t="shared" si="166"/>
        <v>#DIV/0!</v>
      </c>
      <c r="AP829" s="40"/>
      <c r="AQ829" s="36"/>
      <c r="AR829" s="36"/>
      <c r="AS829" s="36"/>
      <c r="AT829" s="36"/>
      <c r="AU829" s="36"/>
      <c r="AV829" s="38"/>
      <c r="AW829" s="40"/>
    </row>
    <row r="830" spans="1:49" s="34" customFormat="1" ht="15.75" customHeight="1" x14ac:dyDescent="0.3">
      <c r="A830" s="35"/>
      <c r="B830" s="36"/>
      <c r="C830" s="37"/>
      <c r="D830" s="39"/>
      <c r="E830" s="40"/>
      <c r="F830" s="36"/>
      <c r="G830" s="37"/>
      <c r="H830" s="40"/>
      <c r="I830" s="40"/>
      <c r="J830" s="41"/>
      <c r="K830" s="41">
        <v>0</v>
      </c>
      <c r="L830" s="30">
        <f t="shared" si="168"/>
        <v>0</v>
      </c>
      <c r="M830" s="30">
        <f t="shared" si="168"/>
        <v>0</v>
      </c>
      <c r="N830" s="40"/>
      <c r="O830" s="40"/>
      <c r="P830" s="40"/>
      <c r="Q830" s="44"/>
      <c r="R830" s="37"/>
      <c r="S830" s="37"/>
      <c r="T830" s="48"/>
      <c r="U830" s="30" t="e">
        <f>M830/W830</f>
        <v>#DIV/0!</v>
      </c>
      <c r="V830" s="41" t="e">
        <f t="shared" si="172"/>
        <v>#DIV/0!</v>
      </c>
      <c r="W830" s="41">
        <f t="shared" si="167"/>
        <v>0</v>
      </c>
      <c r="X830" s="41">
        <f t="shared" si="170"/>
        <v>0</v>
      </c>
      <c r="Y830" s="41">
        <v>0</v>
      </c>
      <c r="Z830" s="41" t="e">
        <f t="shared" si="160"/>
        <v>#DIV/0!</v>
      </c>
      <c r="AA830" s="41">
        <v>0</v>
      </c>
      <c r="AB830" s="41" t="e">
        <f t="shared" si="161"/>
        <v>#DIV/0!</v>
      </c>
      <c r="AC830" s="41">
        <f t="shared" si="169"/>
        <v>0</v>
      </c>
      <c r="AD830" s="41">
        <v>0</v>
      </c>
      <c r="AE830" s="41" t="e">
        <f t="shared" si="162"/>
        <v>#DIV/0!</v>
      </c>
      <c r="AF830" s="41">
        <v>0</v>
      </c>
      <c r="AG830" s="41" t="e">
        <f t="shared" si="163"/>
        <v>#DIV/0!</v>
      </c>
      <c r="AH830" s="41">
        <f t="shared" si="164"/>
        <v>0</v>
      </c>
      <c r="AI830" s="41">
        <v>0</v>
      </c>
      <c r="AJ830" s="41">
        <v>0</v>
      </c>
      <c r="AK830" s="41">
        <v>0</v>
      </c>
      <c r="AL830" s="41">
        <v>0</v>
      </c>
      <c r="AM830" s="41" t="e">
        <f t="shared" si="171"/>
        <v>#DIV/0!</v>
      </c>
      <c r="AN830" s="41" t="e">
        <f t="shared" si="165"/>
        <v>#DIV/0!</v>
      </c>
      <c r="AO830" s="41" t="e">
        <f t="shared" si="166"/>
        <v>#DIV/0!</v>
      </c>
      <c r="AP830" s="40"/>
      <c r="AQ830" s="36"/>
      <c r="AR830" s="36"/>
      <c r="AS830" s="36"/>
      <c r="AT830" s="36"/>
      <c r="AU830" s="36"/>
      <c r="AV830" s="38"/>
      <c r="AW830" s="40"/>
    </row>
    <row r="831" spans="1:49" s="34" customFormat="1" ht="15.75" customHeight="1" x14ac:dyDescent="0.3">
      <c r="A831" s="35"/>
      <c r="B831" s="36"/>
      <c r="C831" s="37"/>
      <c r="D831" s="39"/>
      <c r="E831" s="40"/>
      <c r="F831" s="36"/>
      <c r="G831" s="37"/>
      <c r="H831" s="40"/>
      <c r="I831" s="40"/>
      <c r="J831" s="41"/>
      <c r="K831" s="41">
        <v>0</v>
      </c>
      <c r="L831" s="30">
        <f t="shared" si="168"/>
        <v>0</v>
      </c>
      <c r="M831" s="30">
        <f t="shared" si="168"/>
        <v>0</v>
      </c>
      <c r="N831" s="40"/>
      <c r="O831" s="40"/>
      <c r="P831" s="40"/>
      <c r="Q831" s="44"/>
      <c r="R831" s="37"/>
      <c r="S831" s="37"/>
      <c r="T831" s="48"/>
      <c r="U831" s="30" t="e">
        <f>M831/W831</f>
        <v>#DIV/0!</v>
      </c>
      <c r="V831" s="41" t="e">
        <f t="shared" si="172"/>
        <v>#DIV/0!</v>
      </c>
      <c r="W831" s="41">
        <f t="shared" si="167"/>
        <v>0</v>
      </c>
      <c r="X831" s="41">
        <f t="shared" si="170"/>
        <v>0</v>
      </c>
      <c r="Y831" s="41">
        <v>0</v>
      </c>
      <c r="Z831" s="41" t="e">
        <f t="shared" si="160"/>
        <v>#DIV/0!</v>
      </c>
      <c r="AA831" s="41">
        <v>0</v>
      </c>
      <c r="AB831" s="41" t="e">
        <f t="shared" si="161"/>
        <v>#DIV/0!</v>
      </c>
      <c r="AC831" s="41">
        <f t="shared" si="169"/>
        <v>0</v>
      </c>
      <c r="AD831" s="41">
        <v>0</v>
      </c>
      <c r="AE831" s="41" t="e">
        <f t="shared" si="162"/>
        <v>#DIV/0!</v>
      </c>
      <c r="AF831" s="41">
        <v>0</v>
      </c>
      <c r="AG831" s="41" t="e">
        <f t="shared" si="163"/>
        <v>#DIV/0!</v>
      </c>
      <c r="AH831" s="41">
        <f t="shared" si="164"/>
        <v>0</v>
      </c>
      <c r="AI831" s="41">
        <v>0</v>
      </c>
      <c r="AJ831" s="41">
        <v>0</v>
      </c>
      <c r="AK831" s="41">
        <v>0</v>
      </c>
      <c r="AL831" s="41">
        <v>0</v>
      </c>
      <c r="AM831" s="41" t="e">
        <f t="shared" si="171"/>
        <v>#DIV/0!</v>
      </c>
      <c r="AN831" s="41" t="e">
        <f t="shared" si="165"/>
        <v>#DIV/0!</v>
      </c>
      <c r="AO831" s="41" t="e">
        <f t="shared" si="166"/>
        <v>#DIV/0!</v>
      </c>
      <c r="AP831" s="40"/>
      <c r="AQ831" s="36"/>
      <c r="AR831" s="36"/>
      <c r="AS831" s="36"/>
      <c r="AT831" s="36"/>
      <c r="AU831" s="36"/>
      <c r="AV831" s="38"/>
      <c r="AW831" s="40"/>
    </row>
    <row r="832" spans="1:49" s="34" customFormat="1" ht="15.75" customHeight="1" x14ac:dyDescent="0.3">
      <c r="A832" s="35"/>
      <c r="B832" s="36"/>
      <c r="C832" s="37"/>
      <c r="D832" s="39"/>
      <c r="E832" s="40"/>
      <c r="F832" s="36"/>
      <c r="G832" s="37"/>
      <c r="H832" s="40"/>
      <c r="I832" s="40"/>
      <c r="J832" s="41"/>
      <c r="K832" s="41">
        <v>0</v>
      </c>
      <c r="L832" s="30">
        <f t="shared" si="168"/>
        <v>0</v>
      </c>
      <c r="M832" s="30">
        <f t="shared" si="168"/>
        <v>0</v>
      </c>
      <c r="N832" s="40"/>
      <c r="O832" s="40"/>
      <c r="P832" s="40"/>
      <c r="Q832" s="44"/>
      <c r="R832" s="37"/>
      <c r="S832" s="37"/>
      <c r="T832" s="48"/>
      <c r="U832" s="30" t="e">
        <f>M832/W832</f>
        <v>#DIV/0!</v>
      </c>
      <c r="V832" s="41" t="e">
        <f t="shared" si="172"/>
        <v>#DIV/0!</v>
      </c>
      <c r="W832" s="41">
        <f t="shared" si="167"/>
        <v>0</v>
      </c>
      <c r="X832" s="41">
        <f t="shared" si="170"/>
        <v>0</v>
      </c>
      <c r="Y832" s="41">
        <v>0</v>
      </c>
      <c r="Z832" s="41" t="e">
        <f t="shared" si="160"/>
        <v>#DIV/0!</v>
      </c>
      <c r="AA832" s="41">
        <v>0</v>
      </c>
      <c r="AB832" s="41" t="e">
        <f t="shared" si="161"/>
        <v>#DIV/0!</v>
      </c>
      <c r="AC832" s="41">
        <f t="shared" si="169"/>
        <v>0</v>
      </c>
      <c r="AD832" s="41">
        <v>0</v>
      </c>
      <c r="AE832" s="41" t="e">
        <f t="shared" si="162"/>
        <v>#DIV/0!</v>
      </c>
      <c r="AF832" s="41">
        <v>0</v>
      </c>
      <c r="AG832" s="41" t="e">
        <f t="shared" si="163"/>
        <v>#DIV/0!</v>
      </c>
      <c r="AH832" s="41">
        <f t="shared" si="164"/>
        <v>0</v>
      </c>
      <c r="AI832" s="41">
        <v>0</v>
      </c>
      <c r="AJ832" s="41">
        <v>0</v>
      </c>
      <c r="AK832" s="41">
        <v>0</v>
      </c>
      <c r="AL832" s="41">
        <v>0</v>
      </c>
      <c r="AM832" s="41" t="e">
        <f t="shared" si="171"/>
        <v>#DIV/0!</v>
      </c>
      <c r="AN832" s="41" t="e">
        <f t="shared" si="165"/>
        <v>#DIV/0!</v>
      </c>
      <c r="AO832" s="41" t="e">
        <f t="shared" si="166"/>
        <v>#DIV/0!</v>
      </c>
      <c r="AP832" s="40"/>
      <c r="AQ832" s="36"/>
      <c r="AR832" s="36"/>
      <c r="AS832" s="36"/>
      <c r="AT832" s="36"/>
      <c r="AU832" s="36"/>
      <c r="AV832" s="38"/>
      <c r="AW832" s="40"/>
    </row>
    <row r="833" spans="1:49" s="34" customFormat="1" ht="15.75" customHeight="1" x14ac:dyDescent="0.3">
      <c r="A833" s="35"/>
      <c r="B833" s="36"/>
      <c r="C833" s="37"/>
      <c r="D833" s="39"/>
      <c r="E833" s="40"/>
      <c r="F833" s="36"/>
      <c r="G833" s="37"/>
      <c r="H833" s="40"/>
      <c r="I833" s="40"/>
      <c r="J833" s="41"/>
      <c r="K833" s="41">
        <v>0</v>
      </c>
      <c r="L833" s="30">
        <f t="shared" si="168"/>
        <v>0</v>
      </c>
      <c r="M833" s="30">
        <f t="shared" si="168"/>
        <v>0</v>
      </c>
      <c r="N833" s="40"/>
      <c r="O833" s="40"/>
      <c r="P833" s="40"/>
      <c r="Q833" s="44"/>
      <c r="R833" s="37"/>
      <c r="S833" s="37"/>
      <c r="T833" s="48"/>
      <c r="U833" s="30" t="e">
        <f>M833/W833</f>
        <v>#DIV/0!</v>
      </c>
      <c r="V833" s="41" t="e">
        <f t="shared" si="172"/>
        <v>#DIV/0!</v>
      </c>
      <c r="W833" s="41">
        <f t="shared" si="167"/>
        <v>0</v>
      </c>
      <c r="X833" s="41">
        <f t="shared" si="170"/>
        <v>0</v>
      </c>
      <c r="Y833" s="41">
        <v>0</v>
      </c>
      <c r="Z833" s="41" t="e">
        <f t="shared" ref="Z833:Z873" si="173">Y833*U833</f>
        <v>#DIV/0!</v>
      </c>
      <c r="AA833" s="41">
        <v>0</v>
      </c>
      <c r="AB833" s="41" t="e">
        <f t="shared" ref="AB833:AB873" si="174">AA833*U833</f>
        <v>#DIV/0!</v>
      </c>
      <c r="AC833" s="41">
        <f t="shared" si="169"/>
        <v>0</v>
      </c>
      <c r="AD833" s="41">
        <v>0</v>
      </c>
      <c r="AE833" s="41" t="e">
        <f t="shared" ref="AE833:AE873" si="175">AD833*U833</f>
        <v>#DIV/0!</v>
      </c>
      <c r="AF833" s="41">
        <v>0</v>
      </c>
      <c r="AG833" s="41" t="e">
        <f t="shared" ref="AG833:AG873" si="176">AF833*U833</f>
        <v>#DIV/0!</v>
      </c>
      <c r="AH833" s="41">
        <f t="shared" ref="AH833:AH873" si="177">AI833+AK833</f>
        <v>0</v>
      </c>
      <c r="AI833" s="41">
        <v>0</v>
      </c>
      <c r="AJ833" s="41">
        <v>0</v>
      </c>
      <c r="AK833" s="41">
        <v>0</v>
      </c>
      <c r="AL833" s="41">
        <v>0</v>
      </c>
      <c r="AM833" s="41" t="e">
        <f t="shared" si="171"/>
        <v>#DIV/0!</v>
      </c>
      <c r="AN833" s="41" t="e">
        <f t="shared" ref="AN833:AN873" si="178">W833/T833</f>
        <v>#DIV/0!</v>
      </c>
      <c r="AO833" s="41" t="e">
        <f t="shared" ref="AO833:AO873" si="179">_xlfn.CEILING.MATH(AN833)</f>
        <v>#DIV/0!</v>
      </c>
      <c r="AP833" s="40"/>
      <c r="AQ833" s="36"/>
      <c r="AR833" s="36"/>
      <c r="AS833" s="36"/>
      <c r="AT833" s="36"/>
      <c r="AU833" s="36"/>
      <c r="AV833" s="38"/>
      <c r="AW833" s="40"/>
    </row>
    <row r="834" spans="1:49" s="34" customFormat="1" ht="15.75" customHeight="1" x14ac:dyDescent="0.3">
      <c r="A834" s="35"/>
      <c r="B834" s="36"/>
      <c r="C834" s="37"/>
      <c r="D834" s="39"/>
      <c r="E834" s="40"/>
      <c r="F834" s="36"/>
      <c r="G834" s="37"/>
      <c r="H834" s="40"/>
      <c r="I834" s="40"/>
      <c r="J834" s="41"/>
      <c r="K834" s="41">
        <v>0</v>
      </c>
      <c r="L834" s="30">
        <f t="shared" si="168"/>
        <v>0</v>
      </c>
      <c r="M834" s="30">
        <f t="shared" si="168"/>
        <v>0</v>
      </c>
      <c r="N834" s="40"/>
      <c r="O834" s="40"/>
      <c r="P834" s="40"/>
      <c r="Q834" s="44"/>
      <c r="R834" s="37"/>
      <c r="S834" s="37"/>
      <c r="T834" s="48"/>
      <c r="U834" s="30" t="e">
        <f>M834/W834</f>
        <v>#DIV/0!</v>
      </c>
      <c r="V834" s="41" t="e">
        <f t="shared" si="172"/>
        <v>#DIV/0!</v>
      </c>
      <c r="W834" s="41">
        <f t="shared" si="167"/>
        <v>0</v>
      </c>
      <c r="X834" s="41">
        <f t="shared" si="170"/>
        <v>0</v>
      </c>
      <c r="Y834" s="41">
        <v>0</v>
      </c>
      <c r="Z834" s="41" t="e">
        <f t="shared" si="173"/>
        <v>#DIV/0!</v>
      </c>
      <c r="AA834" s="41">
        <v>0</v>
      </c>
      <c r="AB834" s="41" t="e">
        <f t="shared" si="174"/>
        <v>#DIV/0!</v>
      </c>
      <c r="AC834" s="41">
        <f t="shared" si="169"/>
        <v>0</v>
      </c>
      <c r="AD834" s="41">
        <v>0</v>
      </c>
      <c r="AE834" s="41" t="e">
        <f t="shared" si="175"/>
        <v>#DIV/0!</v>
      </c>
      <c r="AF834" s="41">
        <v>0</v>
      </c>
      <c r="AG834" s="41" t="e">
        <f t="shared" si="176"/>
        <v>#DIV/0!</v>
      </c>
      <c r="AH834" s="41">
        <f t="shared" si="177"/>
        <v>0</v>
      </c>
      <c r="AI834" s="41">
        <v>0</v>
      </c>
      <c r="AJ834" s="41">
        <v>0</v>
      </c>
      <c r="AK834" s="41">
        <v>0</v>
      </c>
      <c r="AL834" s="41">
        <v>0</v>
      </c>
      <c r="AM834" s="41" t="e">
        <f t="shared" si="171"/>
        <v>#DIV/0!</v>
      </c>
      <c r="AN834" s="41" t="e">
        <f t="shared" si="178"/>
        <v>#DIV/0!</v>
      </c>
      <c r="AO834" s="41" t="e">
        <f t="shared" si="179"/>
        <v>#DIV/0!</v>
      </c>
      <c r="AP834" s="40"/>
      <c r="AQ834" s="36"/>
      <c r="AR834" s="36"/>
      <c r="AS834" s="36"/>
      <c r="AT834" s="36"/>
      <c r="AU834" s="36"/>
      <c r="AV834" s="38"/>
      <c r="AW834" s="40"/>
    </row>
    <row r="835" spans="1:49" s="34" customFormat="1" ht="15.75" customHeight="1" x14ac:dyDescent="0.3">
      <c r="A835" s="35"/>
      <c r="B835" s="36"/>
      <c r="C835" s="37"/>
      <c r="D835" s="39"/>
      <c r="E835" s="40"/>
      <c r="F835" s="36"/>
      <c r="G835" s="37"/>
      <c r="H835" s="40"/>
      <c r="I835" s="40"/>
      <c r="J835" s="41"/>
      <c r="K835" s="41">
        <v>0</v>
      </c>
      <c r="L835" s="30">
        <f t="shared" si="168"/>
        <v>0</v>
      </c>
      <c r="M835" s="30">
        <f t="shared" si="168"/>
        <v>0</v>
      </c>
      <c r="N835" s="40"/>
      <c r="O835" s="40"/>
      <c r="P835" s="40"/>
      <c r="Q835" s="44"/>
      <c r="R835" s="37"/>
      <c r="S835" s="37"/>
      <c r="T835" s="48"/>
      <c r="U835" s="30" t="e">
        <f>M835/W835</f>
        <v>#DIV/0!</v>
      </c>
      <c r="V835" s="41" t="e">
        <f t="shared" si="172"/>
        <v>#DIV/0!</v>
      </c>
      <c r="W835" s="41">
        <f t="shared" si="167"/>
        <v>0</v>
      </c>
      <c r="X835" s="41">
        <f t="shared" si="170"/>
        <v>0</v>
      </c>
      <c r="Y835" s="41">
        <v>0</v>
      </c>
      <c r="Z835" s="41" t="e">
        <f t="shared" si="173"/>
        <v>#DIV/0!</v>
      </c>
      <c r="AA835" s="41">
        <v>0</v>
      </c>
      <c r="AB835" s="41" t="e">
        <f t="shared" si="174"/>
        <v>#DIV/0!</v>
      </c>
      <c r="AC835" s="41">
        <f t="shared" si="169"/>
        <v>0</v>
      </c>
      <c r="AD835" s="41">
        <v>0</v>
      </c>
      <c r="AE835" s="41" t="e">
        <f t="shared" si="175"/>
        <v>#DIV/0!</v>
      </c>
      <c r="AF835" s="41">
        <v>0</v>
      </c>
      <c r="AG835" s="41" t="e">
        <f t="shared" si="176"/>
        <v>#DIV/0!</v>
      </c>
      <c r="AH835" s="41">
        <f t="shared" si="177"/>
        <v>0</v>
      </c>
      <c r="AI835" s="41">
        <v>0</v>
      </c>
      <c r="AJ835" s="41">
        <v>0</v>
      </c>
      <c r="AK835" s="41">
        <v>0</v>
      </c>
      <c r="AL835" s="41">
        <v>0</v>
      </c>
      <c r="AM835" s="41" t="e">
        <f t="shared" si="171"/>
        <v>#DIV/0!</v>
      </c>
      <c r="AN835" s="41" t="e">
        <f t="shared" si="178"/>
        <v>#DIV/0!</v>
      </c>
      <c r="AO835" s="41" t="e">
        <f t="shared" si="179"/>
        <v>#DIV/0!</v>
      </c>
      <c r="AP835" s="40"/>
      <c r="AQ835" s="36"/>
      <c r="AR835" s="36"/>
      <c r="AS835" s="36"/>
      <c r="AT835" s="36"/>
      <c r="AU835" s="36"/>
      <c r="AV835" s="38"/>
      <c r="AW835" s="40"/>
    </row>
    <row r="836" spans="1:49" s="34" customFormat="1" ht="15.75" customHeight="1" x14ac:dyDescent="0.3">
      <c r="A836" s="35"/>
      <c r="B836" s="36"/>
      <c r="C836" s="37"/>
      <c r="D836" s="39"/>
      <c r="E836" s="40"/>
      <c r="F836" s="36"/>
      <c r="G836" s="37"/>
      <c r="H836" s="40"/>
      <c r="I836" s="40"/>
      <c r="J836" s="41"/>
      <c r="K836" s="41">
        <v>0</v>
      </c>
      <c r="L836" s="30">
        <f t="shared" si="168"/>
        <v>0</v>
      </c>
      <c r="M836" s="30">
        <f t="shared" si="168"/>
        <v>0</v>
      </c>
      <c r="N836" s="40"/>
      <c r="O836" s="40"/>
      <c r="P836" s="40"/>
      <c r="Q836" s="44"/>
      <c r="R836" s="37"/>
      <c r="S836" s="37"/>
      <c r="T836" s="48"/>
      <c r="U836" s="30" t="e">
        <f>M836/W836</f>
        <v>#DIV/0!</v>
      </c>
      <c r="V836" s="41" t="e">
        <f t="shared" si="172"/>
        <v>#DIV/0!</v>
      </c>
      <c r="W836" s="41">
        <f t="shared" si="167"/>
        <v>0</v>
      </c>
      <c r="X836" s="41">
        <f t="shared" si="170"/>
        <v>0</v>
      </c>
      <c r="Y836" s="41">
        <v>0</v>
      </c>
      <c r="Z836" s="41" t="e">
        <f t="shared" si="173"/>
        <v>#DIV/0!</v>
      </c>
      <c r="AA836" s="41">
        <v>0</v>
      </c>
      <c r="AB836" s="41" t="e">
        <f t="shared" si="174"/>
        <v>#DIV/0!</v>
      </c>
      <c r="AC836" s="41">
        <f t="shared" si="169"/>
        <v>0</v>
      </c>
      <c r="AD836" s="41">
        <v>0</v>
      </c>
      <c r="AE836" s="41" t="e">
        <f t="shared" si="175"/>
        <v>#DIV/0!</v>
      </c>
      <c r="AF836" s="41">
        <v>0</v>
      </c>
      <c r="AG836" s="41" t="e">
        <f t="shared" si="176"/>
        <v>#DIV/0!</v>
      </c>
      <c r="AH836" s="41">
        <f t="shared" si="177"/>
        <v>0</v>
      </c>
      <c r="AI836" s="41">
        <v>0</v>
      </c>
      <c r="AJ836" s="41">
        <v>0</v>
      </c>
      <c r="AK836" s="41">
        <v>0</v>
      </c>
      <c r="AL836" s="41">
        <v>0</v>
      </c>
      <c r="AM836" s="41" t="e">
        <f t="shared" si="171"/>
        <v>#DIV/0!</v>
      </c>
      <c r="AN836" s="41" t="e">
        <f t="shared" si="178"/>
        <v>#DIV/0!</v>
      </c>
      <c r="AO836" s="41" t="e">
        <f t="shared" si="179"/>
        <v>#DIV/0!</v>
      </c>
      <c r="AP836" s="40"/>
      <c r="AQ836" s="36"/>
      <c r="AR836" s="36"/>
      <c r="AS836" s="36"/>
      <c r="AT836" s="36"/>
      <c r="AU836" s="36"/>
      <c r="AV836" s="38"/>
      <c r="AW836" s="40"/>
    </row>
    <row r="837" spans="1:49" s="34" customFormat="1" ht="15.75" customHeight="1" x14ac:dyDescent="0.3">
      <c r="A837" s="35"/>
      <c r="B837" s="36"/>
      <c r="C837" s="37"/>
      <c r="D837" s="39"/>
      <c r="E837" s="40"/>
      <c r="F837" s="36"/>
      <c r="G837" s="37"/>
      <c r="H837" s="40"/>
      <c r="I837" s="40"/>
      <c r="J837" s="41"/>
      <c r="K837" s="41">
        <v>0</v>
      </c>
      <c r="L837" s="30">
        <f t="shared" si="168"/>
        <v>0</v>
      </c>
      <c r="M837" s="30">
        <f t="shared" si="168"/>
        <v>0</v>
      </c>
      <c r="N837" s="40"/>
      <c r="O837" s="40"/>
      <c r="P837" s="40"/>
      <c r="Q837" s="44"/>
      <c r="R837" s="37"/>
      <c r="S837" s="37"/>
      <c r="T837" s="48"/>
      <c r="U837" s="30" t="e">
        <f>M837/W837</f>
        <v>#DIV/0!</v>
      </c>
      <c r="V837" s="41" t="e">
        <f t="shared" si="172"/>
        <v>#DIV/0!</v>
      </c>
      <c r="W837" s="41">
        <f t="shared" si="167"/>
        <v>0</v>
      </c>
      <c r="X837" s="41">
        <f t="shared" si="170"/>
        <v>0</v>
      </c>
      <c r="Y837" s="41">
        <v>0</v>
      </c>
      <c r="Z837" s="41" t="e">
        <f t="shared" si="173"/>
        <v>#DIV/0!</v>
      </c>
      <c r="AA837" s="41">
        <v>0</v>
      </c>
      <c r="AB837" s="41" t="e">
        <f t="shared" si="174"/>
        <v>#DIV/0!</v>
      </c>
      <c r="AC837" s="41">
        <f t="shared" si="169"/>
        <v>0</v>
      </c>
      <c r="AD837" s="41">
        <v>0</v>
      </c>
      <c r="AE837" s="41" t="e">
        <f t="shared" si="175"/>
        <v>#DIV/0!</v>
      </c>
      <c r="AF837" s="41">
        <v>0</v>
      </c>
      <c r="AG837" s="41" t="e">
        <f t="shared" si="176"/>
        <v>#DIV/0!</v>
      </c>
      <c r="AH837" s="41">
        <f t="shared" si="177"/>
        <v>0</v>
      </c>
      <c r="AI837" s="41">
        <v>0</v>
      </c>
      <c r="AJ837" s="41">
        <v>0</v>
      </c>
      <c r="AK837" s="41">
        <v>0</v>
      </c>
      <c r="AL837" s="41">
        <v>0</v>
      </c>
      <c r="AM837" s="41" t="e">
        <f t="shared" si="171"/>
        <v>#DIV/0!</v>
      </c>
      <c r="AN837" s="41" t="e">
        <f t="shared" si="178"/>
        <v>#DIV/0!</v>
      </c>
      <c r="AO837" s="41" t="e">
        <f t="shared" si="179"/>
        <v>#DIV/0!</v>
      </c>
      <c r="AP837" s="40"/>
      <c r="AQ837" s="36"/>
      <c r="AR837" s="36"/>
      <c r="AS837" s="36"/>
      <c r="AT837" s="36"/>
      <c r="AU837" s="36"/>
      <c r="AV837" s="38"/>
      <c r="AW837" s="40"/>
    </row>
    <row r="838" spans="1:49" s="34" customFormat="1" ht="15.75" customHeight="1" x14ac:dyDescent="0.3">
      <c r="A838" s="35"/>
      <c r="B838" s="36"/>
      <c r="C838" s="37"/>
      <c r="D838" s="39"/>
      <c r="E838" s="40"/>
      <c r="F838" s="36"/>
      <c r="G838" s="37"/>
      <c r="H838" s="40"/>
      <c r="I838" s="40"/>
      <c r="J838" s="41"/>
      <c r="K838" s="41">
        <v>0</v>
      </c>
      <c r="L838" s="30">
        <f t="shared" si="168"/>
        <v>0</v>
      </c>
      <c r="M838" s="30">
        <f t="shared" si="168"/>
        <v>0</v>
      </c>
      <c r="N838" s="40"/>
      <c r="O838" s="40"/>
      <c r="P838" s="40"/>
      <c r="Q838" s="44"/>
      <c r="R838" s="37"/>
      <c r="S838" s="37"/>
      <c r="T838" s="48"/>
      <c r="U838" s="30" t="e">
        <f>M838/W838</f>
        <v>#DIV/0!</v>
      </c>
      <c r="V838" s="41" t="e">
        <f t="shared" si="172"/>
        <v>#DIV/0!</v>
      </c>
      <c r="W838" s="41">
        <f t="shared" si="167"/>
        <v>0</v>
      </c>
      <c r="X838" s="41">
        <f t="shared" si="170"/>
        <v>0</v>
      </c>
      <c r="Y838" s="41">
        <v>0</v>
      </c>
      <c r="Z838" s="41" t="e">
        <f t="shared" si="173"/>
        <v>#DIV/0!</v>
      </c>
      <c r="AA838" s="41">
        <v>0</v>
      </c>
      <c r="AB838" s="41" t="e">
        <f t="shared" si="174"/>
        <v>#DIV/0!</v>
      </c>
      <c r="AC838" s="41">
        <f t="shared" si="169"/>
        <v>0</v>
      </c>
      <c r="AD838" s="41">
        <v>0</v>
      </c>
      <c r="AE838" s="41" t="e">
        <f t="shared" si="175"/>
        <v>#DIV/0!</v>
      </c>
      <c r="AF838" s="41">
        <v>0</v>
      </c>
      <c r="AG838" s="41" t="e">
        <f t="shared" si="176"/>
        <v>#DIV/0!</v>
      </c>
      <c r="AH838" s="41">
        <f t="shared" si="177"/>
        <v>0</v>
      </c>
      <c r="AI838" s="41">
        <v>0</v>
      </c>
      <c r="AJ838" s="41">
        <v>0</v>
      </c>
      <c r="AK838" s="41">
        <v>0</v>
      </c>
      <c r="AL838" s="41">
        <v>0</v>
      </c>
      <c r="AM838" s="41" t="e">
        <f t="shared" si="171"/>
        <v>#DIV/0!</v>
      </c>
      <c r="AN838" s="41" t="e">
        <f t="shared" si="178"/>
        <v>#DIV/0!</v>
      </c>
      <c r="AO838" s="41" t="e">
        <f t="shared" si="179"/>
        <v>#DIV/0!</v>
      </c>
      <c r="AP838" s="40"/>
      <c r="AQ838" s="36"/>
      <c r="AR838" s="36"/>
      <c r="AS838" s="36"/>
      <c r="AT838" s="36"/>
      <c r="AU838" s="36"/>
      <c r="AV838" s="38"/>
      <c r="AW838" s="40"/>
    </row>
    <row r="839" spans="1:49" s="34" customFormat="1" ht="15.75" customHeight="1" x14ac:dyDescent="0.3">
      <c r="A839" s="35"/>
      <c r="B839" s="36"/>
      <c r="C839" s="37"/>
      <c r="D839" s="39"/>
      <c r="E839" s="40"/>
      <c r="F839" s="36"/>
      <c r="G839" s="37"/>
      <c r="H839" s="40"/>
      <c r="I839" s="40"/>
      <c r="J839" s="41"/>
      <c r="K839" s="41">
        <v>0</v>
      </c>
      <c r="L839" s="30">
        <f t="shared" si="168"/>
        <v>0</v>
      </c>
      <c r="M839" s="30">
        <f t="shared" si="168"/>
        <v>0</v>
      </c>
      <c r="N839" s="40"/>
      <c r="O839" s="40"/>
      <c r="P839" s="40"/>
      <c r="Q839" s="44"/>
      <c r="R839" s="37"/>
      <c r="S839" s="37"/>
      <c r="T839" s="48"/>
      <c r="U839" s="30" t="e">
        <f>M839/W839</f>
        <v>#DIV/0!</v>
      </c>
      <c r="V839" s="41" t="e">
        <f t="shared" si="172"/>
        <v>#DIV/0!</v>
      </c>
      <c r="W839" s="41">
        <f t="shared" si="167"/>
        <v>0</v>
      </c>
      <c r="X839" s="41">
        <f t="shared" si="170"/>
        <v>0</v>
      </c>
      <c r="Y839" s="41">
        <v>0</v>
      </c>
      <c r="Z839" s="41" t="e">
        <f t="shared" si="173"/>
        <v>#DIV/0!</v>
      </c>
      <c r="AA839" s="41">
        <v>0</v>
      </c>
      <c r="AB839" s="41" t="e">
        <f t="shared" si="174"/>
        <v>#DIV/0!</v>
      </c>
      <c r="AC839" s="41">
        <f t="shared" si="169"/>
        <v>0</v>
      </c>
      <c r="AD839" s="41">
        <v>0</v>
      </c>
      <c r="AE839" s="41" t="e">
        <f t="shared" si="175"/>
        <v>#DIV/0!</v>
      </c>
      <c r="AF839" s="41">
        <v>0</v>
      </c>
      <c r="AG839" s="41" t="e">
        <f t="shared" si="176"/>
        <v>#DIV/0!</v>
      </c>
      <c r="AH839" s="41">
        <f t="shared" si="177"/>
        <v>0</v>
      </c>
      <c r="AI839" s="41">
        <v>0</v>
      </c>
      <c r="AJ839" s="41">
        <v>0</v>
      </c>
      <c r="AK839" s="41">
        <v>0</v>
      </c>
      <c r="AL839" s="41">
        <v>0</v>
      </c>
      <c r="AM839" s="41" t="e">
        <f t="shared" si="171"/>
        <v>#DIV/0!</v>
      </c>
      <c r="AN839" s="41" t="e">
        <f t="shared" si="178"/>
        <v>#DIV/0!</v>
      </c>
      <c r="AO839" s="41" t="e">
        <f t="shared" si="179"/>
        <v>#DIV/0!</v>
      </c>
      <c r="AP839" s="40"/>
      <c r="AQ839" s="36"/>
      <c r="AR839" s="36"/>
      <c r="AS839" s="36"/>
      <c r="AT839" s="36"/>
      <c r="AU839" s="36"/>
      <c r="AV839" s="38"/>
      <c r="AW839" s="40"/>
    </row>
    <row r="840" spans="1:49" s="34" customFormat="1" ht="15.75" customHeight="1" x14ac:dyDescent="0.3">
      <c r="A840" s="35"/>
      <c r="B840" s="36"/>
      <c r="C840" s="37"/>
      <c r="D840" s="39"/>
      <c r="E840" s="40"/>
      <c r="F840" s="36"/>
      <c r="G840" s="37"/>
      <c r="H840" s="40"/>
      <c r="I840" s="40"/>
      <c r="J840" s="41"/>
      <c r="K840" s="41">
        <v>0</v>
      </c>
      <c r="L840" s="30">
        <f t="shared" si="168"/>
        <v>0</v>
      </c>
      <c r="M840" s="30">
        <f t="shared" si="168"/>
        <v>0</v>
      </c>
      <c r="N840" s="40"/>
      <c r="O840" s="40"/>
      <c r="P840" s="40"/>
      <c r="Q840" s="44"/>
      <c r="R840" s="37"/>
      <c r="S840" s="37"/>
      <c r="T840" s="48"/>
      <c r="U840" s="30" t="e">
        <f>M840/W840</f>
        <v>#DIV/0!</v>
      </c>
      <c r="V840" s="41" t="e">
        <f t="shared" si="172"/>
        <v>#DIV/0!</v>
      </c>
      <c r="W840" s="41">
        <f t="shared" si="167"/>
        <v>0</v>
      </c>
      <c r="X840" s="41">
        <f t="shared" si="170"/>
        <v>0</v>
      </c>
      <c r="Y840" s="41">
        <v>0</v>
      </c>
      <c r="Z840" s="41" t="e">
        <f t="shared" si="173"/>
        <v>#DIV/0!</v>
      </c>
      <c r="AA840" s="41">
        <v>0</v>
      </c>
      <c r="AB840" s="41" t="e">
        <f t="shared" si="174"/>
        <v>#DIV/0!</v>
      </c>
      <c r="AC840" s="41">
        <f t="shared" si="169"/>
        <v>0</v>
      </c>
      <c r="AD840" s="41">
        <v>0</v>
      </c>
      <c r="AE840" s="41" t="e">
        <f t="shared" si="175"/>
        <v>#DIV/0!</v>
      </c>
      <c r="AF840" s="41">
        <v>0</v>
      </c>
      <c r="AG840" s="41" t="e">
        <f t="shared" si="176"/>
        <v>#DIV/0!</v>
      </c>
      <c r="AH840" s="41">
        <f t="shared" si="177"/>
        <v>0</v>
      </c>
      <c r="AI840" s="41">
        <v>0</v>
      </c>
      <c r="AJ840" s="41">
        <v>0</v>
      </c>
      <c r="AK840" s="41">
        <v>0</v>
      </c>
      <c r="AL840" s="41">
        <v>0</v>
      </c>
      <c r="AM840" s="41" t="e">
        <f t="shared" si="171"/>
        <v>#DIV/0!</v>
      </c>
      <c r="AN840" s="41" t="e">
        <f t="shared" si="178"/>
        <v>#DIV/0!</v>
      </c>
      <c r="AO840" s="41" t="e">
        <f t="shared" si="179"/>
        <v>#DIV/0!</v>
      </c>
      <c r="AP840" s="40"/>
      <c r="AQ840" s="36"/>
      <c r="AR840" s="36"/>
      <c r="AS840" s="36"/>
      <c r="AT840" s="36"/>
      <c r="AU840" s="36"/>
      <c r="AV840" s="38"/>
      <c r="AW840" s="40"/>
    </row>
    <row r="841" spans="1:49" s="34" customFormat="1" ht="15.75" customHeight="1" x14ac:dyDescent="0.3">
      <c r="A841" s="35"/>
      <c r="B841" s="36"/>
      <c r="C841" s="37"/>
      <c r="D841" s="39"/>
      <c r="E841" s="40"/>
      <c r="F841" s="36"/>
      <c r="G841" s="37"/>
      <c r="H841" s="40"/>
      <c r="I841" s="40"/>
      <c r="J841" s="41"/>
      <c r="K841" s="41">
        <v>0</v>
      </c>
      <c r="L841" s="30">
        <f t="shared" si="168"/>
        <v>0</v>
      </c>
      <c r="M841" s="30">
        <f t="shared" si="168"/>
        <v>0</v>
      </c>
      <c r="N841" s="40"/>
      <c r="O841" s="40"/>
      <c r="P841" s="40"/>
      <c r="Q841" s="44"/>
      <c r="R841" s="37"/>
      <c r="S841" s="37"/>
      <c r="T841" s="48"/>
      <c r="U841" s="30" t="e">
        <f>M841/W841</f>
        <v>#DIV/0!</v>
      </c>
      <c r="V841" s="41" t="e">
        <f t="shared" si="172"/>
        <v>#DIV/0!</v>
      </c>
      <c r="W841" s="41">
        <f t="shared" si="167"/>
        <v>0</v>
      </c>
      <c r="X841" s="41">
        <f t="shared" si="170"/>
        <v>0</v>
      </c>
      <c r="Y841" s="41">
        <v>0</v>
      </c>
      <c r="Z841" s="41" t="e">
        <f t="shared" si="173"/>
        <v>#DIV/0!</v>
      </c>
      <c r="AA841" s="41">
        <v>0</v>
      </c>
      <c r="AB841" s="41" t="e">
        <f t="shared" si="174"/>
        <v>#DIV/0!</v>
      </c>
      <c r="AC841" s="41">
        <f t="shared" si="169"/>
        <v>0</v>
      </c>
      <c r="AD841" s="41">
        <v>0</v>
      </c>
      <c r="AE841" s="41" t="e">
        <f t="shared" si="175"/>
        <v>#DIV/0!</v>
      </c>
      <c r="AF841" s="41">
        <v>0</v>
      </c>
      <c r="AG841" s="41" t="e">
        <f t="shared" si="176"/>
        <v>#DIV/0!</v>
      </c>
      <c r="AH841" s="41">
        <f t="shared" si="177"/>
        <v>0</v>
      </c>
      <c r="AI841" s="41">
        <v>0</v>
      </c>
      <c r="AJ841" s="41">
        <v>0</v>
      </c>
      <c r="AK841" s="41">
        <v>0</v>
      </c>
      <c r="AL841" s="41">
        <v>0</v>
      </c>
      <c r="AM841" s="41" t="e">
        <f t="shared" si="171"/>
        <v>#DIV/0!</v>
      </c>
      <c r="AN841" s="41" t="e">
        <f t="shared" si="178"/>
        <v>#DIV/0!</v>
      </c>
      <c r="AO841" s="41" t="e">
        <f t="shared" si="179"/>
        <v>#DIV/0!</v>
      </c>
      <c r="AP841" s="40"/>
      <c r="AQ841" s="36"/>
      <c r="AR841" s="36"/>
      <c r="AS841" s="36"/>
      <c r="AT841" s="36"/>
      <c r="AU841" s="36"/>
      <c r="AV841" s="38"/>
      <c r="AW841" s="40"/>
    </row>
    <row r="842" spans="1:49" s="34" customFormat="1" ht="15.75" customHeight="1" x14ac:dyDescent="0.3">
      <c r="A842" s="35"/>
      <c r="B842" s="36"/>
      <c r="C842" s="37"/>
      <c r="D842" s="39"/>
      <c r="E842" s="40"/>
      <c r="F842" s="36"/>
      <c r="G842" s="37"/>
      <c r="H842" s="40"/>
      <c r="I842" s="40"/>
      <c r="J842" s="41"/>
      <c r="K842" s="41">
        <v>0</v>
      </c>
      <c r="L842" s="30">
        <f t="shared" si="168"/>
        <v>0</v>
      </c>
      <c r="M842" s="30">
        <f t="shared" si="168"/>
        <v>0</v>
      </c>
      <c r="N842" s="40"/>
      <c r="O842" s="40"/>
      <c r="P842" s="40"/>
      <c r="Q842" s="44"/>
      <c r="R842" s="37"/>
      <c r="S842" s="37"/>
      <c r="T842" s="48"/>
      <c r="U842" s="30" t="e">
        <f>M842/W842</f>
        <v>#DIV/0!</v>
      </c>
      <c r="V842" s="41" t="e">
        <f t="shared" si="172"/>
        <v>#DIV/0!</v>
      </c>
      <c r="W842" s="41">
        <f t="shared" si="167"/>
        <v>0</v>
      </c>
      <c r="X842" s="41">
        <f t="shared" si="170"/>
        <v>0</v>
      </c>
      <c r="Y842" s="41">
        <v>0</v>
      </c>
      <c r="Z842" s="41" t="e">
        <f t="shared" si="173"/>
        <v>#DIV/0!</v>
      </c>
      <c r="AA842" s="41">
        <v>0</v>
      </c>
      <c r="AB842" s="41" t="e">
        <f t="shared" si="174"/>
        <v>#DIV/0!</v>
      </c>
      <c r="AC842" s="41">
        <f t="shared" si="169"/>
        <v>0</v>
      </c>
      <c r="AD842" s="41">
        <v>0</v>
      </c>
      <c r="AE842" s="41" t="e">
        <f t="shared" si="175"/>
        <v>#DIV/0!</v>
      </c>
      <c r="AF842" s="41">
        <v>0</v>
      </c>
      <c r="AG842" s="41" t="e">
        <f t="shared" si="176"/>
        <v>#DIV/0!</v>
      </c>
      <c r="AH842" s="41">
        <f t="shared" si="177"/>
        <v>0</v>
      </c>
      <c r="AI842" s="41">
        <v>0</v>
      </c>
      <c r="AJ842" s="41">
        <v>0</v>
      </c>
      <c r="AK842" s="41">
        <v>0</v>
      </c>
      <c r="AL842" s="41">
        <v>0</v>
      </c>
      <c r="AM842" s="41" t="e">
        <f t="shared" si="171"/>
        <v>#DIV/0!</v>
      </c>
      <c r="AN842" s="41" t="e">
        <f t="shared" si="178"/>
        <v>#DIV/0!</v>
      </c>
      <c r="AO842" s="41" t="e">
        <f t="shared" si="179"/>
        <v>#DIV/0!</v>
      </c>
      <c r="AP842" s="40"/>
      <c r="AQ842" s="36"/>
      <c r="AR842" s="36"/>
      <c r="AS842" s="36"/>
      <c r="AT842" s="36"/>
      <c r="AU842" s="36"/>
      <c r="AV842" s="38"/>
      <c r="AW842" s="40"/>
    </row>
    <row r="843" spans="1:49" s="34" customFormat="1" ht="15.75" customHeight="1" x14ac:dyDescent="0.3">
      <c r="A843" s="35"/>
      <c r="B843" s="36"/>
      <c r="C843" s="37"/>
      <c r="D843" s="39"/>
      <c r="E843" s="40"/>
      <c r="F843" s="36"/>
      <c r="G843" s="37"/>
      <c r="H843" s="40"/>
      <c r="I843" s="40"/>
      <c r="J843" s="41"/>
      <c r="K843" s="41">
        <v>0</v>
      </c>
      <c r="L843" s="30">
        <f t="shared" si="168"/>
        <v>0</v>
      </c>
      <c r="M843" s="30">
        <f t="shared" si="168"/>
        <v>0</v>
      </c>
      <c r="N843" s="40"/>
      <c r="O843" s="40"/>
      <c r="P843" s="40"/>
      <c r="Q843" s="44"/>
      <c r="R843" s="37"/>
      <c r="S843" s="37"/>
      <c r="T843" s="48"/>
      <c r="U843" s="30" t="e">
        <f>M843/W843</f>
        <v>#DIV/0!</v>
      </c>
      <c r="V843" s="41" t="e">
        <f t="shared" si="172"/>
        <v>#DIV/0!</v>
      </c>
      <c r="W843" s="41">
        <f t="shared" si="167"/>
        <v>0</v>
      </c>
      <c r="X843" s="41">
        <f t="shared" si="170"/>
        <v>0</v>
      </c>
      <c r="Y843" s="41">
        <v>0</v>
      </c>
      <c r="Z843" s="41" t="e">
        <f t="shared" si="173"/>
        <v>#DIV/0!</v>
      </c>
      <c r="AA843" s="41">
        <v>0</v>
      </c>
      <c r="AB843" s="41" t="e">
        <f t="shared" si="174"/>
        <v>#DIV/0!</v>
      </c>
      <c r="AC843" s="41">
        <f t="shared" si="169"/>
        <v>0</v>
      </c>
      <c r="AD843" s="41">
        <v>0</v>
      </c>
      <c r="AE843" s="41" t="e">
        <f t="shared" si="175"/>
        <v>#DIV/0!</v>
      </c>
      <c r="AF843" s="41">
        <v>0</v>
      </c>
      <c r="AG843" s="41" t="e">
        <f t="shared" si="176"/>
        <v>#DIV/0!</v>
      </c>
      <c r="AH843" s="41">
        <f t="shared" si="177"/>
        <v>0</v>
      </c>
      <c r="AI843" s="41">
        <v>0</v>
      </c>
      <c r="AJ843" s="41">
        <v>0</v>
      </c>
      <c r="AK843" s="41">
        <v>0</v>
      </c>
      <c r="AL843" s="41">
        <v>0</v>
      </c>
      <c r="AM843" s="41" t="e">
        <f t="shared" si="171"/>
        <v>#DIV/0!</v>
      </c>
      <c r="AN843" s="41" t="e">
        <f t="shared" si="178"/>
        <v>#DIV/0!</v>
      </c>
      <c r="AO843" s="41" t="e">
        <f t="shared" si="179"/>
        <v>#DIV/0!</v>
      </c>
      <c r="AP843" s="40"/>
      <c r="AQ843" s="36"/>
      <c r="AR843" s="36"/>
      <c r="AS843" s="36"/>
      <c r="AT843" s="36"/>
      <c r="AU843" s="36"/>
      <c r="AV843" s="38"/>
      <c r="AW843" s="40"/>
    </row>
    <row r="844" spans="1:49" s="34" customFormat="1" x14ac:dyDescent="0.3">
      <c r="A844" s="19"/>
      <c r="B844" s="71"/>
      <c r="C844" s="19"/>
      <c r="D844" s="88"/>
      <c r="E844" s="65"/>
      <c r="F844" s="71"/>
      <c r="G844" s="19"/>
      <c r="H844" s="65"/>
      <c r="I844" s="65"/>
      <c r="J844" s="57">
        <f>SUBTOTAL(9,J67:J453)</f>
        <v>107773354517.4299</v>
      </c>
      <c r="K844" s="62">
        <f>SUBTOTAL(9,K181:K683)</f>
        <v>94921728437.950089</v>
      </c>
      <c r="L844" s="62">
        <f>SUBTOTAL(9,L181:L683)</f>
        <v>96984438105.690094</v>
      </c>
      <c r="M844" s="62">
        <f>SUBTOTAL(9,M181:M683)</f>
        <v>100087355698.65009</v>
      </c>
      <c r="N844" s="65"/>
      <c r="O844" s="65"/>
      <c r="P844" s="65"/>
      <c r="Q844" s="19"/>
      <c r="R844" s="19"/>
      <c r="S844" s="19"/>
      <c r="T844" s="66"/>
      <c r="U844" s="19"/>
      <c r="V844" s="71"/>
      <c r="W844" s="19"/>
      <c r="X844" s="19"/>
      <c r="Y844" s="19"/>
      <c r="Z844" s="19"/>
      <c r="AA844" s="19"/>
      <c r="AB844" s="19"/>
      <c r="AC844" s="19"/>
      <c r="AD844" s="19"/>
      <c r="AE844" s="19"/>
      <c r="AF844" s="19"/>
      <c r="AG844" s="19"/>
      <c r="AH844" s="62"/>
      <c r="AI844" s="62"/>
      <c r="AJ844" s="62"/>
      <c r="AK844" s="62"/>
      <c r="AL844" s="62"/>
      <c r="AM844" s="62"/>
      <c r="AN844" s="62"/>
      <c r="AO844" s="62"/>
      <c r="AP844" s="65"/>
      <c r="AQ844" s="71"/>
      <c r="AR844" s="71"/>
      <c r="AS844" s="71"/>
      <c r="AT844" s="71"/>
      <c r="AU844" s="71"/>
      <c r="AV844" s="89"/>
      <c r="AW844" s="65"/>
    </row>
    <row r="845" spans="1:49" s="34" customFormat="1" x14ac:dyDescent="0.3">
      <c r="A845" s="19"/>
      <c r="B845" s="71"/>
      <c r="C845" s="19"/>
      <c r="D845" s="88"/>
      <c r="E845" s="65"/>
      <c r="F845" s="71"/>
      <c r="G845" s="19"/>
      <c r="H845" s="65"/>
      <c r="I845" s="65"/>
      <c r="J845" s="57">
        <f>J844+'[1]2022 (мед изд)'!$X$51</f>
        <v>110873312104.8299</v>
      </c>
      <c r="K845" s="62"/>
      <c r="L845" s="62"/>
      <c r="M845" s="19"/>
      <c r="N845" s="65"/>
      <c r="O845" s="65"/>
      <c r="P845" s="65"/>
      <c r="Q845" s="19"/>
      <c r="R845" s="19"/>
      <c r="S845" s="19"/>
      <c r="T845" s="66"/>
      <c r="U845" s="19"/>
      <c r="V845" s="71"/>
      <c r="W845" s="19"/>
      <c r="X845" s="19"/>
      <c r="Y845" s="19"/>
      <c r="Z845" s="19"/>
      <c r="AA845" s="19"/>
      <c r="AB845" s="19"/>
      <c r="AC845" s="19"/>
      <c r="AD845" s="19"/>
      <c r="AE845" s="19"/>
      <c r="AF845" s="19"/>
      <c r="AG845" s="19"/>
      <c r="AH845" s="62"/>
      <c r="AI845" s="62"/>
      <c r="AJ845" s="62"/>
      <c r="AK845" s="62"/>
      <c r="AL845" s="62"/>
      <c r="AM845" s="62"/>
      <c r="AN845" s="62"/>
      <c r="AO845" s="62"/>
      <c r="AP845" s="65"/>
      <c r="AQ845" s="71"/>
      <c r="AR845" s="71"/>
      <c r="AS845" s="71"/>
      <c r="AT845" s="71"/>
      <c r="AU845" s="71"/>
      <c r="AV845" s="89"/>
      <c r="AW845" s="65"/>
    </row>
  </sheetData>
  <autoFilter ref="A2:BD843" xr:uid="{00000000-0009-0000-0000-000002000000}"/>
  <mergeCells count="18">
    <mergeCell ref="AW1:AW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80" r:id="rId1" xr:uid="{5791DA42-CF98-4E1D-A2B5-82615532E043}"/>
    <hyperlink ref="E175" r:id="rId2" xr:uid="{AB106053-CAED-4635-94F9-20C2620BF658}"/>
    <hyperlink ref="E162" r:id="rId3" xr:uid="{301D7EEA-2884-47BA-9BC4-9FEDD097C7F5}"/>
    <hyperlink ref="E154" r:id="rId4" xr:uid="{3ABFB2FF-0EFC-4AE3-90AB-89E43C3602CE}"/>
    <hyperlink ref="E156" r:id="rId5" xr:uid="{DBF22766-5393-4633-9E14-5B380E4CAD7C}"/>
    <hyperlink ref="E158" r:id="rId6" xr:uid="{D819C52A-BE27-4A56-9297-8DAC0ACA8E50}"/>
    <hyperlink ref="E152" r:id="rId7" xr:uid="{319E836B-3C22-49A2-BF04-23993CD86277}"/>
    <hyperlink ref="E155" r:id="rId8" xr:uid="{B9C20209-3892-48B1-8A1C-BEF22DE6F007}"/>
    <hyperlink ref="E177" r:id="rId9" xr:uid="{C29088EB-C116-474C-8D9A-1894E0051028}"/>
    <hyperlink ref="E172" r:id="rId10" xr:uid="{AFA92C09-5472-49AD-88AD-03B1895A4CCB}"/>
    <hyperlink ref="E171" r:id="rId11" xr:uid="{76D40E13-BF8B-4D09-A928-D95D2C310F44}"/>
    <hyperlink ref="E170" r:id="rId12" xr:uid="{78129B84-D5A0-422F-B919-631957B943E5}"/>
    <hyperlink ref="E174" r:id="rId13" xr:uid="{4BE4BD72-EB5B-4499-A5BE-DD349AFB4151}"/>
    <hyperlink ref="E163" r:id="rId14" xr:uid="{2AF591F7-BE99-4BFF-8297-C6E38D839442}"/>
    <hyperlink ref="E159" r:id="rId15" xr:uid="{CACDA34C-2EE7-4F7C-95C2-A3CC0C541E99}"/>
    <hyperlink ref="E153" r:id="rId16" xr:uid="{DB66A309-275C-4E09-B077-E69CBC022310}"/>
    <hyperlink ref="E149" r:id="rId17" xr:uid="{37EDAD3F-6190-46AA-BCB5-B7D4DB676F13}"/>
    <hyperlink ref="E168" r:id="rId18" xr:uid="{39EE2434-8B64-42E5-AB87-911DD0966B35}"/>
    <hyperlink ref="E167" r:id="rId19" xr:uid="{8DB462B3-FCED-4010-B7AA-018C499A5B2D}"/>
    <hyperlink ref="E166" r:id="rId20" xr:uid="{9E24DEF8-BE68-4DC9-AFF7-BA24E5E83A1F}"/>
    <hyperlink ref="E136" r:id="rId21" xr:uid="{4B581B0F-F079-4DC1-B250-EDF37322FACD}"/>
    <hyperlink ref="E127" r:id="rId22" xr:uid="{918F1428-53A8-404C-912E-58CEA3652A7B}"/>
    <hyperlink ref="E126" r:id="rId23" xr:uid="{F5E5AC05-0B97-40D9-9128-35F4EEAD90F7}"/>
    <hyperlink ref="E24" r:id="rId24" xr:uid="{C226A6A2-6651-4FBE-B79E-B963D32510DA}"/>
    <hyperlink ref="E181" r:id="rId25" xr:uid="{A7B44BED-8F89-4C44-8549-92393FBA1777}"/>
    <hyperlink ref="E182" r:id="rId26" xr:uid="{CF247B75-12C8-4584-9986-7470F75735D1}"/>
    <hyperlink ref="E183" r:id="rId27" xr:uid="{1316B216-70DF-4EDE-9ACF-4BA4DCA8C4D4}"/>
    <hyperlink ref="E184" r:id="rId28" xr:uid="{D9406831-0DAD-4A9B-8EA3-D7399C8BE2B2}"/>
    <hyperlink ref="E185" r:id="rId29" xr:uid="{DF98C9E6-B869-4323-A7F3-DF18E7F810C7}"/>
    <hyperlink ref="E186" r:id="rId30" xr:uid="{4D7AD31B-C408-4D99-B493-EBFF4608314B}"/>
    <hyperlink ref="E187" r:id="rId31" xr:uid="{86399BB2-02B8-4563-BFCF-F6F7C96261FA}"/>
    <hyperlink ref="E188" r:id="rId32" xr:uid="{6FC14938-10B6-477D-8D96-FDDC03CF58C0}"/>
    <hyperlink ref="E189" r:id="rId33" xr:uid="{779E24D6-3884-478B-B940-9A51442C54CA}"/>
    <hyperlink ref="E190" r:id="rId34" xr:uid="{F31D2BF2-B810-42F9-BB68-4085795D5DAF}"/>
    <hyperlink ref="E191" r:id="rId35" xr:uid="{6D62B14D-70FF-47D7-8928-AE69217E53C1}"/>
    <hyperlink ref="E192" r:id="rId36" xr:uid="{035DCF6E-0764-4538-B488-3E1625BB1616}"/>
    <hyperlink ref="E193" r:id="rId37" xr:uid="{37D085BC-73AA-40E1-9038-F9D73C344ACF}"/>
    <hyperlink ref="E194" r:id="rId38" xr:uid="{694C5425-C784-4FC1-8070-A506A3CEC335}"/>
    <hyperlink ref="E195:E198" r:id="rId39" display="https://zakupki.gov.ru/epz/order/notice/ea20/view/common-info.html?regNumber=0873400003922000557" xr:uid="{9F39ABE2-2D4D-4C87-823C-52E8BD6F4A70}"/>
    <hyperlink ref="E195" r:id="rId40" xr:uid="{87346556-2D31-41B8-912F-B05F099E44FE}"/>
    <hyperlink ref="E196" r:id="rId41" xr:uid="{4B6579DB-48C0-4417-816D-6250DA85F8BA}"/>
    <hyperlink ref="E197" r:id="rId42" xr:uid="{1EEB83B9-6DDB-49C3-A275-82FA6191C1C8}"/>
    <hyperlink ref="E198" r:id="rId43" xr:uid="{4A0EEE6A-58EA-42AF-A3A2-D69386A1C129}"/>
    <hyperlink ref="E201" r:id="rId44" xr:uid="{8B5F48B7-9B36-4A82-8D17-F02B6CAE3698}"/>
    <hyperlink ref="E202" r:id="rId45" xr:uid="{12AAEB9C-31C2-4E42-847A-DEEA788F3FC7}"/>
    <hyperlink ref="E203" r:id="rId46" xr:uid="{B2C08A79-FF6E-48A1-B074-87B9B0F22BC6}"/>
    <hyperlink ref="E205" r:id="rId47" xr:uid="{BFB15D60-3D5F-4341-8E61-C78B2B97E023}"/>
    <hyperlink ref="E206" r:id="rId48" xr:uid="{407FB3FD-4C66-480B-AFED-9FB52CA28F82}"/>
    <hyperlink ref="E207" r:id="rId49" xr:uid="{50A38773-A555-40DA-B184-44223E6508D1}"/>
    <hyperlink ref="E208" r:id="rId50" xr:uid="{CF632B04-FBBC-4F0C-8B28-AC2D92640B4A}"/>
    <hyperlink ref="E209" r:id="rId51" xr:uid="{779DB5CD-01F0-4942-B933-B90440778CF3}"/>
    <hyperlink ref="E218" r:id="rId52" xr:uid="{E7B53792-C341-41DF-A726-7FEF1DCDCC79}"/>
    <hyperlink ref="E204" r:id="rId53" xr:uid="{11678814-86E3-4A34-87EE-788CA258A019}"/>
    <hyperlink ref="E211" r:id="rId54" xr:uid="{3E555983-D9FB-4F7A-B915-D17EF323491D}"/>
    <hyperlink ref="E212" r:id="rId55" xr:uid="{464CF116-4D0B-4B7A-B528-D369EC803612}"/>
    <hyperlink ref="E213" r:id="rId56" xr:uid="{7124CA4C-86DB-4F79-9235-83321FE66B90}"/>
    <hyperlink ref="E214" r:id="rId57" xr:uid="{FF80585E-0FCD-44A2-8E77-AE3F1B2F60BC}"/>
    <hyperlink ref="E215" r:id="rId58" xr:uid="{3711C1A4-65BA-4419-B9EB-9A31DD475988}"/>
    <hyperlink ref="E216" r:id="rId59" xr:uid="{06BE02B7-53AC-43D5-80EE-DE7820EE3771}"/>
    <hyperlink ref="E210" r:id="rId60" xr:uid="{037EBE07-5F3D-430E-9CDD-858F19B1359C}"/>
    <hyperlink ref="E220" r:id="rId61" xr:uid="{A1E714D5-EA8C-4EFA-B993-4C60EC94DD20}"/>
    <hyperlink ref="E221" r:id="rId62" xr:uid="{8130A497-1C97-402C-9F4F-3221AFE81B6B}"/>
    <hyperlink ref="E222" r:id="rId63" xr:uid="{AD096640-64AD-4479-99DF-4853871FD250}"/>
    <hyperlink ref="E223" r:id="rId64" xr:uid="{37DA2CBC-D067-4F93-987D-7A800391C9A3}"/>
    <hyperlink ref="E224" r:id="rId65" xr:uid="{36B46190-484C-41AF-919C-46CCC2BC6450}"/>
    <hyperlink ref="E225" r:id="rId66" xr:uid="{01391F37-EF83-4DF2-91E0-38CC763AD5DD}"/>
    <hyperlink ref="E226" r:id="rId67" xr:uid="{35F1BF85-55CA-435D-B24A-97CF34355FA7}"/>
    <hyperlink ref="E227" r:id="rId68" xr:uid="{FA4F8A1D-A895-4418-9FD3-457D6875A769}"/>
    <hyperlink ref="E228" r:id="rId69" xr:uid="{6C7E73BC-9030-42C9-8C16-01EB5A967A55}"/>
    <hyperlink ref="E229" r:id="rId70" xr:uid="{7C10C6A4-11A4-420E-A4A3-A1A6328B8B64}"/>
    <hyperlink ref="E230" r:id="rId71" xr:uid="{30881AFE-1B45-4C2A-8AAF-F1C9A43AE935}"/>
    <hyperlink ref="E219" r:id="rId72" xr:uid="{95562DDA-2A1D-4373-9CD4-9BCDCFA6E411}"/>
    <hyperlink ref="E234" r:id="rId73" xr:uid="{0503416B-0E6B-49B6-AFCB-51646FFBA374}"/>
    <hyperlink ref="E231" r:id="rId74" xr:uid="{7F1BDDE4-D569-46D8-AA79-1EDFC816A54E}"/>
    <hyperlink ref="E232" r:id="rId75" xr:uid="{E3ECAD8D-65A5-44C5-A22A-5B5D3DE92F10}"/>
    <hyperlink ref="E233" r:id="rId76" xr:uid="{DB499D23-296D-475C-9DB5-AAC417815456}"/>
    <hyperlink ref="E235" r:id="rId77" xr:uid="{C7A3B5E6-ABDE-411E-A6CD-86A4C35C6270}"/>
    <hyperlink ref="E261" r:id="rId78" xr:uid="{501BD6D3-CD99-4FED-9F36-9340E72A0557}"/>
    <hyperlink ref="E260" r:id="rId79" xr:uid="{AB59BC7F-AA99-4903-B12C-0C2C49FE8006}"/>
    <hyperlink ref="E259" r:id="rId80" xr:uid="{4EA00FA7-831C-40F6-8F96-DB972F1D7C6B}"/>
    <hyperlink ref="E258" r:id="rId81" xr:uid="{CE23C145-A0D1-425B-B161-9B03ADA84EB6}"/>
    <hyperlink ref="E257" r:id="rId82" xr:uid="{3EE3D0B8-6192-4ECF-8206-30D5DEE38114}"/>
    <hyperlink ref="E256" r:id="rId83" xr:uid="{21F2A4E8-8756-4FAE-AD73-B67470DFB73C}"/>
    <hyperlink ref="E255" r:id="rId84" xr:uid="{8CB3A2A0-56E1-4093-B36F-7B96773F2D0D}"/>
    <hyperlink ref="E254" r:id="rId85" xr:uid="{D34D18A1-28E0-43D8-9A51-1A30AEB192D9}"/>
    <hyperlink ref="E253" r:id="rId86" xr:uid="{BD1D15A7-8273-4D9C-944D-1A4C3D7A5DE0}"/>
    <hyperlink ref="E252" r:id="rId87" xr:uid="{C15F6E43-E26F-46F4-B660-03D6E843F4F2}"/>
    <hyperlink ref="E251" r:id="rId88" xr:uid="{B69CC782-BE4D-45BE-902C-0DD740E37AA1}"/>
    <hyperlink ref="E250" r:id="rId89" xr:uid="{E2807B4E-22D1-4429-A226-5F4EEA793844}"/>
    <hyperlink ref="E249" r:id="rId90" xr:uid="{35105110-1288-4987-A5D8-B5B5DD6F4A74}"/>
    <hyperlink ref="E245" r:id="rId91" xr:uid="{88CB19AA-5C1F-4788-8A8D-F10B1E36BB4E}"/>
    <hyperlink ref="E244" r:id="rId92" xr:uid="{73813B68-3BA0-4A59-A7D2-D3CB2D567D8F}"/>
    <hyperlink ref="E243" r:id="rId93" xr:uid="{AFCCD2F9-76A7-47FB-BB54-17E79D16718C}"/>
    <hyperlink ref="E242" r:id="rId94" xr:uid="{37D94A18-D538-4622-97FB-DBBBC8063725}"/>
    <hyperlink ref="E241" r:id="rId95" xr:uid="{FCEFE1A4-D3AA-409F-AE5C-AE5F7FDE93E8}"/>
    <hyperlink ref="E240" r:id="rId96" xr:uid="{7C4CDC18-63A6-4755-866C-F7C0802D70C9}"/>
    <hyperlink ref="E239" r:id="rId97" xr:uid="{B08474D7-A2DB-45BF-841F-AE8CECAA2C78}"/>
    <hyperlink ref="E238" r:id="rId98" xr:uid="{227494DA-BDD4-4762-87C3-217DB2703A2D}"/>
    <hyperlink ref="E237" r:id="rId99" xr:uid="{8B2D2CC1-AFA6-447C-8C80-793984292CA2}"/>
    <hyperlink ref="E236" r:id="rId100" xr:uid="{7EE1F124-D059-495A-B36B-0B2A43856811}"/>
    <hyperlink ref="E246:E248" r:id="rId101" display="https://zakupki.gov.ru/epz/order/notice/ea20/view/common-info.html?regNumber=0873400003922000608" xr:uid="{7F8ABF81-05A1-4421-998A-02AF3AA761E5}"/>
    <hyperlink ref="E246" r:id="rId102" xr:uid="{7A3CD7DF-EF5F-4A88-9830-C5D733A2C12B}"/>
    <hyperlink ref="E247" r:id="rId103" xr:uid="{82DAF9BD-8C6D-46C5-BCA0-ADB446FB6A2B}"/>
    <hyperlink ref="E248" r:id="rId104" xr:uid="{120AF3F6-C482-41D0-8C50-966335B6D085}"/>
    <hyperlink ref="E262:E271" r:id="rId105" display="https://zakupki.gov.ru/epz/order/notice/ea20/view/common-info.html?regNumber=0873400003922000624" xr:uid="{A42792EE-DC9D-4BAE-A71C-EB7FFB7B8980}"/>
    <hyperlink ref="E262" r:id="rId106" xr:uid="{36AAE698-D5AF-4A54-9DF3-E713974F8632}"/>
    <hyperlink ref="E263" r:id="rId107" xr:uid="{7D49CE72-B281-4F38-99F6-03C57B0C842B}"/>
    <hyperlink ref="E264" r:id="rId108" xr:uid="{96189B1D-10C0-4F05-B81A-A37519DCFF0D}"/>
    <hyperlink ref="E265" r:id="rId109" xr:uid="{2D7BF757-47CD-4532-95FB-2BA5BDA44407}"/>
    <hyperlink ref="E266" r:id="rId110" xr:uid="{7C6E3E73-9461-4AB5-A56F-C89D5645696E}"/>
    <hyperlink ref="E267" r:id="rId111" xr:uid="{34A78AA6-3D6F-49DA-892F-195958EA8D7A}"/>
    <hyperlink ref="E268" r:id="rId112" xr:uid="{72DAFE62-949F-40BE-8AFD-98954A28579E}"/>
    <hyperlink ref="E269" r:id="rId113" xr:uid="{DE18E814-CC9A-420F-BD2C-32650DB09A03}"/>
    <hyperlink ref="E270" r:id="rId114" xr:uid="{810AC69F-62AB-4949-B509-8BCEF7FB4C9F}"/>
    <hyperlink ref="E271" r:id="rId115" xr:uid="{ADCC4431-BA52-4D37-A926-FD7B52C47074}"/>
    <hyperlink ref="E274" r:id="rId116" xr:uid="{2F24D4A8-483B-4A2B-BD0E-909EE8DD4C2E}"/>
    <hyperlink ref="E276" r:id="rId117" xr:uid="{BB264767-C246-4655-A7FB-80F472C1937D}"/>
    <hyperlink ref="E277" r:id="rId118" xr:uid="{FBF1CBD7-8908-4D7F-8206-77E4C0F57B27}"/>
    <hyperlink ref="E281" r:id="rId119" xr:uid="{49A902BB-6B2D-4DFD-9E84-BF0CB1DDBAF0}"/>
    <hyperlink ref="E282" r:id="rId120" xr:uid="{8678FD77-4279-413B-9BA9-AF52F10EA6D9}"/>
    <hyperlink ref="E272" r:id="rId121" xr:uid="{E5D9A990-6064-4347-A848-BC19A31DB752}"/>
    <hyperlink ref="E275" r:id="rId122" xr:uid="{117DB9D0-4224-4FA8-B538-C824CAD27470}"/>
    <hyperlink ref="E273" r:id="rId123" xr:uid="{1CCCF095-8DE0-4D92-8530-36095F04F9F3}"/>
    <hyperlink ref="E278" r:id="rId124" xr:uid="{B9EC8033-9239-4882-B4C8-8DF4996B1DF4}"/>
    <hyperlink ref="E279" r:id="rId125" xr:uid="{2C69A472-CF32-4A08-8ECD-088B5B08A8A0}"/>
    <hyperlink ref="E280" r:id="rId126" xr:uid="{F3C0E139-DF4B-4D1C-BA22-FABB47848819}"/>
    <hyperlink ref="E283" r:id="rId127" xr:uid="{0E70F430-1EE9-4DA9-BD56-14C1E16B4FE9}"/>
    <hyperlink ref="E284" r:id="rId128" xr:uid="{0A83B495-2F68-409E-B185-79B6CAD997CC}"/>
    <hyperlink ref="E285" r:id="rId129" xr:uid="{F818D691-D1E4-4BEC-9053-692EA69B4757}"/>
    <hyperlink ref="E286" r:id="rId130" xr:uid="{77978F96-F5D8-4EEA-92A2-299B58454258}"/>
    <hyperlink ref="E287" r:id="rId131" xr:uid="{6670B737-EDC4-43BA-998C-86EC74996754}"/>
    <hyperlink ref="E288" r:id="rId132" xr:uid="{964AE05D-6D2A-4ABB-B85C-560ECC494C1F}"/>
    <hyperlink ref="E289" r:id="rId133" xr:uid="{BC91A05B-1613-4F4C-A4C6-CE59A1020BB3}"/>
    <hyperlink ref="E290" r:id="rId134" xr:uid="{45B884BD-815F-4196-B144-61A30D25ABF5}"/>
    <hyperlink ref="E291" r:id="rId135" xr:uid="{979D803D-87E6-4F94-A990-8CF779BF645E}"/>
    <hyperlink ref="E292" r:id="rId136" xr:uid="{17440968-49EC-473D-9091-6F2561B0402B}"/>
    <hyperlink ref="E293" r:id="rId137" xr:uid="{48023F26-DE9F-432C-8E38-276B816E5916}"/>
    <hyperlink ref="E294" r:id="rId138" xr:uid="{CBEA77F1-C0BE-47FE-AD00-B16F9688B5CF}"/>
    <hyperlink ref="E295" r:id="rId139" xr:uid="{A8C92B74-A385-48B3-BA60-006CFF2245BC}"/>
    <hyperlink ref="E296" r:id="rId140" xr:uid="{7E45CC58-F480-4F0D-8100-E71435FE10D1}"/>
    <hyperlink ref="E297" r:id="rId141" xr:uid="{6E679C65-8E5C-4FE2-8C35-45D5EE16663D}"/>
    <hyperlink ref="E298" r:id="rId142" xr:uid="{76C7A2F5-734F-4D03-9260-070AE6E1F581}"/>
    <hyperlink ref="E299" r:id="rId143" xr:uid="{03B87009-8C21-49B0-A732-E025BB4899CE}"/>
    <hyperlink ref="E300" r:id="rId144" xr:uid="{A8F52147-9335-4137-923B-6149ADD54F78}"/>
    <hyperlink ref="E301" r:id="rId145" xr:uid="{C64FCEBD-74D1-4375-B7D8-242F4431B8D3}"/>
    <hyperlink ref="E302" r:id="rId146" xr:uid="{058C2DFF-731F-48B6-8E10-C7FACF26EDA3}"/>
    <hyperlink ref="E303" r:id="rId147" xr:uid="{39C6624F-6D16-4A85-9AE5-AC0C0312E328}"/>
    <hyperlink ref="E304" r:id="rId148" xr:uid="{E6F9E0C2-169D-4042-9BD7-CCFC7AE5F6A4}"/>
    <hyperlink ref="E305" r:id="rId149" xr:uid="{FE957D21-05C1-4949-94CB-656FC03F4EA6}"/>
    <hyperlink ref="E306" r:id="rId150" xr:uid="{30359980-B95C-4976-A3F3-C273D2361E3F}"/>
    <hyperlink ref="E307" r:id="rId151" xr:uid="{6D0ACD20-3A2F-4A70-8BB7-713543F698B2}"/>
    <hyperlink ref="E308" r:id="rId152" xr:uid="{D44D42CA-E36B-4283-9D7A-486C7577047C}"/>
    <hyperlink ref="E309" r:id="rId153" xr:uid="{1F2F03FF-2D35-436C-8D7B-0DA2E1BBD2BF}"/>
    <hyperlink ref="E310" r:id="rId154" xr:uid="{9950011C-30C6-475F-89AD-B6F7B2940AC6}"/>
    <hyperlink ref="E311" r:id="rId155" xr:uid="{D1D31F98-DE88-417A-9F4C-B176B5B35236}"/>
    <hyperlink ref="E27" r:id="rId156" xr:uid="{B3AA17AF-C282-4153-B3FF-85D1212763C1}"/>
    <hyperlink ref="E40" r:id="rId157" xr:uid="{B19A26F1-8C1C-4303-85D3-A59B4BA17B4B}"/>
    <hyperlink ref="E41" r:id="rId158" xr:uid="{71B20FDC-2EEA-4A55-BC25-BB6D3283003B}"/>
    <hyperlink ref="E32" r:id="rId159" xr:uid="{1048CC69-6D39-4553-BB03-BD7FB42A670F}"/>
    <hyperlink ref="E39" r:id="rId160" xr:uid="{0D499103-143E-4326-91D1-FADDF5BE6816}"/>
    <hyperlink ref="E82" r:id="rId161" xr:uid="{01A3A341-E906-4D7E-AEC7-CB1218D2CAB7}"/>
    <hyperlink ref="E47" r:id="rId162" xr:uid="{F7BFB911-18EC-4372-9395-9B2D91033399}"/>
    <hyperlink ref="E56" r:id="rId163" xr:uid="{BC6514BA-58C6-4D0C-891A-1AF74FE2639E}"/>
    <hyperlink ref="E57" r:id="rId164" xr:uid="{5C77A155-0CB9-48E0-8D0B-109DAFED84F5}"/>
    <hyperlink ref="E78" r:id="rId165" xr:uid="{690D8F9D-A9EE-4089-B432-D70438538720}"/>
    <hyperlink ref="E104" r:id="rId166" xr:uid="{B9E49D7C-F5E1-4147-BBA5-338B228BE040}"/>
    <hyperlink ref="E105" r:id="rId167" xr:uid="{4DB29D18-873A-4533-8367-711FF3BF5296}"/>
    <hyperlink ref="E97" r:id="rId168" xr:uid="{4A23B270-637E-4DFF-8026-5F49A3C4E716}"/>
    <hyperlink ref="E117" r:id="rId169" xr:uid="{43BB4631-0383-4662-9FCF-D466D6552DFC}"/>
    <hyperlink ref="E28" r:id="rId170" xr:uid="{90CC921F-41B5-4E5C-90E3-010164BEF5B9}"/>
    <hyperlink ref="E38" r:id="rId171" xr:uid="{E1C7D43B-C3F1-4125-9F09-243C0F6D7759}"/>
    <hyperlink ref="E29" r:id="rId172" xr:uid="{DA95E4EA-BBFE-4A78-95DE-3CD4FF01C158}"/>
    <hyperlink ref="E36" r:id="rId173" xr:uid="{3C28A9E9-3060-4C06-A74A-24C1D08F5002}"/>
    <hyperlink ref="E37" r:id="rId174" xr:uid="{0222A829-0FB8-48B9-A4C9-5322B3A580B1}"/>
    <hyperlink ref="E122" r:id="rId175" xr:uid="{3E869263-7024-4C84-96AF-9574F65D4992}"/>
    <hyperlink ref="E120" r:id="rId176" xr:uid="{C9E0333C-DEF4-4FE7-AD56-31797C4D0AC7}"/>
    <hyperlink ref="E118" r:id="rId177" xr:uid="{F9D7CE14-B0DC-4060-81C9-F1BEE75F7D55}"/>
    <hyperlink ref="E25" r:id="rId178" xr:uid="{256E74F3-AB21-49BA-98CE-CA991D51CB08}"/>
    <hyperlink ref="E312" r:id="rId179" xr:uid="{51243A7F-8EE9-4DE1-ABCF-AD92298E6A33}"/>
    <hyperlink ref="E314" r:id="rId180" xr:uid="{3CE3161A-F995-4071-849A-C029975724EB}"/>
    <hyperlink ref="E30" r:id="rId181" xr:uid="{739D70F3-5764-481B-8E98-9EE58C6E182C}"/>
    <hyperlink ref="E31" r:id="rId182" xr:uid="{F5AA856F-B63B-46CA-A8BC-31C5DFA6D51D}"/>
    <hyperlink ref="E34" r:id="rId183" xr:uid="{73BDBC9C-C55D-4BCC-A3C9-1A517AE31A60}"/>
    <hyperlink ref="E33" r:id="rId184" xr:uid="{D144948B-C337-4810-AC01-2FA491453F92}"/>
    <hyperlink ref="E35" r:id="rId185" xr:uid="{F40E5545-C436-498F-96F4-CD95E9AF5300}"/>
    <hyperlink ref="E316" r:id="rId186" xr:uid="{C75C31F0-3660-4816-BF1F-4CAD67EAA25E}"/>
    <hyperlink ref="E317" r:id="rId187" xr:uid="{727EB35F-D603-4A17-9629-C37A5011F57E}"/>
    <hyperlink ref="E4" r:id="rId188" xr:uid="{882C3D94-BE04-45BC-900D-20A7B4B6271F}"/>
    <hyperlink ref="E6" r:id="rId189" xr:uid="{361452FE-0743-40AE-86F7-79CAD4663EE3}"/>
    <hyperlink ref="E3" r:id="rId190" xr:uid="{208079F3-F727-443D-84A3-882BAF7A55D1}"/>
    <hyperlink ref="E5" r:id="rId191" xr:uid="{BB51B83B-2F56-449B-A7BE-A81B991C93EB}"/>
    <hyperlink ref="E319" r:id="rId192" xr:uid="{B376BA15-CEFF-4521-8A08-EBBE95C90513}"/>
    <hyperlink ref="E325" r:id="rId193" xr:uid="{03AA7633-FF95-4D8E-835A-CBF419FB30D7}"/>
    <hyperlink ref="E326" r:id="rId194" xr:uid="{159584F1-9DE3-4E5A-A8E7-63E0559DDD75}"/>
    <hyperlink ref="E328" r:id="rId195" xr:uid="{E97857B8-F12E-4F98-A4F6-9757619A734A}"/>
    <hyperlink ref="E320" r:id="rId196" xr:uid="{7FCA97AD-6A2C-4701-AF30-22034264923A}"/>
    <hyperlink ref="E321" r:id="rId197" xr:uid="{25AA7F5B-EA28-462C-A848-E5666DF086FD}"/>
    <hyperlink ref="E338" r:id="rId198" xr:uid="{CAB8B459-EB16-45EA-A885-6486B4D06088}"/>
    <hyperlink ref="E339" r:id="rId199" xr:uid="{669E4C9E-4F3A-4082-AC2C-BD2A135BF5DB}"/>
    <hyperlink ref="E322" r:id="rId200" xr:uid="{D4ABC5F8-ABAA-4713-B65E-EADC1746DE50}"/>
    <hyperlink ref="E323" r:id="rId201" xr:uid="{3500540D-7564-4D14-9EF7-B41199CCFB9B}"/>
    <hyperlink ref="E324" r:id="rId202" xr:uid="{BFB89E23-29B8-443F-8CA7-6BDC79B4E46C}"/>
    <hyperlink ref="E327" r:id="rId203" xr:uid="{09F3220C-EA38-4A86-AC9A-5DE2BB6F7ACA}"/>
    <hyperlink ref="E329" r:id="rId204" xr:uid="{3FA018E8-4982-41F2-A7F5-1498C8A8376A}"/>
    <hyperlink ref="E330" r:id="rId205" xr:uid="{73E30481-5B9E-4B4F-ADE2-431705AAAE0D}"/>
    <hyperlink ref="E331" r:id="rId206" xr:uid="{147B0F9E-7B68-48DE-881E-AA0E49D3A070}"/>
    <hyperlink ref="E332" r:id="rId207" xr:uid="{05ECCAC5-53A6-4482-AC37-7AD689515CA2}"/>
    <hyperlink ref="E333" r:id="rId208" xr:uid="{BC5EF61A-D219-4584-84B4-D402A2940BBF}"/>
    <hyperlink ref="E334" r:id="rId209" xr:uid="{217F1BA4-CCA2-4055-A18E-B7984B676490}"/>
    <hyperlink ref="E335" r:id="rId210" xr:uid="{C7246732-B6D6-4D20-8B57-935B02F0CEF6}"/>
    <hyperlink ref="E336" r:id="rId211" xr:uid="{15A436D6-E4D3-437A-870C-5494F45F4E86}"/>
    <hyperlink ref="E337" r:id="rId212" xr:uid="{0FC3261C-75E1-42EA-A4BC-ECC7229A7169}"/>
    <hyperlink ref="E340" r:id="rId213" xr:uid="{60D758C5-03FD-41BF-8444-EC91D9EE38AB}"/>
    <hyperlink ref="E341" r:id="rId214" xr:uid="{6B62F23D-6A51-4B31-9DE3-E9470E8150D9}"/>
    <hyperlink ref="E342" r:id="rId215" xr:uid="{143738A0-F55E-4E6A-8769-9BD7F7F524B5}"/>
    <hyperlink ref="E343" r:id="rId216" xr:uid="{A77D5D38-AF6B-4D0F-B8CE-D38FF2744901}"/>
    <hyperlink ref="E344" r:id="rId217" xr:uid="{4B12D10A-0004-4D2F-AFB4-27B2013059AE}"/>
    <hyperlink ref="E345" r:id="rId218" xr:uid="{DC0F6F48-5674-4576-9EF7-DC37824F175D}"/>
    <hyperlink ref="E346" r:id="rId219" xr:uid="{BFF30DFF-743C-4712-BB05-CB7EA209DA74}"/>
    <hyperlink ref="E347" r:id="rId220" xr:uid="{3282B312-A928-4E31-AD13-63BDC16A1523}"/>
    <hyperlink ref="E349" r:id="rId221" xr:uid="{072BDCFC-4FC5-43B5-9C18-B03C40BC8EB1}"/>
    <hyperlink ref="E350" r:id="rId222" xr:uid="{2602EAE1-BEDC-4DF5-B9A0-27768C729249}"/>
    <hyperlink ref="E351" r:id="rId223" xr:uid="{7685AE9F-1B7B-4917-BA6A-842B696200EF}"/>
    <hyperlink ref="E352" r:id="rId224" xr:uid="{4D59C5B3-8C06-4B60-9877-5B1B44AA1D30}"/>
    <hyperlink ref="E353" r:id="rId225" xr:uid="{35689C54-28DD-405B-BD85-E496B40C0041}"/>
    <hyperlink ref="E354" r:id="rId226" xr:uid="{D5520C30-C2B1-4489-A567-A60A21E75052}"/>
    <hyperlink ref="E355" r:id="rId227" xr:uid="{960277DC-0CA0-4429-94EA-185070663482}"/>
    <hyperlink ref="E356" r:id="rId228" xr:uid="{F6E50E50-971F-4FC5-8A83-D470E35DA8C2}"/>
    <hyperlink ref="E357" r:id="rId229" xr:uid="{22D204F2-A9AD-4E63-92B7-FEA64689D80B}"/>
    <hyperlink ref="E358" r:id="rId230" xr:uid="{74A51AD4-DAB2-476C-ACFD-D1902F885BAC}"/>
    <hyperlink ref="E359" r:id="rId231" xr:uid="{56B7EEEC-B0CB-445B-B6BE-C585CD71BE10}"/>
    <hyperlink ref="E360" r:id="rId232" xr:uid="{164361F9-31EF-46C8-B67D-D0575FB2B122}"/>
    <hyperlink ref="E361" r:id="rId233" xr:uid="{D669446A-3E00-4922-A756-4A84261D04C6}"/>
    <hyperlink ref="E362" r:id="rId234" xr:uid="{7864033B-D986-4378-AEC8-FA17A66F4F57}"/>
    <hyperlink ref="E363" r:id="rId235" xr:uid="{52266F46-85A9-4A08-9EE7-FCC8ADDD3228}"/>
    <hyperlink ref="E364" r:id="rId236" xr:uid="{DF62E269-D428-4612-B3D1-349E8F03808C}"/>
    <hyperlink ref="E365" r:id="rId237" xr:uid="{F138BE75-DDF6-4E8E-A0EC-CE809A89C6E0}"/>
    <hyperlink ref="E366" r:id="rId238" xr:uid="{A4C3A5E3-8CAD-4747-BD92-A45B0B2AF84B}"/>
    <hyperlink ref="E367" r:id="rId239" xr:uid="{7A8E6F29-C945-4C40-9C32-CEB6C9C8AC43}"/>
    <hyperlink ref="E368" r:id="rId240" xr:uid="{0EBAC8C1-1A33-4D08-AA92-B0162743E7C6}"/>
    <hyperlink ref="E369" r:id="rId241" xr:uid="{C99A938B-379A-4C91-9FF3-72FA037CB659}"/>
    <hyperlink ref="E370" r:id="rId242" xr:uid="{DF63CEB9-943A-4EF8-A6C4-4499F00B335C}"/>
    <hyperlink ref="E371" r:id="rId243" xr:uid="{B8FA390B-463D-4FF3-9A02-9F3CBF4CB3B8}"/>
    <hyperlink ref="E372" r:id="rId244" xr:uid="{DFFE04CA-39F6-4149-9E0E-73B007B5C9B5}"/>
    <hyperlink ref="E373" r:id="rId245" xr:uid="{CE1DEB0F-39D3-4947-BAEE-CDDFB8382FF6}"/>
    <hyperlink ref="E374" r:id="rId246" xr:uid="{6210347A-BFE6-44D9-826B-DD9660FBD37B}"/>
    <hyperlink ref="E375" r:id="rId247" xr:uid="{52B53B2D-73EA-4544-A91A-8D35CEDEAE82}"/>
    <hyperlink ref="E376" r:id="rId248" xr:uid="{DE763992-0284-4735-B1BA-19ECD0545256}"/>
    <hyperlink ref="E377" r:id="rId249" xr:uid="{CB1F13D0-41B8-4CA4-97D4-201791436497}"/>
    <hyperlink ref="E378" r:id="rId250" xr:uid="{AE99EE14-CCCF-4701-9CA8-3CEE7E736C0E}"/>
    <hyperlink ref="E379" r:id="rId251" xr:uid="{DE0496FE-1E18-44B7-8562-F1C946408464}"/>
    <hyperlink ref="E318" r:id="rId252" xr:uid="{4A7279BD-8B07-4448-A427-C04E36206F40}"/>
    <hyperlink ref="E380" r:id="rId253" xr:uid="{34DA45A6-0A8B-499A-BCD6-6067B4325616}"/>
    <hyperlink ref="E381" r:id="rId254" xr:uid="{B5C3BD19-71A4-4F74-A23F-37DAC37FF8C0}"/>
    <hyperlink ref="E382" r:id="rId255" xr:uid="{50B770F3-E4C2-4841-B880-98D8C9A6AB1D}"/>
    <hyperlink ref="E383" r:id="rId256" xr:uid="{BB208697-D7F8-435C-8D55-214D69EC54B8}"/>
    <hyperlink ref="E384" r:id="rId257" xr:uid="{303DB52D-E7DF-4BC5-B815-94076B986D3D}"/>
    <hyperlink ref="E385" r:id="rId258" xr:uid="{6E574823-B9EA-47EA-88FE-D6F191A7FDBC}"/>
    <hyperlink ref="E386" r:id="rId259" xr:uid="{9893AFCF-DDD2-4A62-B086-42F66933F4C4}"/>
    <hyperlink ref="E387" r:id="rId260" xr:uid="{6E18D58B-6482-44BC-A9AA-142FECBB04A6}"/>
    <hyperlink ref="E388" r:id="rId261" xr:uid="{12AF09D0-09FA-427A-9DF5-6DB092716FA9}"/>
    <hyperlink ref="E389" r:id="rId262" xr:uid="{E5DAB86E-6CE9-4896-BB0B-194615600249}"/>
    <hyperlink ref="E390" r:id="rId263" xr:uid="{AC6F55D1-1F4E-49CF-960D-B2F9922B5495}"/>
    <hyperlink ref="E391" r:id="rId264" xr:uid="{379FD258-8853-434F-9C78-421AF88EE841}"/>
    <hyperlink ref="E392" r:id="rId265" xr:uid="{3A4F11BC-2711-4DB8-9F00-F4F5BEAF4205}"/>
    <hyperlink ref="E393" r:id="rId266" xr:uid="{77EF21C3-617B-41B4-9559-A03C7B0EB4F1}"/>
    <hyperlink ref="E394" r:id="rId267" xr:uid="{5F6A77E1-35F8-484D-8E48-4CD7AA08FA1F}"/>
    <hyperlink ref="E395" r:id="rId268" xr:uid="{99D4DD7D-3F69-4668-AE0A-E343126D466A}"/>
    <hyperlink ref="E396" r:id="rId269" xr:uid="{6BA148DE-1A95-41B8-B0B0-A26CF70544DD}"/>
    <hyperlink ref="E397" r:id="rId270" xr:uid="{17AFC102-78F1-4FCE-934B-1FD1FAB14A61}"/>
    <hyperlink ref="E398" r:id="rId271" xr:uid="{B004A715-975A-473C-A137-9F12391FC5EA}"/>
    <hyperlink ref="E399" r:id="rId272" xr:uid="{50C2DFC2-F52C-4E32-A633-4F0A3ABAC6ED}"/>
    <hyperlink ref="E400" r:id="rId273" xr:uid="{9D9945CC-86E9-4DEA-82EF-0ACF6FB737C0}"/>
    <hyperlink ref="E401" r:id="rId274" xr:uid="{17347641-7B54-4995-A64D-690084F61805}"/>
    <hyperlink ref="E402" r:id="rId275" xr:uid="{C725536B-AC7A-4EAB-9F6D-86557D080257}"/>
    <hyperlink ref="E403" r:id="rId276" xr:uid="{7ABDF8B5-6243-4259-8DC7-51D457C11C36}"/>
    <hyperlink ref="E404" r:id="rId277" xr:uid="{E3B611BD-96C8-4449-92EE-9BEE54809CE2}"/>
    <hyperlink ref="E405" r:id="rId278" xr:uid="{E65BA451-3C44-4928-A035-95EABDFF1C49}"/>
    <hyperlink ref="E406" r:id="rId279" xr:uid="{5CD8AFAE-C15A-4ED0-82F6-7F745B8E4A4C}"/>
    <hyperlink ref="E407" r:id="rId280" xr:uid="{A638770F-9DFF-45E2-98EB-23910F8CCCBF}"/>
    <hyperlink ref="E408" r:id="rId281" xr:uid="{BD2D131D-CAAD-43D3-BB43-63FDA0286216}"/>
    <hyperlink ref="E409" r:id="rId282" xr:uid="{550937F3-6E54-4473-974B-D23F17DC22CE}"/>
    <hyperlink ref="E410" r:id="rId283" xr:uid="{12018FA6-BE01-4F83-AE74-A2619115F323}"/>
    <hyperlink ref="E411" r:id="rId284" xr:uid="{917A1C14-7B7B-4ECA-A7CE-85C4BB961537}"/>
    <hyperlink ref="E412" r:id="rId285" xr:uid="{ED0F7769-C913-4F13-93AD-36DD289F1707}"/>
    <hyperlink ref="E413" r:id="rId286" xr:uid="{F4805FB9-CCA1-42FA-972C-6D608D2FCCFB}"/>
    <hyperlink ref="E414" r:id="rId287" xr:uid="{F77D5CBC-F066-434F-B814-8C06F5AF7219}"/>
    <hyperlink ref="E415" r:id="rId288" xr:uid="{A265754E-CAFD-496B-AF89-BD8124879328}"/>
    <hyperlink ref="E416" r:id="rId289" xr:uid="{B5F86A11-D878-4607-BAF4-2B3FDF6A4FC1}"/>
    <hyperlink ref="E417" r:id="rId290" xr:uid="{AF48CEFD-55EC-47B6-90A2-30B8324AB12F}"/>
    <hyperlink ref="E418" r:id="rId291" xr:uid="{7A6A5226-3C61-4D1E-94B6-9AB624C77B2C}"/>
    <hyperlink ref="E419" r:id="rId292" xr:uid="{5C19B6D0-AFA9-4508-9B43-B398A61A0B5A}"/>
    <hyperlink ref="E420" r:id="rId293" xr:uid="{5DFAD606-9303-460B-BBA7-5AA3BCBFEF1B}"/>
    <hyperlink ref="E421" r:id="rId294" xr:uid="{07BFD8A5-E437-404F-A4D5-D496D00BDAAB}"/>
    <hyperlink ref="E422" r:id="rId295" xr:uid="{8B5D3442-CEC4-49BF-BFD2-A69986466B93}"/>
    <hyperlink ref="E423" r:id="rId296" xr:uid="{528DB18A-6DAE-4C1A-A308-98EF707649AE}"/>
    <hyperlink ref="E424" r:id="rId297" xr:uid="{6B6DF541-46BF-4688-9EA7-58DBB374A286}"/>
    <hyperlink ref="E7" r:id="rId298" xr:uid="{1ACA7D7D-F16F-4591-8BFB-39E51E4BACA8}"/>
    <hyperlink ref="E8" r:id="rId299" xr:uid="{27B374B3-0483-4CF4-BACC-75590D09B21A}"/>
    <hyperlink ref="E9" r:id="rId300" xr:uid="{EB7E6D32-4C39-4AA7-9F08-52CC1F00FFA9}"/>
    <hyperlink ref="E10" r:id="rId301" xr:uid="{AEB11E14-A93A-4809-9CC3-2470D70ACCC0}"/>
    <hyperlink ref="E11" r:id="rId302" xr:uid="{8BAFA11E-049C-4782-9855-C7D3DE4BB784}"/>
    <hyperlink ref="E12" r:id="rId303" xr:uid="{5F0C4CBD-FC21-479C-A7B7-3A582929C52C}"/>
    <hyperlink ref="E13" r:id="rId304" xr:uid="{C2DB4151-CF40-4384-BA6F-912C32695385}"/>
    <hyperlink ref="E14" r:id="rId305" xr:uid="{017DAF22-C475-4F2B-8C0C-3BEFDF71CB00}"/>
    <hyperlink ref="E15" r:id="rId306" xr:uid="{CF6CA6C2-9FFB-490F-9034-85FE7090FC2A}"/>
    <hyperlink ref="E16" r:id="rId307" xr:uid="{FD5C47E3-6998-49C2-9B3C-0825B512D1FA}"/>
    <hyperlink ref="E17" r:id="rId308" xr:uid="{88F16AE1-AFA3-4DB1-A859-82E30E408169}"/>
    <hyperlink ref="E18" r:id="rId309" xr:uid="{EFA14DB9-CEBB-42C0-BB13-7BE8EA49C713}"/>
    <hyperlink ref="E19" r:id="rId310" xr:uid="{AF85C9EF-AFA7-4230-B47D-961C8E14E8F1}"/>
    <hyperlink ref="E20" r:id="rId311" xr:uid="{E9AC967D-0329-473B-909D-26B99D0C9C8A}"/>
    <hyperlink ref="E21" r:id="rId312" xr:uid="{2AC5DA5D-47D3-4737-A9CF-41F74DCF4051}"/>
    <hyperlink ref="E22" r:id="rId313" xr:uid="{1222CE7D-625B-4A44-87D9-F5FDAC23FFBF}"/>
    <hyperlink ref="E23" r:id="rId314" xr:uid="{A2FB6AFA-6FFE-4C92-BE96-6A6DCD7708C0}"/>
    <hyperlink ref="E425" r:id="rId315" xr:uid="{C2D86B1B-66DA-458F-AA38-83DFE0FBD5D2}"/>
    <hyperlink ref="E427" r:id="rId316" xr:uid="{CD643D4B-9CD7-4E06-B26A-38CA71D7AEF7}"/>
    <hyperlink ref="E426" r:id="rId317" xr:uid="{DFBE1974-D483-4699-8607-A045F7AAAAE3}"/>
    <hyperlink ref="E428" r:id="rId318" xr:uid="{8D603AD8-20DF-44F1-9FC9-A191310D9AA0}"/>
    <hyperlink ref="E429" r:id="rId319" xr:uid="{836BFFE9-5DFB-4596-840F-F03CF3C38D50}"/>
    <hyperlink ref="E430" r:id="rId320" xr:uid="{51EF1EC4-85C4-49EE-A1DA-784615C7F480}"/>
    <hyperlink ref="E431" r:id="rId321" xr:uid="{540C5DCF-B777-4A35-B208-AD1D430BAD03}"/>
    <hyperlink ref="E432" r:id="rId322" xr:uid="{2FFB9066-15FB-4669-8D68-1612FB22B991}"/>
    <hyperlink ref="E433" r:id="rId323" xr:uid="{C1278EF2-73F1-4843-A2F3-158F664D05CE}"/>
    <hyperlink ref="E434" r:id="rId324" xr:uid="{37E224ED-A5AC-4291-8267-88660CAF0D6E}"/>
    <hyperlink ref="E435" r:id="rId325" xr:uid="{64396161-7A1B-4160-8047-0D539DF719F3}"/>
    <hyperlink ref="E436" r:id="rId326" xr:uid="{0902CF82-224D-455D-90DA-E893E63A28F4}"/>
    <hyperlink ref="E437" r:id="rId327" xr:uid="{4A6A0D39-9697-4478-81E0-F2696D9CBECD}"/>
    <hyperlink ref="E438" r:id="rId328" xr:uid="{C9D08406-8A7F-4587-BAB9-EA0D3E8AC579}"/>
    <hyperlink ref="E439" r:id="rId329" xr:uid="{20D8132E-1FF7-4536-AFCC-5CEE320EA3CE}"/>
    <hyperlink ref="E440" r:id="rId330" xr:uid="{84B10E66-94DD-42C5-AE94-5B6BFC45EA58}"/>
    <hyperlink ref="E441" r:id="rId331" xr:uid="{5E3A6F95-7233-4E97-9CC6-10BF5BA7BAEC}"/>
    <hyperlink ref="E442" r:id="rId332" xr:uid="{A65897EA-2544-4B9A-8CCF-E52042FC8950}"/>
    <hyperlink ref="E443" r:id="rId333" xr:uid="{1DCF53C5-CE52-4867-909D-D87579370264}"/>
    <hyperlink ref="E444" r:id="rId334" xr:uid="{F0B88178-2AAE-44E5-8BC9-99A77DD1A938}"/>
    <hyperlink ref="E445" r:id="rId335" xr:uid="{3C68F38D-287F-456D-A7E7-D5F4986EC2C7}"/>
    <hyperlink ref="E446" r:id="rId336" xr:uid="{AA353A72-0F75-40A7-A154-983C14BC951E}"/>
    <hyperlink ref="E447" r:id="rId337" xr:uid="{1A3D4794-63C6-450A-859C-A2A7FCC702B6}"/>
    <hyperlink ref="E448" r:id="rId338" xr:uid="{B2971C37-7816-479E-90EF-41FE1D8B9638}"/>
    <hyperlink ref="E449" r:id="rId339" xr:uid="{09B72804-1BD8-4853-99AE-A44E8251FB6A}"/>
    <hyperlink ref="E450" r:id="rId340" xr:uid="{C3DA03CC-B183-4334-88BD-B4F961E6DAD4}"/>
    <hyperlink ref="E451" r:id="rId341" xr:uid="{07DACB30-0E72-45BC-8831-FEFF51A3EA5A}"/>
    <hyperlink ref="E452" r:id="rId342" xr:uid="{F8B20A5E-9458-4774-A301-9A1EABA58F54}"/>
    <hyperlink ref="E453" r:id="rId343" xr:uid="{94652493-72B5-46DE-8051-938BA54A6624}"/>
    <hyperlink ref="E454" r:id="rId344" xr:uid="{B8AB3722-BC9F-44BC-BB17-C4A753568B05}"/>
    <hyperlink ref="E455" r:id="rId345" xr:uid="{3E4AB389-C55A-47D1-9952-48CA0BF9D4EF}"/>
    <hyperlink ref="E456" r:id="rId346" xr:uid="{C554DE24-46BC-40FA-8564-F1D832347E0C}"/>
    <hyperlink ref="E457" r:id="rId347" xr:uid="{99B66D05-4876-47A4-8BF7-C5C75AB803BC}"/>
    <hyperlink ref="E458" r:id="rId348" xr:uid="{67880C87-EBB6-4CD9-815F-CF3BAF73A900}"/>
    <hyperlink ref="E459" r:id="rId349" xr:uid="{81F98514-2144-4EF3-8A7F-1554C6410EC7}"/>
    <hyperlink ref="E460" r:id="rId350" xr:uid="{686F9B40-ACCE-4ADA-82A8-4DA4FFE3D740}"/>
    <hyperlink ref="E461" r:id="rId351" xr:uid="{81244E26-88A0-41F7-9735-2CB846ED303D}"/>
    <hyperlink ref="E462" r:id="rId352" xr:uid="{92BB098C-5F29-4BCE-BF0F-5CF62E1BD056}"/>
    <hyperlink ref="E463" r:id="rId353" xr:uid="{CC5BF9E0-9D36-40E1-8D74-DD756195F938}"/>
    <hyperlink ref="E464" r:id="rId354" xr:uid="{AC003C5D-BE42-4212-8F91-3FA5784AD7BD}"/>
    <hyperlink ref="E465" r:id="rId355" xr:uid="{A66AA5BE-1432-42B2-95D4-FE7ABA71354F}"/>
    <hyperlink ref="E466" r:id="rId356" xr:uid="{F6583E98-E262-44F6-B955-DF1C0A118128}"/>
    <hyperlink ref="E467" r:id="rId357" xr:uid="{4860C66C-3826-4376-9AE9-F0363AF3148C}"/>
    <hyperlink ref="E468" r:id="rId358" xr:uid="{098C87B1-2E21-4693-847E-6462F67B77D7}"/>
    <hyperlink ref="E469" r:id="rId359" xr:uid="{86B49064-AE79-4B7C-8AA4-EC36DEBEE3C0}"/>
    <hyperlink ref="E470" r:id="rId360" xr:uid="{5940B5BD-0C0A-47BE-9218-023949180C83}"/>
    <hyperlink ref="E471" r:id="rId361" xr:uid="{80A8BF77-E3A4-4AD9-9DBE-705669500E24}"/>
    <hyperlink ref="E472" r:id="rId362" xr:uid="{88D2731F-0D25-4D7B-9BEB-497F4C0DCCC8}"/>
    <hyperlink ref="E473" r:id="rId363" xr:uid="{348E141D-F7E5-4795-9ABB-20005F684A32}"/>
    <hyperlink ref="E474" r:id="rId364" xr:uid="{A1BECEAE-B343-4D4B-B833-5EAE39F90010}"/>
    <hyperlink ref="E475" r:id="rId365" xr:uid="{405AD36C-3D19-4520-996F-4E4D7A207ACA}"/>
    <hyperlink ref="E476" r:id="rId366" xr:uid="{C3F6D621-0263-44B1-9697-4DE4175D9F6F}"/>
    <hyperlink ref="E477" r:id="rId367" xr:uid="{712F6491-EE00-44A1-B1AF-2A8CA12B5F5F}"/>
    <hyperlink ref="E480" r:id="rId368" xr:uid="{FACE275F-E216-4ADC-A336-849B4B0C8D69}"/>
    <hyperlink ref="E486" r:id="rId369" xr:uid="{B1F7F66A-3088-43CF-B265-D1752633FB46}"/>
    <hyperlink ref="E488" r:id="rId370" xr:uid="{D9576C35-DD3D-434F-92B3-B4D4BEA65283}"/>
    <hyperlink ref="E478" r:id="rId371" xr:uid="{71901CE2-5EF7-494A-B30B-9D8514A1431D}"/>
    <hyperlink ref="E485" r:id="rId372" xr:uid="{BEC4EAD3-BC21-4AC0-9008-B3EF3D20CF30}"/>
    <hyperlink ref="E481" r:id="rId373" xr:uid="{A18941F2-1283-4061-B301-6DC43230E977}"/>
    <hyperlink ref="E482" r:id="rId374" xr:uid="{AC8314B8-8D6A-4D6D-B788-A699BC09DC68}"/>
    <hyperlink ref="E483" r:id="rId375" xr:uid="{5EA9C679-63F7-4F98-A132-30F3493213B2}"/>
    <hyperlink ref="E484" r:id="rId376" xr:uid="{F1E09E01-AC0F-499E-AA5A-A20FD7370B97}"/>
    <hyperlink ref="E487" r:id="rId377" xr:uid="{67E28E9C-8395-4A80-9798-299928FCE2E9}"/>
    <hyperlink ref="E489" r:id="rId378" xr:uid="{50FF3D5E-7DB5-4483-B245-648F914F4708}"/>
    <hyperlink ref="E490" r:id="rId379" xr:uid="{A8B3007B-28E9-425C-8DFF-BF172D5E4865}"/>
    <hyperlink ref="E491" r:id="rId380" xr:uid="{5290E091-2BEC-4151-BDE3-CFAE0308B25F}"/>
    <hyperlink ref="E492" r:id="rId381" xr:uid="{3A437C97-3324-460C-9BAF-B9D9C2A2E1C0}"/>
    <hyperlink ref="E493" r:id="rId382" xr:uid="{997AE818-2E1F-4C54-8932-5C65CF16B7C7}"/>
    <hyperlink ref="E494" r:id="rId383" xr:uid="{01D9E874-EEF3-45E1-B84E-0CDBFD8B3B22}"/>
    <hyperlink ref="E495" r:id="rId384" xr:uid="{54DFECB5-83A8-4F78-94E3-226D6A18B341}"/>
    <hyperlink ref="E496" r:id="rId385" xr:uid="{4CDFCA8F-4ECE-4903-B2DF-F29F6638EBDB}"/>
    <hyperlink ref="E497" r:id="rId386" xr:uid="{D1137209-1E9D-4891-AF34-014B3894BA7D}"/>
    <hyperlink ref="E498" r:id="rId387" xr:uid="{B9B9981B-1255-4ADB-B612-30CF75BCC349}"/>
    <hyperlink ref="E499" r:id="rId388" xr:uid="{C0E3202A-56DF-4D94-8E97-E62AF5C10A19}"/>
    <hyperlink ref="E500" r:id="rId389" xr:uid="{F15DC5E7-798E-43BA-AC82-621F9695465F}"/>
    <hyperlink ref="E501" r:id="rId390" xr:uid="{9FDD4C7A-8C03-4E62-B51E-10F6CEF50342}"/>
    <hyperlink ref="E502" r:id="rId391" xr:uid="{E1B804EA-F390-40F8-BBD5-47FFB77FC87B}"/>
    <hyperlink ref="E503" r:id="rId392" xr:uid="{0ADC1BAF-0C47-4880-A1B2-9A82FE419FEE}"/>
    <hyperlink ref="E504" r:id="rId393" xr:uid="{EFCB3F9F-B7FB-4847-8B79-951FAF448F9C}"/>
    <hyperlink ref="E505" r:id="rId394" xr:uid="{A721756A-CE4C-4AFB-9C73-CADA186EC4DF}"/>
    <hyperlink ref="E506" r:id="rId395" xr:uid="{F7365C47-F475-47D6-9AA1-E3B8FD94B20F}"/>
    <hyperlink ref="E507" r:id="rId396" xr:uid="{F6031571-3C49-4E54-9268-33A6FEC5CB57}"/>
    <hyperlink ref="E508" r:id="rId397" xr:uid="{8AC0A5D7-A9F1-48B3-9231-B1ED47125E0D}"/>
    <hyperlink ref="E509" r:id="rId398" xr:uid="{5237B124-637E-4F87-B727-471584854166}"/>
    <hyperlink ref="E510" r:id="rId399" xr:uid="{E0691453-7154-4E93-B104-766280FC19C6}"/>
    <hyperlink ref="E511" r:id="rId400" xr:uid="{4BBCADE4-82D3-4F3A-A934-E56BEDE1B7BF}"/>
    <hyperlink ref="E512" r:id="rId401" xr:uid="{A1CE830C-AE12-470D-A9D4-6AB94031296D}"/>
    <hyperlink ref="E513" r:id="rId402" xr:uid="{6612F21D-C3A0-417E-B243-58D05C36C015}"/>
    <hyperlink ref="E514" r:id="rId403" xr:uid="{143700D2-B537-42DE-BD39-2E2EED8531BE}"/>
    <hyperlink ref="E515" r:id="rId404" xr:uid="{D4A23A98-B6CD-46DB-BF4E-18C87EE20BF5}"/>
    <hyperlink ref="E516" r:id="rId405" xr:uid="{26917734-B340-4B29-B7EB-323AA084E490}"/>
    <hyperlink ref="E517" r:id="rId406" xr:uid="{04A847B4-9C5D-4FB2-B9BA-18B38AE638F8}"/>
    <hyperlink ref="E518" r:id="rId407" xr:uid="{C943AC65-D9DA-48E0-9755-666B223D7A2F}"/>
    <hyperlink ref="E519" r:id="rId408" xr:uid="{4AED0B9E-507F-4F3D-95F2-A57167CB9335}"/>
    <hyperlink ref="E520" r:id="rId409" xr:uid="{C476E7C6-16BD-4AF7-BF03-5153F363B655}"/>
    <hyperlink ref="E521" r:id="rId410" xr:uid="{BAC047BA-95B8-4938-836F-09C80DA45ED9}"/>
    <hyperlink ref="E522" r:id="rId411" xr:uid="{5C6E7BCF-A952-4FCC-B072-45D93F79E519}"/>
    <hyperlink ref="E523" r:id="rId412" xr:uid="{E2E1BBEE-96AE-4C43-81EE-16B00FB5277C}"/>
    <hyperlink ref="E524" r:id="rId413" xr:uid="{3E4AA056-B91C-4171-84C4-256D523AFBCF}"/>
    <hyperlink ref="E525" r:id="rId414" xr:uid="{F6655677-031C-4164-8671-546A7B1EE7EE}"/>
    <hyperlink ref="E526" r:id="rId415" xr:uid="{A96F7111-2245-4F3C-BF3B-EB5D81A4DE95}"/>
    <hyperlink ref="E527" r:id="rId416" xr:uid="{DC98E6DB-0ACE-40C1-8613-1693B30E2442}"/>
    <hyperlink ref="E528" r:id="rId417" xr:uid="{C9D29BF0-F43C-49E9-A59E-370B0EAC24B5}"/>
    <hyperlink ref="E529" r:id="rId418" xr:uid="{E53A69B8-90F7-4A13-9E89-2DEE556538D6}"/>
    <hyperlink ref="E530" r:id="rId419" xr:uid="{CBB1CE2D-F473-4411-B091-6BB2897247DA}"/>
    <hyperlink ref="E531" r:id="rId420" xr:uid="{11C18F53-4D11-433E-B9C9-09F2D10ACB72}"/>
    <hyperlink ref="E532" r:id="rId421" xr:uid="{861526ED-129D-498D-821B-F0D4E1D96AEE}"/>
    <hyperlink ref="E533" r:id="rId422" xr:uid="{3A200E19-A5DC-4248-89E0-26CD45102AE8}"/>
    <hyperlink ref="E534" r:id="rId423" xr:uid="{BB64D28A-47DF-4D5F-A78C-A20985CA0694}"/>
    <hyperlink ref="E535" r:id="rId424" xr:uid="{F0F57CC7-0058-4C8F-9183-47BB43725EB3}"/>
    <hyperlink ref="E536" r:id="rId425" xr:uid="{A3ECA8FB-765F-499B-9CAF-B8C62649B0C3}"/>
    <hyperlink ref="E537" r:id="rId426" xr:uid="{2A76F40C-ADF4-4FDA-8F86-219DBC6C02D0}"/>
    <hyperlink ref="E538" r:id="rId427" xr:uid="{BEF1A414-147B-40C9-A905-6C90F2AD809C}"/>
    <hyperlink ref="E539" r:id="rId428" xr:uid="{7AE5D316-6350-4EE7-9DCC-8172F9CF9975}"/>
    <hyperlink ref="E540" r:id="rId429" xr:uid="{934DCEEB-029E-411E-943F-4353B43C2760}"/>
    <hyperlink ref="E541" r:id="rId430" xr:uid="{1AA0DC01-0476-4BC1-856C-D9292E20E69B}"/>
    <hyperlink ref="E542" r:id="rId431" xr:uid="{D110CE3A-E6AA-43A4-A414-A491F585E054}"/>
    <hyperlink ref="E543" r:id="rId432" xr:uid="{F09F421B-EEF9-45AA-AB62-A4E246D2E6D0}"/>
    <hyperlink ref="E544" r:id="rId433" xr:uid="{86921FF7-A0DF-464C-8725-A46EC4F7920B}"/>
    <hyperlink ref="E545" r:id="rId434" xr:uid="{10472541-046A-4CAD-B67F-8FD71838F8B6}"/>
    <hyperlink ref="E546" r:id="rId435" xr:uid="{E7A047F4-627C-40E1-914F-DEDA5EC47FBB}"/>
    <hyperlink ref="E547" r:id="rId436" xr:uid="{825C6786-700C-4672-B7C8-2670CF68CBB1}"/>
    <hyperlink ref="E548" r:id="rId437" xr:uid="{880EDED5-5404-46BA-910E-2476D86F9A7F}"/>
    <hyperlink ref="E549" r:id="rId438" xr:uid="{0AAAA2C9-4929-4696-9EBF-39F52B7BAEF4}"/>
    <hyperlink ref="E550" r:id="rId439" xr:uid="{6BF62BE1-AA8F-4189-93B1-DC42E8A748A1}"/>
    <hyperlink ref="E551" r:id="rId440" xr:uid="{53EB753D-9F81-4A67-A5B1-0FAC9887980A}"/>
    <hyperlink ref="E552" r:id="rId441" xr:uid="{FCA92002-2596-4983-8D14-DB4CFF977994}"/>
    <hyperlink ref="E553" r:id="rId442" xr:uid="{A0D1C115-B857-474B-A24B-8EAA75F89C6E}"/>
    <hyperlink ref="E554" r:id="rId443" xr:uid="{0E93BDEC-A235-4DB8-9420-8F5FAFA923FD}"/>
    <hyperlink ref="E555" r:id="rId444" xr:uid="{04306844-A016-4787-9CDC-9826A6399FA6}"/>
    <hyperlink ref="E556" r:id="rId445" xr:uid="{72EEBF63-D614-4AD1-A999-2B40E12D393C}"/>
    <hyperlink ref="E558" r:id="rId446" display="https://zakupki.gov.ru/epz/order/notice/ea20/view/common-info.html?regNumber=0873400003923000283" xr:uid="{2F95FCE4-A9D5-4E3E-8917-E08C5E6F8900}"/>
    <hyperlink ref="E559" r:id="rId447" xr:uid="{B56EBF7B-2529-42E4-BE23-323A0DA80532}"/>
    <hyperlink ref="E564" r:id="rId448" display="https://zakupki.gov.ru/epz/order/notice/ea20/view/common-info.html?regNumber=0873400003923000288" xr:uid="{88431F24-334B-4186-AB7D-C8B2DC500360}"/>
    <hyperlink ref="E561" r:id="rId449" xr:uid="{01AF41A0-2B3F-4135-9D8D-A907D5347A07}"/>
    <hyperlink ref="E575" r:id="rId450" display="https://zakupki.gov.ru/epz/order/notice/ea20/view/common-info.html?regNumber=0873400003923000302" xr:uid="{BBD77EA4-BB2F-4AD5-AC70-6B5C58DE0BC0}"/>
    <hyperlink ref="E568" r:id="rId45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20FFA7B9-D21A-4975-A248-F3A06DFC568D}"/>
    <hyperlink ref="E569" r:id="rId45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6B0E8B6B-66ED-4C45-975B-890D5EBDDC60}"/>
    <hyperlink ref="E570" r:id="rId453" display="https://zakupki.gov.ru/epz/order/notice/ea20/view/common-info.html?regNumber=0873400003923000297" xr:uid="{9A471FD1-A37A-43C6-9E09-6E9C4F4B9372}"/>
    <hyperlink ref="E571" r:id="rId454" xr:uid="{917A2211-5D64-4063-8196-EE73B0DCFC9C}"/>
    <hyperlink ref="E573" r:id="rId455" display="https://zakupki.gov.ru/epz/order/notice/ea20/view/common-info.html?regNumber=0873400003923000300" xr:uid="{19C8E3CA-3221-42BC-8BA5-91665021318E}"/>
    <hyperlink ref="E574" r:id="rId456" display="https://zakupki.gov.ru/epz/order/notice/ea20/view/common-info.html?regNumber=0873400003923000301" xr:uid="{A1F06909-4BEA-4768-8A02-03DB37BC5006}"/>
    <hyperlink ref="E576" r:id="rId457" display="https://zakupki.gov.ru/epz/order/notice/ea20/view/common-info.html?regNumber=0873400003923000303" xr:uid="{156103EA-FA03-4DCA-B758-485FCFDA91CE}"/>
    <hyperlink ref="E577" r:id="rId458" xr:uid="{20589E87-128E-405A-935A-573557875119}"/>
    <hyperlink ref="E578" r:id="rId459" xr:uid="{70B77B17-4B59-4F20-BA26-FE14C53A22F2}"/>
    <hyperlink ref="E579" r:id="rId460" xr:uid="{319A5766-B78D-4DD6-A960-145CBCB39445}"/>
    <hyperlink ref="E580" r:id="rId461" xr:uid="{51B7D519-1514-4282-9EBE-3DEB5D35C471}"/>
    <hyperlink ref="E581" r:id="rId462" xr:uid="{77801B01-7C4A-49DE-AD93-57917AB14A76}"/>
    <hyperlink ref="E582" r:id="rId463" xr:uid="{314E5A25-4CEE-4979-B8D4-D5DF4C81BBD6}"/>
    <hyperlink ref="E583" r:id="rId464" xr:uid="{1950EAA7-9C40-4F0E-9DF9-E30CDB255F11}"/>
    <hyperlink ref="E584" r:id="rId465" xr:uid="{D946F5BD-9CD8-4E5A-B49B-304B95D8E198}"/>
    <hyperlink ref="E585" r:id="rId466" xr:uid="{A9862BB3-2653-4A41-9860-FC065750308E}"/>
    <hyperlink ref="E586" r:id="rId467" xr:uid="{DA6A129D-5A42-448D-B325-89ED3C86A525}"/>
    <hyperlink ref="E587" r:id="rId468" xr:uid="{D1499809-2C34-4288-8180-8E83CF7C804B}"/>
    <hyperlink ref="E588" r:id="rId469" xr:uid="{9F70CB6F-42F5-41B1-8844-F91085B91092}"/>
    <hyperlink ref="E589" r:id="rId470" xr:uid="{EE13C59B-3CBD-43D8-8821-40F60CBC9169}"/>
    <hyperlink ref="E590" r:id="rId471" xr:uid="{F210194D-E774-4C32-844B-63B83C193106}"/>
    <hyperlink ref="E591" r:id="rId472" xr:uid="{C478E971-2DF3-44CB-A3B5-B8E480E19B0F}"/>
    <hyperlink ref="E592" r:id="rId473" xr:uid="{371401ED-93C5-4C3E-A007-CC0310506AB2}"/>
    <hyperlink ref="E593" r:id="rId474" xr:uid="{3FF24C70-D65B-4284-9160-669AC3F223D7}"/>
    <hyperlink ref="E594" r:id="rId475" xr:uid="{93299F14-A0A7-414F-9E29-C026CDE5E485}"/>
    <hyperlink ref="E595" r:id="rId476" xr:uid="{2BBA2FA5-3A69-4CBE-B1F4-0E7B7AA4874D}"/>
    <hyperlink ref="E596" r:id="rId477" xr:uid="{9268F21C-D539-4962-A0F0-4B644C046955}"/>
    <hyperlink ref="E597" r:id="rId478" xr:uid="{05851F26-7D78-4EBF-894D-1A5F9AE164A8}"/>
    <hyperlink ref="E598" r:id="rId479" xr:uid="{07BA2219-50E9-4D07-814E-0CB7AD3F01E6}"/>
    <hyperlink ref="E599" r:id="rId480" xr:uid="{681F93A2-4E5D-4458-9841-A13653DAE8E5}"/>
    <hyperlink ref="E600" r:id="rId481" xr:uid="{98CF9F55-F96F-4DA6-8F1F-E31E000B6713}"/>
    <hyperlink ref="E601" r:id="rId482" xr:uid="{C3F77775-A7F1-4353-A50F-DA40DDC6E896}"/>
    <hyperlink ref="E602" r:id="rId483" xr:uid="{B8BD7818-C0A1-4AC7-B1A9-26EA429C2ECA}"/>
    <hyperlink ref="E603" r:id="rId484" xr:uid="{765018CA-6DD9-43E9-83E1-88B62892296D}"/>
    <hyperlink ref="E604" r:id="rId485" xr:uid="{EB583A1B-26D9-4523-8176-570F51A5E48E}"/>
    <hyperlink ref="E605" r:id="rId486" xr:uid="{EBC957B1-7DCF-4E34-ACAF-6237C1F263D6}"/>
    <hyperlink ref="E606" r:id="rId487" xr:uid="{7E335FC2-B5A2-418F-9BCD-8D2E78300E92}"/>
    <hyperlink ref="E607" r:id="rId488" xr:uid="{AC642E6D-AA96-46E2-B5F9-EBD82F401DF6}"/>
    <hyperlink ref="E608" r:id="rId489" xr:uid="{F0B4BA0D-799F-4E49-875B-C4956BFC9506}"/>
    <hyperlink ref="E609" r:id="rId490" xr:uid="{FF63E4A7-6F1A-4140-BDBA-FA750DD7363B}"/>
    <hyperlink ref="E610" r:id="rId491" xr:uid="{00D72ECF-F8F4-4745-AB6F-E584937DBCBA}"/>
    <hyperlink ref="E611" r:id="rId492" xr:uid="{BC61DC5E-11DE-443A-A187-768AE952DDC9}"/>
    <hyperlink ref="E612" r:id="rId493" xr:uid="{F971C570-4014-41AD-A2ED-DA603CA5ED81}"/>
    <hyperlink ref="E613" r:id="rId494" xr:uid="{15A605E4-795D-4417-851C-10F521D9B185}"/>
    <hyperlink ref="E614" r:id="rId495" xr:uid="{0A86A110-8A8D-4727-8409-41B556D5236C}"/>
    <hyperlink ref="E615" r:id="rId496" xr:uid="{A816EFE6-7374-4135-ABEB-DC029B091BE9}"/>
    <hyperlink ref="E616" r:id="rId497" xr:uid="{00E9F792-E34F-4AC1-B169-CF3781054EFE}"/>
    <hyperlink ref="E617" r:id="rId498" xr:uid="{041E3804-387D-4117-A58E-3E2920C5042F}"/>
    <hyperlink ref="E618" r:id="rId499" xr:uid="{8152F58B-2037-48EB-A6BD-057150D0FA44}"/>
    <hyperlink ref="E619" r:id="rId500" xr:uid="{E2045271-6EE3-4EFF-B5CB-5E3C048EA9A1}"/>
    <hyperlink ref="E620" r:id="rId501" xr:uid="{60EECD9F-CB66-41C8-9753-08F153B7029C}"/>
    <hyperlink ref="E621" r:id="rId502" xr:uid="{9845D626-6D93-4ACA-8F32-F67F39A41128}"/>
    <hyperlink ref="E622" r:id="rId503" xr:uid="{876A106C-1E9D-48E8-8D0E-BFA4B12A2577}"/>
    <hyperlink ref="E623" r:id="rId504" xr:uid="{6BD62E60-6026-43DE-AF00-79276FAE0028}"/>
    <hyperlink ref="E624" r:id="rId505" xr:uid="{8EACD73E-F9BB-4143-8115-F751AB35B60F}"/>
    <hyperlink ref="E625" r:id="rId506" xr:uid="{954A6874-64CB-4A64-AB2C-583776B434FB}"/>
    <hyperlink ref="E626" r:id="rId507" xr:uid="{72B6E88E-C77E-4829-A2F4-6AF57E27F915}"/>
    <hyperlink ref="E627" r:id="rId508" xr:uid="{B325025C-9081-4DBA-9B7D-B8F14BCEB253}"/>
    <hyperlink ref="E628" r:id="rId509" xr:uid="{C4CF415D-7F7E-4013-A784-6F22897DA8D8}"/>
    <hyperlink ref="E629" r:id="rId510" xr:uid="{D559CD20-99AA-4843-85DC-946B9D32316D}"/>
    <hyperlink ref="E630" r:id="rId511" xr:uid="{03FBAB4F-FFE7-440C-A1D0-7964E401A421}"/>
    <hyperlink ref="E631" r:id="rId512" xr:uid="{586EB99D-5047-4BF0-8D46-B89D949A0D52}"/>
    <hyperlink ref="E632" r:id="rId513" xr:uid="{320FF86E-C1D2-4E10-B59C-FADBFF9ECF05}"/>
    <hyperlink ref="E633" r:id="rId514" xr:uid="{8593839B-C718-40BB-B7C9-E6AE5F328F7F}"/>
    <hyperlink ref="E634" r:id="rId515" xr:uid="{27C188F2-F764-4D62-A8C3-3B2FD20F45AD}"/>
    <hyperlink ref="E635" r:id="rId516" xr:uid="{620A29E6-2894-4919-A211-732BDF6CD635}"/>
    <hyperlink ref="E636" r:id="rId517" xr:uid="{99F71AFB-4AC5-4F2E-9834-221739802911}"/>
    <hyperlink ref="E637" r:id="rId518" xr:uid="{440BE4B5-19F0-40FA-B866-0C16A1E1C9CF}"/>
    <hyperlink ref="E638" r:id="rId519" xr:uid="{92AE3356-9F83-4927-8881-587980BF062D}"/>
    <hyperlink ref="E639" r:id="rId520" xr:uid="{F599B8D7-31EE-4BD8-8386-1B45234880D5}"/>
    <hyperlink ref="E640" r:id="rId521" xr:uid="{2B056D9F-58B9-469B-814D-4D066ED4C47C}"/>
    <hyperlink ref="E641" r:id="rId522" xr:uid="{CF21180D-B513-46C0-8D77-66DD6AFD28CB}"/>
    <hyperlink ref="E642" r:id="rId523" xr:uid="{2AC6BEFB-7D70-4662-9296-A8AAA4EC48C2}"/>
    <hyperlink ref="E643" r:id="rId524" xr:uid="{28D0660F-B59C-4487-AD66-9254B051279E}"/>
    <hyperlink ref="E644" r:id="rId525" xr:uid="{9A865A02-070A-4AEC-8E03-86E22FB38379}"/>
    <hyperlink ref="E645" r:id="rId526" xr:uid="{853A0176-7959-46F0-96B2-62BB65138F0E}"/>
    <hyperlink ref="E646" r:id="rId527" xr:uid="{CA5190FC-5F32-449D-9618-487CE360F62A}"/>
    <hyperlink ref="E647" r:id="rId528" xr:uid="{3B163AEA-D212-4564-955E-280E2D387E3E}"/>
    <hyperlink ref="E648" r:id="rId529" xr:uid="{EB463306-E1C9-418A-AF52-F7D99BFDD41C}"/>
    <hyperlink ref="E649" r:id="rId530" xr:uid="{68E63C9F-D398-42FE-9DB8-C36F9CE26DE7}"/>
    <hyperlink ref="E650" r:id="rId531" xr:uid="{83F2DD6F-E246-460B-A0BF-636854F99AB9}"/>
    <hyperlink ref="E651" r:id="rId532" xr:uid="{E7F4D36F-4F52-4860-A1C6-870A6C0B2568}"/>
    <hyperlink ref="E652" r:id="rId533" xr:uid="{7F0BF083-27C3-474F-ACF3-56154C4043C8}"/>
    <hyperlink ref="E653" r:id="rId534" xr:uid="{C5A0C11A-3561-4854-8A8C-1EA919C73F39}"/>
    <hyperlink ref="E654" r:id="rId535" xr:uid="{89245B75-2F35-4CD5-9CA2-1D3ECB1244D1}"/>
    <hyperlink ref="E655" r:id="rId536" xr:uid="{D5A0FA3A-D618-47D5-9AB2-11FC3C7BD4D4}"/>
    <hyperlink ref="E656" r:id="rId537" xr:uid="{62949BFE-DB7E-4BE6-8FE1-E4C253C3518E}"/>
    <hyperlink ref="E657" r:id="rId538" xr:uid="{84A1240A-DFB2-47FC-AF59-017BF93DF68E}"/>
    <hyperlink ref="E658" r:id="rId539" xr:uid="{AB08BDC7-DC57-4F5F-8C35-CF8D5B96E3AF}"/>
    <hyperlink ref="E659" r:id="rId540" xr:uid="{9F71CB64-D571-424A-889C-0CA5E994656B}"/>
    <hyperlink ref="E660" r:id="rId541" xr:uid="{AC2AB4E1-D7DA-40F6-A16F-1B4B939551C5}"/>
    <hyperlink ref="E661" r:id="rId542" xr:uid="{96B514FF-A06C-4037-8766-22D95A85C958}"/>
    <hyperlink ref="E662" r:id="rId543" xr:uid="{8CF0A58F-3488-4923-BD0F-AD67A38CC33C}"/>
    <hyperlink ref="E663" r:id="rId544" xr:uid="{15022492-F7CE-42A1-B3BE-3B4F8F59A890}"/>
    <hyperlink ref="E664" r:id="rId545" xr:uid="{6D54ACD3-B743-49D3-8A4F-6A31599FFF81}"/>
    <hyperlink ref="E665" r:id="rId546" xr:uid="{CA2349F0-ABC6-4549-90C8-1BA2BA8535DB}"/>
    <hyperlink ref="E666" r:id="rId547" xr:uid="{78C2C166-EAA7-43B5-80A0-CC4DCB8E51B1}"/>
    <hyperlink ref="E667" r:id="rId548" xr:uid="{AAEF2294-988F-4E29-ABCE-60CF9351CCA0}"/>
    <hyperlink ref="E668" r:id="rId549" xr:uid="{F2D0FE2E-E092-4246-85A2-BE67E17AD4ED}"/>
    <hyperlink ref="E669" r:id="rId550" xr:uid="{B97ECF18-D4AC-495A-979C-179BA83E4667}"/>
    <hyperlink ref="E670" r:id="rId551" xr:uid="{19CFA3A9-5E85-467D-901D-FC66E7EE36E9}"/>
    <hyperlink ref="E671" r:id="rId552" xr:uid="{0CA8B33D-92DA-46B5-874E-8A6D4C977E47}"/>
    <hyperlink ref="E672" r:id="rId553" xr:uid="{3178BDB4-9995-45E3-A405-FDDD21BCFA5C}"/>
    <hyperlink ref="E673" r:id="rId554" xr:uid="{F7F062F0-304B-4F95-8E93-91C38C9856AC}"/>
    <hyperlink ref="E674" r:id="rId555" xr:uid="{99AF4BE5-C121-4A6E-AFBF-4D4C5F816C3D}"/>
    <hyperlink ref="E675" r:id="rId556" xr:uid="{61437ACA-6AF7-444F-93FA-9DDF168B5EA6}"/>
    <hyperlink ref="E676" r:id="rId557" xr:uid="{5832507C-FDD7-434C-902D-D0A9B83142FB}"/>
    <hyperlink ref="E677" r:id="rId558" xr:uid="{2D572546-0339-47DA-BABE-131CB6A016CB}"/>
    <hyperlink ref="E678" r:id="rId559" xr:uid="{DD01A012-1FD2-41C7-B95A-FE90FE50EEB0}"/>
    <hyperlink ref="E679" r:id="rId560" xr:uid="{2F0A05F6-D67E-4DDE-845B-718067309B88}"/>
    <hyperlink ref="E680" r:id="rId561" xr:uid="{EC813A54-6D89-4181-B6EF-C4616E4F79CE}"/>
    <hyperlink ref="E681" r:id="rId562" xr:uid="{8666254F-D046-4A3C-A1A6-A166BEE29F9D}"/>
    <hyperlink ref="E682" r:id="rId563" xr:uid="{CFA4C4CA-4096-48B6-ABB4-E10B10E8DC0E}"/>
    <hyperlink ref="E683" r:id="rId564" xr:uid="{1469CCF6-EBE3-4299-980B-73D5B0DF44AD}"/>
    <hyperlink ref="E684" r:id="rId565" xr:uid="{5D5D1A2E-022B-4922-84A7-9F4C0DA16BDA}"/>
    <hyperlink ref="E685" r:id="rId566" xr:uid="{A1C57F79-8636-43EF-B3F1-8C4D0BDADC0F}"/>
    <hyperlink ref="E479" r:id="rId567" xr:uid="{068BFA4C-B196-4728-91E4-C43D23AA0A2A}"/>
  </hyperlinks>
  <pageMargins left="0.7" right="0.7" top="0.75" bottom="0.75" header="0.3" footer="0.3"/>
  <pageSetup paperSize="9" orientation="portrait" r:id="rId5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EDF7F-BBA8-4DE2-ABF6-6B1C13C2D875}">
  <dimension ref="A1:AX228"/>
  <sheetViews>
    <sheetView zoomScale="70" zoomScaleNormal="70" workbookViewId="0">
      <pane xSplit="1" ySplit="2" topLeftCell="B3" activePane="bottomRight" state="frozen"/>
      <selection pane="topRight" activeCell="D1" sqref="D1"/>
      <selection pane="bottomLeft" activeCell="A3" sqref="A3"/>
      <selection pane="bottomRight" activeCell="A6" sqref="A6"/>
    </sheetView>
  </sheetViews>
  <sheetFormatPr defaultColWidth="9.109375" defaultRowHeight="15.6" x14ac:dyDescent="0.3"/>
  <cols>
    <col min="1" max="1" width="24.6640625" style="19" customWidth="1"/>
    <col min="2" max="2" width="14.44140625" style="71" customWidth="1"/>
    <col min="3" max="3" width="17.109375" style="19" customWidth="1"/>
    <col min="4" max="4" width="24.44140625" style="88" customWidth="1"/>
    <col min="5" max="5" width="22.5546875" style="65" customWidth="1"/>
    <col min="6" max="6" width="13" style="71" customWidth="1"/>
    <col min="7" max="7" width="30.88671875" style="19" customWidth="1"/>
    <col min="8" max="8" width="20.33203125" style="65" customWidth="1"/>
    <col min="9" max="9" width="30.88671875" style="65" customWidth="1"/>
    <col min="10" max="10" width="20.6640625" style="19" customWidth="1"/>
    <col min="11" max="11" width="21.44140625" style="19" customWidth="1"/>
    <col min="12" max="12" width="22" style="62" customWidth="1"/>
    <col min="13" max="13" width="23.33203125" style="19" customWidth="1"/>
    <col min="14" max="14" width="24.44140625" style="65" customWidth="1"/>
    <col min="15" max="15" width="35" style="65" customWidth="1"/>
    <col min="16" max="16" width="14.109375" style="65" customWidth="1"/>
    <col min="17" max="17" width="16.6640625" style="19" customWidth="1"/>
    <col min="18" max="18" width="15.6640625" style="19" customWidth="1"/>
    <col min="19" max="19" width="12.6640625" style="19" customWidth="1"/>
    <col min="20" max="20" width="15.33203125" style="66" customWidth="1"/>
    <col min="21" max="21" width="14.44140625" style="19" customWidth="1"/>
    <col min="22" max="22" width="15.33203125" style="71" customWidth="1"/>
    <col min="23" max="23" width="22.6640625" style="19" customWidth="1"/>
    <col min="24" max="24" width="15.33203125" style="19" customWidth="1"/>
    <col min="25" max="25" width="16.5546875" style="19" customWidth="1"/>
    <col min="26" max="26" width="23.6640625" style="19" customWidth="1"/>
    <col min="27" max="27" width="17.5546875" style="19" customWidth="1"/>
    <col min="28" max="28" width="24.6640625" style="19" customWidth="1"/>
    <col min="29" max="29" width="15.33203125" style="19" customWidth="1"/>
    <col min="30" max="30" width="14" style="19" customWidth="1"/>
    <col min="31" max="31" width="23.6640625" style="19" customWidth="1"/>
    <col min="32" max="32" width="17.5546875" style="19" customWidth="1"/>
    <col min="33" max="33" width="27.88671875" style="19" customWidth="1"/>
    <col min="34" max="34" width="15.33203125" style="62" customWidth="1"/>
    <col min="35" max="35" width="14" style="62" customWidth="1"/>
    <col min="36" max="36" width="23.6640625" style="62" customWidth="1"/>
    <col min="37" max="37" width="17.5546875" style="62" customWidth="1"/>
    <col min="38" max="38" width="24.6640625" style="62" customWidth="1"/>
    <col min="39" max="39" width="28.33203125" style="62" customWidth="1"/>
    <col min="40" max="40" width="24.5546875" style="62" customWidth="1"/>
    <col min="41" max="41" width="21" style="62" customWidth="1"/>
    <col min="42" max="42" width="30.88671875" style="65" customWidth="1"/>
    <col min="43" max="43" width="16.109375" style="71" customWidth="1"/>
    <col min="44" max="44" width="15.109375" style="71" customWidth="1"/>
    <col min="45" max="45" width="13.33203125" style="71" customWidth="1"/>
    <col min="46" max="46" width="13" style="71" customWidth="1"/>
    <col min="47" max="47" width="14.6640625" style="71" customWidth="1"/>
    <col min="48" max="48" width="12.88671875" style="89" customWidth="1"/>
    <col min="49" max="49" width="16.6640625" style="65" customWidth="1"/>
    <col min="50" max="16384" width="9.109375" style="19"/>
  </cols>
  <sheetData>
    <row r="1" spans="1:49"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row>
    <row r="2" spans="1:49" ht="40.950000000000003" customHeight="1" x14ac:dyDescent="0.3">
      <c r="A2" s="20"/>
      <c r="B2" s="21"/>
      <c r="C2" s="24"/>
      <c r="D2" s="25"/>
      <c r="E2" s="23"/>
      <c r="F2" s="22"/>
      <c r="G2" s="23"/>
      <c r="H2" s="23"/>
      <c r="I2" s="26"/>
      <c r="J2" s="27"/>
      <c r="K2" s="26"/>
      <c r="L2" s="26"/>
      <c r="M2" s="26"/>
      <c r="N2" s="28"/>
      <c r="O2" s="28"/>
      <c r="P2" s="28"/>
      <c r="Q2" s="26"/>
      <c r="R2" s="26"/>
      <c r="S2" s="27"/>
      <c r="T2" s="29"/>
      <c r="U2" s="27"/>
      <c r="V2" s="21"/>
      <c r="W2" s="30" t="s">
        <v>27</v>
      </c>
      <c r="X2" s="30" t="s">
        <v>28</v>
      </c>
      <c r="Y2" s="30" t="s">
        <v>29</v>
      </c>
      <c r="Z2" s="30" t="s">
        <v>30</v>
      </c>
      <c r="AA2" s="30" t="s">
        <v>31</v>
      </c>
      <c r="AB2" s="30" t="s">
        <v>32</v>
      </c>
      <c r="AC2" s="30" t="s">
        <v>33</v>
      </c>
      <c r="AD2" s="30" t="s">
        <v>29</v>
      </c>
      <c r="AE2" s="30" t="s">
        <v>30</v>
      </c>
      <c r="AF2" s="30" t="s">
        <v>31</v>
      </c>
      <c r="AG2" s="30" t="s">
        <v>32</v>
      </c>
      <c r="AH2" s="30" t="s">
        <v>34</v>
      </c>
      <c r="AI2" s="30" t="s">
        <v>29</v>
      </c>
      <c r="AJ2" s="30" t="s">
        <v>30</v>
      </c>
      <c r="AK2" s="30" t="s">
        <v>31</v>
      </c>
      <c r="AL2" s="30" t="s">
        <v>32</v>
      </c>
      <c r="AM2" s="30" t="s">
        <v>35</v>
      </c>
      <c r="AN2" s="30" t="s">
        <v>36</v>
      </c>
      <c r="AO2" s="30" t="s">
        <v>37</v>
      </c>
      <c r="AP2" s="31"/>
      <c r="AQ2" s="32" t="s">
        <v>28</v>
      </c>
      <c r="AR2" s="32" t="s">
        <v>33</v>
      </c>
      <c r="AS2" s="32" t="s">
        <v>34</v>
      </c>
      <c r="AT2" s="32" t="s">
        <v>28</v>
      </c>
      <c r="AU2" s="32" t="s">
        <v>33</v>
      </c>
      <c r="AV2" s="32" t="s">
        <v>34</v>
      </c>
      <c r="AW2" s="28"/>
    </row>
    <row r="3" spans="1:49" ht="44.25" customHeight="1" x14ac:dyDescent="0.3">
      <c r="A3" s="39" t="s">
        <v>211</v>
      </c>
      <c r="B3" s="36">
        <v>44432</v>
      </c>
      <c r="C3" s="37">
        <v>1416</v>
      </c>
      <c r="D3" s="39" t="s">
        <v>212</v>
      </c>
      <c r="E3" s="60" t="s">
        <v>213</v>
      </c>
      <c r="F3" s="36">
        <v>44475</v>
      </c>
      <c r="G3" s="39" t="s">
        <v>214</v>
      </c>
      <c r="H3" s="40" t="s">
        <v>186</v>
      </c>
      <c r="I3" s="40" t="s">
        <v>215</v>
      </c>
      <c r="J3" s="41">
        <v>5861480121</v>
      </c>
      <c r="K3" s="41">
        <v>3319597333.5</v>
      </c>
      <c r="L3" s="30">
        <v>3319597333.5</v>
      </c>
      <c r="M3" s="30">
        <v>6250337394</v>
      </c>
      <c r="N3" s="40" t="s">
        <v>216</v>
      </c>
      <c r="O3" s="40" t="s">
        <v>217</v>
      </c>
      <c r="P3" s="30" t="s">
        <v>218</v>
      </c>
      <c r="Q3" s="44">
        <v>0</v>
      </c>
      <c r="R3" s="48">
        <v>100</v>
      </c>
      <c r="S3" s="48" t="s">
        <v>219</v>
      </c>
      <c r="T3" s="40">
        <v>15</v>
      </c>
      <c r="U3" s="30">
        <v>3127.7416600712309</v>
      </c>
      <c r="V3" s="43">
        <v>46916.124901068462</v>
      </c>
      <c r="W3" s="41">
        <v>1061340</v>
      </c>
      <c r="X3" s="41">
        <v>497655</v>
      </c>
      <c r="Y3" s="41"/>
      <c r="Z3" s="41"/>
      <c r="AA3" s="41"/>
      <c r="AB3" s="41"/>
      <c r="AC3" s="41">
        <v>181245</v>
      </c>
      <c r="AD3" s="41"/>
      <c r="AE3" s="41"/>
      <c r="AF3" s="41"/>
      <c r="AG3" s="41"/>
      <c r="AH3" s="41">
        <v>382440</v>
      </c>
      <c r="AI3" s="41"/>
      <c r="AJ3" s="41"/>
      <c r="AK3" s="41"/>
      <c r="AL3" s="41"/>
      <c r="AM3" s="41">
        <v>0</v>
      </c>
      <c r="AN3" s="42">
        <v>70756</v>
      </c>
      <c r="AO3" s="55">
        <v>70756</v>
      </c>
      <c r="AP3" s="41"/>
      <c r="AQ3" s="36">
        <v>44681</v>
      </c>
      <c r="AR3" s="36">
        <v>44941</v>
      </c>
      <c r="AS3" s="36">
        <v>45046</v>
      </c>
      <c r="AT3" s="36">
        <v>44701</v>
      </c>
      <c r="AU3" s="36">
        <v>44941</v>
      </c>
      <c r="AV3" s="38">
        <v>45068</v>
      </c>
      <c r="AW3" s="56" t="s">
        <v>87</v>
      </c>
    </row>
    <row r="4" spans="1:49" ht="44.25" customHeight="1" x14ac:dyDescent="0.3">
      <c r="A4" s="39" t="s">
        <v>220</v>
      </c>
      <c r="B4" s="36">
        <v>44526</v>
      </c>
      <c r="C4" s="37">
        <v>1416</v>
      </c>
      <c r="D4" s="39" t="s">
        <v>221</v>
      </c>
      <c r="E4" s="61" t="s">
        <v>222</v>
      </c>
      <c r="F4" s="36">
        <v>44557</v>
      </c>
      <c r="G4" s="39" t="s">
        <v>223</v>
      </c>
      <c r="H4" s="40" t="s">
        <v>224</v>
      </c>
      <c r="I4" s="40" t="s">
        <v>225</v>
      </c>
      <c r="J4" s="41">
        <v>1425955476</v>
      </c>
      <c r="K4" s="41">
        <v>712977738</v>
      </c>
      <c r="L4" s="30">
        <v>712977738</v>
      </c>
      <c r="M4" s="30">
        <v>1425955476</v>
      </c>
      <c r="N4" s="40" t="s">
        <v>226</v>
      </c>
      <c r="O4" s="40" t="s">
        <v>227</v>
      </c>
      <c r="P4" s="30" t="s">
        <v>228</v>
      </c>
      <c r="Q4" s="44">
        <v>0</v>
      </c>
      <c r="R4" s="37">
        <v>100</v>
      </c>
      <c r="S4" s="48" t="s">
        <v>229</v>
      </c>
      <c r="T4" s="40">
        <v>500</v>
      </c>
      <c r="U4" s="30">
        <v>7.26</v>
      </c>
      <c r="V4" s="43">
        <v>3630</v>
      </c>
      <c r="W4" s="41">
        <v>196412600</v>
      </c>
      <c r="X4" s="48">
        <v>11520500</v>
      </c>
      <c r="Y4" s="48"/>
      <c r="Z4" s="48"/>
      <c r="AA4" s="48"/>
      <c r="AB4" s="48"/>
      <c r="AC4" s="48">
        <v>86685800</v>
      </c>
      <c r="AD4" s="48"/>
      <c r="AE4" s="48"/>
      <c r="AF4" s="48"/>
      <c r="AG4" s="48"/>
      <c r="AH4" s="41">
        <v>98206300</v>
      </c>
      <c r="AI4" s="41">
        <v>29547200</v>
      </c>
      <c r="AJ4" s="41">
        <v>214512672</v>
      </c>
      <c r="AK4" s="41">
        <v>68659100</v>
      </c>
      <c r="AL4" s="41">
        <v>498465066</v>
      </c>
      <c r="AM4" s="41">
        <v>214512672</v>
      </c>
      <c r="AN4" s="42">
        <v>392825.2</v>
      </c>
      <c r="AO4" s="55">
        <v>392826</v>
      </c>
      <c r="AP4" s="62"/>
      <c r="AQ4" s="36">
        <v>44607</v>
      </c>
      <c r="AR4" s="36">
        <v>44743</v>
      </c>
      <c r="AS4" s="36">
        <v>45108</v>
      </c>
      <c r="AT4" s="36">
        <v>44621</v>
      </c>
      <c r="AU4" s="36">
        <v>44757</v>
      </c>
      <c r="AV4" s="38">
        <v>45122</v>
      </c>
      <c r="AW4" s="56" t="s">
        <v>230</v>
      </c>
    </row>
    <row r="5" spans="1:49" ht="44.25" customHeight="1" x14ac:dyDescent="0.3">
      <c r="A5" s="39" t="s">
        <v>231</v>
      </c>
      <c r="B5" s="36">
        <v>44526</v>
      </c>
      <c r="C5" s="37">
        <v>1416</v>
      </c>
      <c r="D5" s="39" t="s">
        <v>232</v>
      </c>
      <c r="E5" s="61" t="s">
        <v>233</v>
      </c>
      <c r="F5" s="36">
        <v>44554</v>
      </c>
      <c r="G5" s="39" t="s">
        <v>234</v>
      </c>
      <c r="H5" s="40" t="s">
        <v>224</v>
      </c>
      <c r="I5" s="40" t="s">
        <v>235</v>
      </c>
      <c r="J5" s="41">
        <v>1744346141.8399999</v>
      </c>
      <c r="K5" s="41">
        <v>872173070.91999996</v>
      </c>
      <c r="L5" s="30">
        <v>872173070.91999996</v>
      </c>
      <c r="M5" s="30">
        <v>1744346141.8399999</v>
      </c>
      <c r="N5" s="40" t="s">
        <v>236</v>
      </c>
      <c r="O5" s="40" t="s">
        <v>237</v>
      </c>
      <c r="P5" s="30" t="s">
        <v>238</v>
      </c>
      <c r="Q5" s="44">
        <v>0</v>
      </c>
      <c r="R5" s="37">
        <v>100</v>
      </c>
      <c r="S5" s="48" t="s">
        <v>229</v>
      </c>
      <c r="T5" s="40" t="s">
        <v>239</v>
      </c>
      <c r="U5" s="30">
        <v>10.729999999999999</v>
      </c>
      <c r="V5" s="43" t="s">
        <v>240</v>
      </c>
      <c r="W5" s="41">
        <v>162567208</v>
      </c>
      <c r="X5" s="48">
        <v>33894400</v>
      </c>
      <c r="Y5" s="48"/>
      <c r="Z5" s="48"/>
      <c r="AA5" s="48"/>
      <c r="AB5" s="48"/>
      <c r="AC5" s="48">
        <v>47389204</v>
      </c>
      <c r="AD5" s="48"/>
      <c r="AE5" s="48"/>
      <c r="AF5" s="48"/>
      <c r="AG5" s="48"/>
      <c r="AH5" s="41">
        <v>81283604</v>
      </c>
      <c r="AI5" s="41">
        <v>18016800</v>
      </c>
      <c r="AJ5" s="41">
        <v>193320263.99999997</v>
      </c>
      <c r="AK5" s="41">
        <v>63266804</v>
      </c>
      <c r="AL5" s="41">
        <v>678852806.91999996</v>
      </c>
      <c r="AM5" s="41">
        <v>193320263.99999997</v>
      </c>
      <c r="AN5" s="63" t="s">
        <v>241</v>
      </c>
      <c r="AO5" s="64" t="s">
        <v>242</v>
      </c>
      <c r="AP5" s="62"/>
      <c r="AQ5" s="36">
        <v>44607</v>
      </c>
      <c r="AR5" s="36">
        <v>44743</v>
      </c>
      <c r="AS5" s="36">
        <v>45108</v>
      </c>
      <c r="AT5" s="36">
        <v>44621</v>
      </c>
      <c r="AU5" s="36">
        <v>44757</v>
      </c>
      <c r="AV5" s="38">
        <v>45122</v>
      </c>
      <c r="AW5" s="56" t="s">
        <v>87</v>
      </c>
    </row>
    <row r="6" spans="1:49" ht="143.25" customHeight="1" x14ac:dyDescent="0.3">
      <c r="A6" s="39" t="s">
        <v>243</v>
      </c>
      <c r="B6" s="36">
        <v>44526</v>
      </c>
      <c r="C6" s="37">
        <v>1416</v>
      </c>
      <c r="D6" s="39" t="s">
        <v>244</v>
      </c>
      <c r="E6" s="61" t="s">
        <v>245</v>
      </c>
      <c r="F6" s="36">
        <v>44554</v>
      </c>
      <c r="G6" s="39" t="s">
        <v>246</v>
      </c>
      <c r="H6" s="40" t="s">
        <v>224</v>
      </c>
      <c r="I6" s="40" t="s">
        <v>247</v>
      </c>
      <c r="J6" s="41">
        <v>5591158343.6800003</v>
      </c>
      <c r="K6" s="41">
        <v>2795579171.8400002</v>
      </c>
      <c r="L6" s="30">
        <v>2795579171.8400002</v>
      </c>
      <c r="M6" s="30">
        <v>5591158343.6800003</v>
      </c>
      <c r="N6" s="40" t="s">
        <v>226</v>
      </c>
      <c r="O6" s="40" t="s">
        <v>227</v>
      </c>
      <c r="P6" s="30" t="s">
        <v>228</v>
      </c>
      <c r="Q6" s="44">
        <v>0</v>
      </c>
      <c r="R6" s="37">
        <v>100</v>
      </c>
      <c r="S6" s="48" t="s">
        <v>229</v>
      </c>
      <c r="T6" s="65">
        <v>1000</v>
      </c>
      <c r="U6" s="30">
        <v>7.28</v>
      </c>
      <c r="V6" s="43">
        <v>7280</v>
      </c>
      <c r="W6" s="41">
        <v>768016256</v>
      </c>
      <c r="X6" s="48">
        <v>140833000</v>
      </c>
      <c r="Y6" s="48"/>
      <c r="Z6" s="48"/>
      <c r="AA6" s="48"/>
      <c r="AB6" s="48"/>
      <c r="AC6" s="48">
        <v>243175128</v>
      </c>
      <c r="AD6" s="48"/>
      <c r="AE6" s="48"/>
      <c r="AF6" s="48"/>
      <c r="AG6" s="48"/>
      <c r="AH6" s="41">
        <v>384008128</v>
      </c>
      <c r="AI6" s="41">
        <v>82576000</v>
      </c>
      <c r="AJ6" s="41">
        <v>601153280</v>
      </c>
      <c r="AK6" s="41">
        <v>301432128</v>
      </c>
      <c r="AL6" s="41">
        <v>2194425891.8400002</v>
      </c>
      <c r="AM6" s="41">
        <v>601153280</v>
      </c>
      <c r="AN6" s="42">
        <v>768016.25600000005</v>
      </c>
      <c r="AO6" s="55">
        <v>768017</v>
      </c>
      <c r="AP6" s="66"/>
      <c r="AQ6" s="36">
        <v>44607</v>
      </c>
      <c r="AR6" s="36">
        <v>44743</v>
      </c>
      <c r="AS6" s="36">
        <v>45108</v>
      </c>
      <c r="AT6" s="36">
        <v>44621</v>
      </c>
      <c r="AU6" s="36">
        <v>44757</v>
      </c>
      <c r="AV6" s="38">
        <v>45122</v>
      </c>
      <c r="AW6" s="56" t="s">
        <v>230</v>
      </c>
    </row>
    <row r="7" spans="1:49" ht="126" customHeight="1" x14ac:dyDescent="0.3">
      <c r="A7" s="39" t="s">
        <v>248</v>
      </c>
      <c r="B7" s="36">
        <v>44526</v>
      </c>
      <c r="C7" s="37">
        <v>1416</v>
      </c>
      <c r="D7" s="39" t="s">
        <v>249</v>
      </c>
      <c r="E7" s="60" t="s">
        <v>250</v>
      </c>
      <c r="F7" s="36">
        <v>44547</v>
      </c>
      <c r="G7" s="39" t="s">
        <v>251</v>
      </c>
      <c r="H7" s="40" t="s">
        <v>224</v>
      </c>
      <c r="I7" s="40" t="s">
        <v>252</v>
      </c>
      <c r="J7" s="41">
        <v>66010896</v>
      </c>
      <c r="K7" s="41">
        <v>33005448</v>
      </c>
      <c r="L7" s="30">
        <v>33005448</v>
      </c>
      <c r="M7" s="30">
        <v>66010896</v>
      </c>
      <c r="N7" s="40" t="s">
        <v>253</v>
      </c>
      <c r="O7" s="40" t="s">
        <v>254</v>
      </c>
      <c r="P7" s="30" t="s">
        <v>255</v>
      </c>
      <c r="Q7" s="44">
        <v>0</v>
      </c>
      <c r="R7" s="37">
        <v>100</v>
      </c>
      <c r="S7" s="48" t="s">
        <v>229</v>
      </c>
      <c r="T7" s="40">
        <v>250</v>
      </c>
      <c r="U7" s="30" t="e">
        <v>#REF!</v>
      </c>
      <c r="V7" s="43">
        <v>0</v>
      </c>
      <c r="W7" s="41">
        <v>8366400</v>
      </c>
      <c r="X7" s="48">
        <v>461750</v>
      </c>
      <c r="Y7" s="48"/>
      <c r="Z7" s="48"/>
      <c r="AA7" s="48"/>
      <c r="AB7" s="48"/>
      <c r="AC7" s="48">
        <v>3721450</v>
      </c>
      <c r="AD7" s="48"/>
      <c r="AE7" s="48"/>
      <c r="AF7" s="48"/>
      <c r="AG7" s="48"/>
      <c r="AH7" s="41">
        <v>4183200</v>
      </c>
      <c r="AI7" s="41">
        <v>2130450</v>
      </c>
      <c r="AJ7" s="41" t="e">
        <v>#REF!</v>
      </c>
      <c r="AK7" s="41">
        <v>2052750</v>
      </c>
      <c r="AL7" s="41" t="e">
        <v>#REF!</v>
      </c>
      <c r="AM7" s="41" t="e">
        <v>#REF!</v>
      </c>
      <c r="AN7" s="42">
        <v>33465.599999999999</v>
      </c>
      <c r="AO7" s="55">
        <v>33466</v>
      </c>
      <c r="AP7" s="55"/>
      <c r="AQ7" s="36">
        <v>44607</v>
      </c>
      <c r="AR7" s="36">
        <v>44743</v>
      </c>
      <c r="AS7" s="36">
        <v>45108</v>
      </c>
      <c r="AT7" s="36">
        <v>44621</v>
      </c>
      <c r="AU7" s="36">
        <v>44757</v>
      </c>
      <c r="AV7" s="38">
        <v>45122</v>
      </c>
      <c r="AW7" s="56" t="s">
        <v>87</v>
      </c>
    </row>
    <row r="8" spans="1:49" ht="126" customHeight="1" x14ac:dyDescent="0.3">
      <c r="A8" s="39" t="s">
        <v>256</v>
      </c>
      <c r="B8" s="36">
        <v>44526</v>
      </c>
      <c r="C8" s="37">
        <v>1416</v>
      </c>
      <c r="D8" s="39" t="s">
        <v>257</v>
      </c>
      <c r="E8" s="60" t="s">
        <v>258</v>
      </c>
      <c r="F8" s="36">
        <v>44547</v>
      </c>
      <c r="G8" s="39" t="s">
        <v>259</v>
      </c>
      <c r="H8" s="40" t="s">
        <v>224</v>
      </c>
      <c r="I8" s="40" t="s">
        <v>260</v>
      </c>
      <c r="J8" s="41">
        <v>6107220</v>
      </c>
      <c r="K8" s="41">
        <v>3053610</v>
      </c>
      <c r="L8" s="30">
        <v>3053610</v>
      </c>
      <c r="M8" s="30">
        <v>6107220</v>
      </c>
      <c r="N8" s="40" t="s">
        <v>261</v>
      </c>
      <c r="O8" s="40" t="s">
        <v>262</v>
      </c>
      <c r="P8" s="30" t="s">
        <v>263</v>
      </c>
      <c r="Q8" s="44">
        <v>0</v>
      </c>
      <c r="R8" s="37">
        <v>100</v>
      </c>
      <c r="S8" s="48" t="s">
        <v>229</v>
      </c>
      <c r="T8" s="40">
        <v>250</v>
      </c>
      <c r="U8" s="30" t="e">
        <v>#REF!</v>
      </c>
      <c r="V8" s="43">
        <v>0</v>
      </c>
      <c r="W8" s="41">
        <v>786000</v>
      </c>
      <c r="X8" s="48">
        <v>196500</v>
      </c>
      <c r="Y8" s="48"/>
      <c r="Z8" s="48"/>
      <c r="AA8" s="48"/>
      <c r="AB8" s="48"/>
      <c r="AC8" s="48">
        <v>196500</v>
      </c>
      <c r="AD8" s="48"/>
      <c r="AE8" s="48"/>
      <c r="AF8" s="48"/>
      <c r="AG8" s="48"/>
      <c r="AH8" s="41">
        <v>393000</v>
      </c>
      <c r="AI8" s="41">
        <v>196500</v>
      </c>
      <c r="AJ8" s="41" t="e">
        <v>#REF!</v>
      </c>
      <c r="AK8" s="41">
        <v>196500</v>
      </c>
      <c r="AL8" s="41" t="e">
        <v>#REF!</v>
      </c>
      <c r="AM8" s="41" t="e">
        <v>#REF!</v>
      </c>
      <c r="AN8" s="42">
        <v>3144</v>
      </c>
      <c r="AO8" s="55">
        <v>3144</v>
      </c>
      <c r="AP8" s="55"/>
      <c r="AQ8" s="36">
        <v>44607</v>
      </c>
      <c r="AR8" s="36">
        <v>44743</v>
      </c>
      <c r="AS8" s="36">
        <v>45108</v>
      </c>
      <c r="AT8" s="36">
        <v>44621</v>
      </c>
      <c r="AU8" s="36">
        <v>44757</v>
      </c>
      <c r="AV8" s="38">
        <v>45122</v>
      </c>
      <c r="AW8" s="56" t="s">
        <v>87</v>
      </c>
    </row>
    <row r="9" spans="1:49" ht="126" customHeight="1" x14ac:dyDescent="0.3">
      <c r="A9" s="39" t="s">
        <v>264</v>
      </c>
      <c r="B9" s="36">
        <v>44526</v>
      </c>
      <c r="C9" s="37">
        <v>1416</v>
      </c>
      <c r="D9" s="39" t="s">
        <v>265</v>
      </c>
      <c r="E9" s="61" t="s">
        <v>266</v>
      </c>
      <c r="F9" s="36">
        <v>44557</v>
      </c>
      <c r="G9" s="39" t="s">
        <v>267</v>
      </c>
      <c r="H9" s="40" t="s">
        <v>224</v>
      </c>
      <c r="I9" s="40" t="s">
        <v>268</v>
      </c>
      <c r="J9" s="41">
        <v>561912932</v>
      </c>
      <c r="K9" s="41">
        <v>280956466</v>
      </c>
      <c r="L9" s="30">
        <v>280956466</v>
      </c>
      <c r="M9" s="30">
        <v>561912932</v>
      </c>
      <c r="N9" s="40" t="s">
        <v>236</v>
      </c>
      <c r="O9" s="40" t="s">
        <v>237</v>
      </c>
      <c r="P9" s="30" t="s">
        <v>238</v>
      </c>
      <c r="Q9" s="44">
        <v>0</v>
      </c>
      <c r="R9" s="37">
        <v>100</v>
      </c>
      <c r="S9" s="48" t="s">
        <v>229</v>
      </c>
      <c r="T9" s="40" t="s">
        <v>269</v>
      </c>
      <c r="U9" s="30" t="e">
        <v>#REF!</v>
      </c>
      <c r="V9" s="43" t="s">
        <v>270</v>
      </c>
      <c r="W9" s="41">
        <v>52368400</v>
      </c>
      <c r="X9" s="48">
        <v>11609400</v>
      </c>
      <c r="Y9" s="48"/>
      <c r="Z9" s="48"/>
      <c r="AA9" s="48"/>
      <c r="AB9" s="48"/>
      <c r="AC9" s="48">
        <v>14574800</v>
      </c>
      <c r="AD9" s="48"/>
      <c r="AE9" s="48"/>
      <c r="AF9" s="48"/>
      <c r="AG9" s="48"/>
      <c r="AH9" s="41">
        <v>26184200</v>
      </c>
      <c r="AI9" s="41">
        <v>11329500</v>
      </c>
      <c r="AJ9" s="41" t="e">
        <v>#REF!</v>
      </c>
      <c r="AK9" s="41">
        <v>14854700</v>
      </c>
      <c r="AL9" s="41" t="e">
        <v>#REF!</v>
      </c>
      <c r="AM9" s="41" t="e">
        <v>#REF!</v>
      </c>
      <c r="AN9" s="63" t="s">
        <v>271</v>
      </c>
      <c r="AO9" s="55" t="s">
        <v>272</v>
      </c>
      <c r="AP9" s="55"/>
      <c r="AQ9" s="36">
        <v>44607</v>
      </c>
      <c r="AR9" s="36">
        <v>44743</v>
      </c>
      <c r="AS9" s="36">
        <v>45108</v>
      </c>
      <c r="AT9" s="36">
        <v>44621</v>
      </c>
      <c r="AU9" s="36">
        <v>44757</v>
      </c>
      <c r="AV9" s="38">
        <v>45122</v>
      </c>
      <c r="AW9" s="56" t="s">
        <v>87</v>
      </c>
    </row>
    <row r="10" spans="1:49" ht="126" customHeight="1" x14ac:dyDescent="0.3">
      <c r="A10" s="39" t="s">
        <v>273</v>
      </c>
      <c r="B10" s="36">
        <v>44539</v>
      </c>
      <c r="C10" s="37">
        <v>1416</v>
      </c>
      <c r="D10" s="39" t="s">
        <v>274</v>
      </c>
      <c r="E10" s="1" t="s">
        <v>275</v>
      </c>
      <c r="F10" s="36">
        <v>44560</v>
      </c>
      <c r="G10" s="39" t="s">
        <v>276</v>
      </c>
      <c r="H10" s="40" t="s">
        <v>224</v>
      </c>
      <c r="I10" s="40" t="s">
        <v>277</v>
      </c>
      <c r="J10" s="41">
        <v>151459075.84</v>
      </c>
      <c r="K10" s="41">
        <v>75729537.920000002</v>
      </c>
      <c r="L10" s="30">
        <v>75729537.920000002</v>
      </c>
      <c r="M10" s="30">
        <v>151459075.84</v>
      </c>
      <c r="N10" s="40" t="s">
        <v>278</v>
      </c>
      <c r="O10" s="40" t="s">
        <v>279</v>
      </c>
      <c r="P10" s="37" t="s">
        <v>47</v>
      </c>
      <c r="Q10" s="44">
        <v>100</v>
      </c>
      <c r="R10" s="37">
        <v>0</v>
      </c>
      <c r="S10" s="48" t="s">
        <v>200</v>
      </c>
      <c r="T10" s="40">
        <v>60</v>
      </c>
      <c r="U10" s="30">
        <v>55.84</v>
      </c>
      <c r="V10" s="43">
        <v>3350.4</v>
      </c>
      <c r="W10" s="41">
        <v>2712376</v>
      </c>
      <c r="X10" s="41">
        <v>1356188</v>
      </c>
      <c r="Y10" s="41"/>
      <c r="Z10" s="41">
        <v>0</v>
      </c>
      <c r="AA10" s="41"/>
      <c r="AB10" s="41">
        <v>0</v>
      </c>
      <c r="AC10" s="41">
        <v>1140000</v>
      </c>
      <c r="AD10" s="41">
        <v>49380</v>
      </c>
      <c r="AE10" s="41">
        <v>2757379.2</v>
      </c>
      <c r="AF10" s="41">
        <v>1090620</v>
      </c>
      <c r="AG10" s="41">
        <v>60900220.800000004</v>
      </c>
      <c r="AH10" s="41">
        <v>216188</v>
      </c>
      <c r="AI10" s="41">
        <v>9180</v>
      </c>
      <c r="AJ10" s="41">
        <v>512611.2</v>
      </c>
      <c r="AK10" s="41">
        <v>207008</v>
      </c>
      <c r="AL10" s="41">
        <v>11559326.720000001</v>
      </c>
      <c r="AM10" s="41">
        <v>3269990.4000000004</v>
      </c>
      <c r="AN10" s="42">
        <v>45206.26666666667</v>
      </c>
      <c r="AO10" s="55">
        <v>45207</v>
      </c>
      <c r="AP10" s="37"/>
      <c r="AQ10" s="36">
        <v>44621</v>
      </c>
      <c r="AR10" s="36">
        <v>44713</v>
      </c>
      <c r="AS10" s="36" t="s">
        <v>280</v>
      </c>
      <c r="AT10" s="36">
        <v>44635</v>
      </c>
      <c r="AU10" s="36">
        <v>44727</v>
      </c>
      <c r="AV10" s="38" t="s">
        <v>281</v>
      </c>
      <c r="AW10" s="33" t="s">
        <v>87</v>
      </c>
    </row>
    <row r="11" spans="1:49" ht="126" customHeight="1" x14ac:dyDescent="0.3">
      <c r="A11" s="39" t="s">
        <v>282</v>
      </c>
      <c r="B11" s="36">
        <v>44540</v>
      </c>
      <c r="C11" s="37">
        <v>1416</v>
      </c>
      <c r="D11" s="39" t="s">
        <v>283</v>
      </c>
      <c r="E11" s="1" t="s">
        <v>284</v>
      </c>
      <c r="F11" s="36">
        <v>44571</v>
      </c>
      <c r="G11" s="39" t="s">
        <v>285</v>
      </c>
      <c r="H11" s="40" t="s">
        <v>224</v>
      </c>
      <c r="I11" s="40" t="s">
        <v>286</v>
      </c>
      <c r="J11" s="41">
        <v>82079104.319999993</v>
      </c>
      <c r="K11" s="41">
        <v>41039552.159999996</v>
      </c>
      <c r="L11" s="30">
        <v>41039552.159999996</v>
      </c>
      <c r="M11" s="30">
        <v>82079104.319999993</v>
      </c>
      <c r="N11" s="40" t="s">
        <v>278</v>
      </c>
      <c r="O11" s="40" t="s">
        <v>287</v>
      </c>
      <c r="P11" s="37" t="s">
        <v>47</v>
      </c>
      <c r="Q11" s="44">
        <v>100</v>
      </c>
      <c r="R11" s="37">
        <v>0</v>
      </c>
      <c r="S11" s="48" t="s">
        <v>200</v>
      </c>
      <c r="T11" s="40">
        <v>60</v>
      </c>
      <c r="U11" s="30">
        <v>167.51999999999998</v>
      </c>
      <c r="V11" s="43">
        <v>10051.199999999999</v>
      </c>
      <c r="W11" s="41">
        <v>489966</v>
      </c>
      <c r="X11" s="41">
        <v>244983</v>
      </c>
      <c r="Y11" s="41"/>
      <c r="Z11" s="41">
        <v>0</v>
      </c>
      <c r="AA11" s="41"/>
      <c r="AB11" s="41">
        <v>0</v>
      </c>
      <c r="AC11" s="41">
        <v>244983</v>
      </c>
      <c r="AD11" s="41">
        <v>6000</v>
      </c>
      <c r="AE11" s="41">
        <v>1005119.9999999999</v>
      </c>
      <c r="AF11" s="41">
        <v>238983</v>
      </c>
      <c r="AG11" s="41">
        <v>40034432.159999996</v>
      </c>
      <c r="AH11" s="41"/>
      <c r="AI11" s="41"/>
      <c r="AJ11" s="41">
        <v>0</v>
      </c>
      <c r="AK11" s="41"/>
      <c r="AL11" s="41">
        <v>0</v>
      </c>
      <c r="AM11" s="41">
        <v>1005119.9999999999</v>
      </c>
      <c r="AN11" s="42">
        <v>8166.1</v>
      </c>
      <c r="AO11" s="55">
        <v>8167</v>
      </c>
      <c r="AP11" s="37"/>
      <c r="AQ11" s="36">
        <v>44713</v>
      </c>
      <c r="AR11" s="36">
        <v>45078</v>
      </c>
      <c r="AS11" s="36"/>
      <c r="AT11" s="36">
        <v>44727</v>
      </c>
      <c r="AU11" s="36">
        <v>45092</v>
      </c>
      <c r="AV11" s="38"/>
      <c r="AW11" s="40" t="s">
        <v>87</v>
      </c>
    </row>
    <row r="12" spans="1:49" ht="126" customHeight="1" x14ac:dyDescent="0.3">
      <c r="A12" s="39" t="s">
        <v>288</v>
      </c>
      <c r="B12" s="36">
        <v>44540</v>
      </c>
      <c r="C12" s="37">
        <v>1416</v>
      </c>
      <c r="D12" s="39" t="s">
        <v>289</v>
      </c>
      <c r="E12" s="1" t="s">
        <v>290</v>
      </c>
      <c r="F12" s="36">
        <v>44573</v>
      </c>
      <c r="G12" s="39" t="s">
        <v>291</v>
      </c>
      <c r="H12" s="40" t="s">
        <v>224</v>
      </c>
      <c r="I12" s="40" t="s">
        <v>292</v>
      </c>
      <c r="J12" s="41">
        <v>329857377.92000002</v>
      </c>
      <c r="K12" s="41">
        <v>164928688.96000001</v>
      </c>
      <c r="L12" s="30">
        <v>164928688.96000001</v>
      </c>
      <c r="M12" s="30">
        <v>329857377.92000002</v>
      </c>
      <c r="N12" s="40" t="s">
        <v>278</v>
      </c>
      <c r="O12" s="40" t="s">
        <v>293</v>
      </c>
      <c r="P12" s="37" t="s">
        <v>47</v>
      </c>
      <c r="Q12" s="44">
        <v>100</v>
      </c>
      <c r="R12" s="37">
        <v>0</v>
      </c>
      <c r="S12" s="48" t="s">
        <v>200</v>
      </c>
      <c r="T12" s="40">
        <v>60</v>
      </c>
      <c r="U12" s="30">
        <v>111.68</v>
      </c>
      <c r="V12" s="43">
        <v>6700.8</v>
      </c>
      <c r="W12" s="41">
        <v>2953594</v>
      </c>
      <c r="X12" s="41">
        <v>1140000</v>
      </c>
      <c r="Y12" s="41"/>
      <c r="Z12" s="41">
        <v>0</v>
      </c>
      <c r="AA12" s="41"/>
      <c r="AB12" s="41">
        <v>0</v>
      </c>
      <c r="AC12" s="41">
        <v>336797</v>
      </c>
      <c r="AD12" s="41">
        <v>30900</v>
      </c>
      <c r="AE12" s="41">
        <v>3450912</v>
      </c>
      <c r="AF12" s="41">
        <v>1109100</v>
      </c>
      <c r="AG12" s="41">
        <v>123864288.00000001</v>
      </c>
      <c r="AH12" s="41">
        <v>1476797</v>
      </c>
      <c r="AI12" s="41">
        <v>8940</v>
      </c>
      <c r="AJ12" s="41">
        <v>998419.20000000007</v>
      </c>
      <c r="AK12" s="41">
        <v>327857</v>
      </c>
      <c r="AL12" s="41">
        <v>36615069.760000005</v>
      </c>
      <c r="AM12" s="41">
        <v>4449331.2000000002</v>
      </c>
      <c r="AN12" s="42">
        <v>49226.566666666666</v>
      </c>
      <c r="AO12" s="55">
        <v>49227</v>
      </c>
      <c r="AP12" s="37"/>
      <c r="AQ12" s="36">
        <v>44621</v>
      </c>
      <c r="AR12" s="36">
        <v>44713</v>
      </c>
      <c r="AS12" s="36" t="s">
        <v>280</v>
      </c>
      <c r="AT12" s="36">
        <v>44635</v>
      </c>
      <c r="AU12" s="36">
        <v>44727</v>
      </c>
      <c r="AV12" s="38" t="s">
        <v>281</v>
      </c>
      <c r="AW12" s="40" t="s">
        <v>87</v>
      </c>
    </row>
    <row r="13" spans="1:49" ht="72" x14ac:dyDescent="0.3">
      <c r="A13" s="39" t="s">
        <v>294</v>
      </c>
      <c r="B13" s="36">
        <v>44580</v>
      </c>
      <c r="C13" s="37">
        <v>1416</v>
      </c>
      <c r="D13" s="39" t="s">
        <v>295</v>
      </c>
      <c r="E13" s="1" t="s">
        <v>296</v>
      </c>
      <c r="F13" s="36">
        <v>44617</v>
      </c>
      <c r="G13" s="37" t="s">
        <v>297</v>
      </c>
      <c r="H13" s="40" t="s">
        <v>177</v>
      </c>
      <c r="I13" s="40" t="s">
        <v>298</v>
      </c>
      <c r="J13" s="41">
        <v>765023068.5</v>
      </c>
      <c r="K13" s="41">
        <v>255007689.5</v>
      </c>
      <c r="L13" s="30">
        <v>255007689.5</v>
      </c>
      <c r="M13" s="30">
        <v>765023068.5</v>
      </c>
      <c r="N13" s="40" t="s">
        <v>299</v>
      </c>
      <c r="O13" s="40" t="s">
        <v>300</v>
      </c>
      <c r="P13" s="40" t="s">
        <v>199</v>
      </c>
      <c r="Q13" s="37">
        <v>0</v>
      </c>
      <c r="R13" s="37">
        <v>100</v>
      </c>
      <c r="S13" s="37" t="s">
        <v>200</v>
      </c>
      <c r="T13" s="48"/>
      <c r="U13" s="30">
        <v>295.37</v>
      </c>
      <c r="V13" s="41">
        <v>0</v>
      </c>
      <c r="W13" s="41">
        <v>2590050</v>
      </c>
      <c r="X13" s="41">
        <v>863350</v>
      </c>
      <c r="Y13" s="41"/>
      <c r="Z13" s="41"/>
      <c r="AA13" s="41"/>
      <c r="AB13" s="41"/>
      <c r="AC13" s="41">
        <v>863350</v>
      </c>
      <c r="AD13" s="41">
        <v>20300</v>
      </c>
      <c r="AE13" s="41">
        <v>5996011</v>
      </c>
      <c r="AF13" s="41">
        <v>843050</v>
      </c>
      <c r="AG13" s="41">
        <v>249011678.5</v>
      </c>
      <c r="AH13" s="41">
        <v>863350</v>
      </c>
      <c r="AI13" s="41"/>
      <c r="AJ13" s="41"/>
      <c r="AK13" s="41"/>
      <c r="AL13" s="41"/>
      <c r="AM13" s="41">
        <v>5996011</v>
      </c>
      <c r="AN13" s="42" t="e">
        <v>#DIV/0!</v>
      </c>
      <c r="AO13" s="55" t="e">
        <v>#DIV/0!</v>
      </c>
      <c r="AP13" s="40" t="s">
        <v>301</v>
      </c>
      <c r="AQ13" s="36">
        <v>44682</v>
      </c>
      <c r="AR13" s="36">
        <v>45047</v>
      </c>
      <c r="AS13" s="36">
        <v>45413</v>
      </c>
      <c r="AT13" s="36">
        <v>44696</v>
      </c>
      <c r="AU13" s="36">
        <v>45061</v>
      </c>
      <c r="AV13" s="38">
        <v>45427</v>
      </c>
      <c r="AW13" s="40" t="s">
        <v>302</v>
      </c>
    </row>
    <row r="14" spans="1:49" ht="165.75" customHeight="1" x14ac:dyDescent="0.3">
      <c r="A14" s="39" t="s">
        <v>303</v>
      </c>
      <c r="B14" s="36">
        <v>44580</v>
      </c>
      <c r="C14" s="37">
        <v>1416</v>
      </c>
      <c r="D14" s="39" t="s">
        <v>304</v>
      </c>
      <c r="E14" s="1" t="s">
        <v>305</v>
      </c>
      <c r="F14" s="36">
        <v>44617</v>
      </c>
      <c r="G14" s="37" t="s">
        <v>306</v>
      </c>
      <c r="H14" s="40" t="s">
        <v>177</v>
      </c>
      <c r="I14" s="40" t="s">
        <v>307</v>
      </c>
      <c r="J14" s="41">
        <v>659336242.5</v>
      </c>
      <c r="K14" s="41">
        <v>219778747.5</v>
      </c>
      <c r="L14" s="30">
        <v>219778747.5</v>
      </c>
      <c r="M14" s="30">
        <v>659336242.5</v>
      </c>
      <c r="N14" s="40" t="s">
        <v>299</v>
      </c>
      <c r="O14" s="40" t="s">
        <v>300</v>
      </c>
      <c r="P14" s="40" t="s">
        <v>199</v>
      </c>
      <c r="Q14" s="37">
        <v>0</v>
      </c>
      <c r="R14" s="37">
        <v>100</v>
      </c>
      <c r="S14" s="37" t="s">
        <v>200</v>
      </c>
      <c r="T14" s="48">
        <v>50</v>
      </c>
      <c r="U14" s="30">
        <v>27.55</v>
      </c>
      <c r="V14" s="41">
        <v>1377.5</v>
      </c>
      <c r="W14" s="41">
        <v>23932350</v>
      </c>
      <c r="X14" s="41">
        <v>7977450</v>
      </c>
      <c r="Y14" s="41"/>
      <c r="Z14" s="41"/>
      <c r="AA14" s="41"/>
      <c r="AB14" s="41"/>
      <c r="AC14" s="41">
        <v>7977450</v>
      </c>
      <c r="AD14" s="41">
        <v>167650</v>
      </c>
      <c r="AE14" s="41">
        <v>4618757.5</v>
      </c>
      <c r="AF14" s="41">
        <v>7809800</v>
      </c>
      <c r="AG14" s="41">
        <v>215159990</v>
      </c>
      <c r="AH14" s="41">
        <v>7977450</v>
      </c>
      <c r="AI14" s="41"/>
      <c r="AJ14" s="41"/>
      <c r="AK14" s="41"/>
      <c r="AL14" s="41"/>
      <c r="AM14" s="41">
        <v>4618757.5</v>
      </c>
      <c r="AN14" s="42">
        <v>478647</v>
      </c>
      <c r="AO14" s="55">
        <v>478647</v>
      </c>
      <c r="AP14" s="37"/>
      <c r="AQ14" s="36">
        <v>44682</v>
      </c>
      <c r="AR14" s="36">
        <v>45047</v>
      </c>
      <c r="AS14" s="36">
        <v>45413</v>
      </c>
      <c r="AT14" s="36">
        <v>44696</v>
      </c>
      <c r="AU14" s="36">
        <v>45061</v>
      </c>
      <c r="AV14" s="38">
        <v>45427</v>
      </c>
      <c r="AW14" s="40" t="s">
        <v>230</v>
      </c>
    </row>
    <row r="15" spans="1:49" ht="137.25" customHeight="1" x14ac:dyDescent="0.3">
      <c r="A15" s="39" t="s">
        <v>308</v>
      </c>
      <c r="B15" s="36">
        <v>44580</v>
      </c>
      <c r="C15" s="37">
        <v>1416</v>
      </c>
      <c r="D15" s="39" t="s">
        <v>309</v>
      </c>
      <c r="E15" s="1" t="s">
        <v>310</v>
      </c>
      <c r="F15" s="36">
        <v>44616</v>
      </c>
      <c r="G15" s="39" t="s">
        <v>311</v>
      </c>
      <c r="H15" s="40" t="s">
        <v>177</v>
      </c>
      <c r="I15" s="40" t="s">
        <v>312</v>
      </c>
      <c r="J15" s="41">
        <v>2656156119</v>
      </c>
      <c r="K15" s="41">
        <v>885385373</v>
      </c>
      <c r="L15" s="30">
        <v>885385373</v>
      </c>
      <c r="M15" s="30">
        <v>2656156119</v>
      </c>
      <c r="N15" s="40" t="s">
        <v>299</v>
      </c>
      <c r="O15" s="40" t="s">
        <v>300</v>
      </c>
      <c r="P15" s="40" t="s">
        <v>199</v>
      </c>
      <c r="Q15" s="37">
        <v>0</v>
      </c>
      <c r="R15" s="37">
        <v>100</v>
      </c>
      <c r="S15" s="37" t="s">
        <v>200</v>
      </c>
      <c r="U15" s="30">
        <v>59.81</v>
      </c>
      <c r="V15" s="41">
        <v>0</v>
      </c>
      <c r="W15" s="41">
        <v>44409900</v>
      </c>
      <c r="X15" s="41">
        <v>14803300</v>
      </c>
      <c r="Y15" s="41"/>
      <c r="Z15" s="41"/>
      <c r="AA15" s="41"/>
      <c r="AB15" s="41"/>
      <c r="AC15" s="41">
        <v>14803300</v>
      </c>
      <c r="AD15" s="41">
        <v>298600</v>
      </c>
      <c r="AE15" s="41">
        <v>17859266</v>
      </c>
      <c r="AF15" s="41">
        <v>14504700</v>
      </c>
      <c r="AG15" s="41">
        <v>867526107</v>
      </c>
      <c r="AH15" s="41">
        <v>14803300</v>
      </c>
      <c r="AI15" s="41"/>
      <c r="AJ15" s="41"/>
      <c r="AK15" s="41"/>
      <c r="AL15" s="41"/>
      <c r="AM15" s="41">
        <v>17859266</v>
      </c>
      <c r="AN15" s="41">
        <v>19.936666666666667</v>
      </c>
      <c r="AO15" s="41">
        <v>20</v>
      </c>
      <c r="AQ15" s="36">
        <v>44682</v>
      </c>
      <c r="AR15" s="36">
        <v>45047</v>
      </c>
      <c r="AS15" s="36">
        <v>45413</v>
      </c>
      <c r="AT15" s="36">
        <v>44696</v>
      </c>
      <c r="AU15" s="36">
        <v>45061</v>
      </c>
      <c r="AV15" s="38">
        <v>45427</v>
      </c>
      <c r="AW15" s="40" t="s">
        <v>302</v>
      </c>
    </row>
    <row r="16" spans="1:49" ht="169.5" customHeight="1" x14ac:dyDescent="0.3">
      <c r="A16" s="39" t="s">
        <v>313</v>
      </c>
      <c r="B16" s="36">
        <v>44670</v>
      </c>
      <c r="C16" s="37">
        <v>1416</v>
      </c>
      <c r="D16" s="39" t="s">
        <v>314</v>
      </c>
      <c r="E16" s="1" t="s">
        <v>315</v>
      </c>
      <c r="F16" s="36">
        <v>44712</v>
      </c>
      <c r="G16" s="39" t="s">
        <v>316</v>
      </c>
      <c r="H16" s="40" t="s">
        <v>177</v>
      </c>
      <c r="I16" s="40" t="s">
        <v>317</v>
      </c>
      <c r="J16" s="41">
        <v>5314027089.6000004</v>
      </c>
      <c r="K16" s="41">
        <v>5314027089.6000004</v>
      </c>
      <c r="L16" s="30">
        <v>5314027089.6000004</v>
      </c>
      <c r="M16" s="30">
        <v>5314027089.6000004</v>
      </c>
      <c r="N16" s="40" t="s">
        <v>318</v>
      </c>
      <c r="O16" s="40" t="s">
        <v>319</v>
      </c>
      <c r="P16" s="40" t="s">
        <v>218</v>
      </c>
      <c r="Q16" s="37">
        <v>0</v>
      </c>
      <c r="R16" s="37">
        <v>100</v>
      </c>
      <c r="S16" s="37" t="s">
        <v>219</v>
      </c>
      <c r="T16" s="48">
        <v>10</v>
      </c>
      <c r="U16" s="30">
        <v>25791.24</v>
      </c>
      <c r="V16" s="41">
        <v>257912.40000000002</v>
      </c>
      <c r="W16" s="41">
        <v>206040</v>
      </c>
      <c r="X16" s="41">
        <v>130000</v>
      </c>
      <c r="Y16" s="41"/>
      <c r="Z16" s="41"/>
      <c r="AA16" s="41"/>
      <c r="AB16" s="41"/>
      <c r="AC16" s="41">
        <v>76040</v>
      </c>
      <c r="AD16" s="41">
        <v>320</v>
      </c>
      <c r="AE16" s="41">
        <v>8253196.8000000007</v>
      </c>
      <c r="AF16" s="41">
        <v>75720</v>
      </c>
      <c r="AG16" s="41">
        <v>1952912692.8000002</v>
      </c>
      <c r="AH16" s="41"/>
      <c r="AI16" s="41"/>
      <c r="AJ16" s="41"/>
      <c r="AK16" s="41"/>
      <c r="AL16" s="41"/>
      <c r="AM16" s="41">
        <v>8253196.8000000007</v>
      </c>
      <c r="AN16" s="41">
        <v>20604</v>
      </c>
      <c r="AO16" s="41">
        <v>20604</v>
      </c>
      <c r="AP16" s="40"/>
      <c r="AQ16" s="36">
        <v>44936</v>
      </c>
      <c r="AR16" s="36">
        <v>44986</v>
      </c>
      <c r="AS16" s="36"/>
      <c r="AT16" s="36">
        <v>44941</v>
      </c>
      <c r="AU16" s="36">
        <v>45000</v>
      </c>
      <c r="AV16" s="38"/>
      <c r="AW16" s="40" t="s">
        <v>87</v>
      </c>
    </row>
    <row r="17" spans="1:49" ht="70.5" customHeight="1" x14ac:dyDescent="0.3">
      <c r="A17" s="39" t="s">
        <v>320</v>
      </c>
      <c r="B17" s="36">
        <v>44670</v>
      </c>
      <c r="C17" s="37">
        <v>1416</v>
      </c>
      <c r="D17" s="39" t="s">
        <v>321</v>
      </c>
      <c r="E17" s="1" t="s">
        <v>322</v>
      </c>
      <c r="F17" s="36">
        <v>44707</v>
      </c>
      <c r="G17" s="39" t="s">
        <v>323</v>
      </c>
      <c r="H17" s="40" t="s">
        <v>186</v>
      </c>
      <c r="I17" s="40" t="s">
        <v>324</v>
      </c>
      <c r="J17" s="41">
        <v>2135775810</v>
      </c>
      <c r="K17" s="41">
        <v>2135775810</v>
      </c>
      <c r="L17" s="30">
        <v>2135775810</v>
      </c>
      <c r="M17" s="30">
        <v>2135775810</v>
      </c>
      <c r="N17" s="40" t="s">
        <v>325</v>
      </c>
      <c r="O17" s="40" t="s">
        <v>326</v>
      </c>
      <c r="P17" s="40" t="s">
        <v>47</v>
      </c>
      <c r="Q17" s="37">
        <v>100</v>
      </c>
      <c r="R17" s="37">
        <v>0</v>
      </c>
      <c r="S17" s="37" t="s">
        <v>229</v>
      </c>
      <c r="T17" s="48">
        <v>1000</v>
      </c>
      <c r="U17" s="30">
        <v>12.39</v>
      </c>
      <c r="V17" s="41">
        <v>12390</v>
      </c>
      <c r="W17" s="41">
        <v>172379000</v>
      </c>
      <c r="X17" s="41">
        <v>86190000</v>
      </c>
      <c r="Y17" s="41"/>
      <c r="Z17" s="41"/>
      <c r="AA17" s="41"/>
      <c r="AB17" s="41"/>
      <c r="AC17" s="41">
        <v>86189000</v>
      </c>
      <c r="AD17" s="41">
        <v>1586000</v>
      </c>
      <c r="AE17" s="41">
        <v>19650540</v>
      </c>
      <c r="AF17" s="41">
        <v>84603000</v>
      </c>
      <c r="AG17" s="41">
        <v>1048231170</v>
      </c>
      <c r="AH17" s="41"/>
      <c r="AI17" s="41"/>
      <c r="AJ17" s="41"/>
      <c r="AK17" s="41"/>
      <c r="AL17" s="41"/>
      <c r="AM17" s="41">
        <v>19650540</v>
      </c>
      <c r="AN17" s="41">
        <v>172379</v>
      </c>
      <c r="AO17" s="41">
        <v>172379</v>
      </c>
      <c r="AP17" s="40"/>
      <c r="AQ17" s="36">
        <v>44958</v>
      </c>
      <c r="AR17" s="36">
        <v>45017</v>
      </c>
      <c r="AS17" s="36"/>
      <c r="AT17" s="36">
        <v>44972</v>
      </c>
      <c r="AU17" s="36">
        <v>45031</v>
      </c>
      <c r="AV17" s="38"/>
      <c r="AW17" s="40" t="s">
        <v>87</v>
      </c>
    </row>
    <row r="18" spans="1:49" ht="81.599999999999994" customHeight="1" x14ac:dyDescent="0.3">
      <c r="A18" s="39" t="s">
        <v>327</v>
      </c>
      <c r="B18" s="36">
        <v>44670</v>
      </c>
      <c r="C18" s="37">
        <v>1416</v>
      </c>
      <c r="D18" s="39" t="s">
        <v>328</v>
      </c>
      <c r="E18" s="1" t="s">
        <v>329</v>
      </c>
      <c r="F18" s="36">
        <v>44704</v>
      </c>
      <c r="G18" s="39" t="s">
        <v>330</v>
      </c>
      <c r="H18" s="40" t="s">
        <v>186</v>
      </c>
      <c r="I18" s="40" t="s">
        <v>331</v>
      </c>
      <c r="J18" s="41">
        <v>370128760</v>
      </c>
      <c r="K18" s="41">
        <v>370128760</v>
      </c>
      <c r="L18" s="30">
        <v>370128760</v>
      </c>
      <c r="M18" s="30">
        <v>370128760</v>
      </c>
      <c r="N18" s="40" t="s">
        <v>325</v>
      </c>
      <c r="O18" s="40" t="s">
        <v>332</v>
      </c>
      <c r="P18" s="40" t="s">
        <v>47</v>
      </c>
      <c r="Q18" s="37">
        <v>100</v>
      </c>
      <c r="R18" s="37">
        <v>0</v>
      </c>
      <c r="S18" s="37" t="s">
        <v>229</v>
      </c>
      <c r="T18" s="48">
        <v>500</v>
      </c>
      <c r="U18" s="30">
        <v>12.52</v>
      </c>
      <c r="V18" s="41">
        <v>6260</v>
      </c>
      <c r="W18" s="41">
        <v>29563000</v>
      </c>
      <c r="X18" s="41">
        <v>14781500</v>
      </c>
      <c r="Y18" s="41"/>
      <c r="Z18" s="41"/>
      <c r="AA18" s="41"/>
      <c r="AB18" s="41"/>
      <c r="AC18" s="41">
        <v>14781500</v>
      </c>
      <c r="AD18" s="41"/>
      <c r="AE18" s="41"/>
      <c r="AF18" s="41"/>
      <c r="AG18" s="41"/>
      <c r="AH18" s="41"/>
      <c r="AI18" s="41"/>
      <c r="AJ18" s="41"/>
      <c r="AK18" s="41"/>
      <c r="AL18" s="41"/>
      <c r="AM18" s="41">
        <v>0</v>
      </c>
      <c r="AN18" s="41">
        <v>59126</v>
      </c>
      <c r="AO18" s="41">
        <v>59126</v>
      </c>
      <c r="AP18" s="40"/>
      <c r="AQ18" s="36">
        <v>44958</v>
      </c>
      <c r="AR18" s="36">
        <v>45017</v>
      </c>
      <c r="AS18" s="36"/>
      <c r="AT18" s="36">
        <v>44972</v>
      </c>
      <c r="AU18" s="36">
        <v>45397</v>
      </c>
      <c r="AV18" s="38"/>
      <c r="AW18" s="40" t="s">
        <v>87</v>
      </c>
    </row>
    <row r="19" spans="1:49" ht="72" x14ac:dyDescent="0.3">
      <c r="A19" s="39" t="s">
        <v>333</v>
      </c>
      <c r="B19" s="36">
        <v>44670</v>
      </c>
      <c r="C19" s="37">
        <v>1416</v>
      </c>
      <c r="D19" s="39" t="s">
        <v>334</v>
      </c>
      <c r="E19" s="1" t="s">
        <v>335</v>
      </c>
      <c r="F19" s="36">
        <v>44707</v>
      </c>
      <c r="G19" s="39" t="s">
        <v>336</v>
      </c>
      <c r="H19" s="40" t="s">
        <v>177</v>
      </c>
      <c r="I19" s="40" t="s">
        <v>337</v>
      </c>
      <c r="J19" s="41">
        <v>1153585170</v>
      </c>
      <c r="K19" s="30">
        <v>747348732</v>
      </c>
      <c r="L19" s="30">
        <v>747348732</v>
      </c>
      <c r="M19" s="30">
        <v>1153585170</v>
      </c>
      <c r="N19" s="40" t="s">
        <v>338</v>
      </c>
      <c r="O19" s="40" t="s">
        <v>339</v>
      </c>
      <c r="P19" s="40" t="s">
        <v>47</v>
      </c>
      <c r="Q19" s="37">
        <v>100</v>
      </c>
      <c r="R19" s="37">
        <v>0</v>
      </c>
      <c r="S19" s="37" t="s">
        <v>219</v>
      </c>
      <c r="T19" s="48">
        <v>10</v>
      </c>
      <c r="U19" s="30">
        <v>647.1</v>
      </c>
      <c r="V19" s="41">
        <v>6471</v>
      </c>
      <c r="W19" s="41">
        <v>1782700</v>
      </c>
      <c r="X19" s="41">
        <v>527140</v>
      </c>
      <c r="Y19" s="41">
        <v>0</v>
      </c>
      <c r="Z19" s="41">
        <v>0</v>
      </c>
      <c r="AA19" s="41">
        <v>527140</v>
      </c>
      <c r="AB19" s="41">
        <v>341112294</v>
      </c>
      <c r="AC19" s="41">
        <v>627780</v>
      </c>
      <c r="AD19" s="41">
        <v>740</v>
      </c>
      <c r="AE19" s="41">
        <v>478854</v>
      </c>
      <c r="AF19" s="41">
        <v>627040</v>
      </c>
      <c r="AG19" s="41">
        <v>405757584</v>
      </c>
      <c r="AH19" s="41">
        <v>627780</v>
      </c>
      <c r="AI19" s="41"/>
      <c r="AJ19" s="41"/>
      <c r="AK19" s="41"/>
      <c r="AL19" s="41"/>
      <c r="AM19" s="41">
        <v>478854</v>
      </c>
      <c r="AN19" s="41">
        <v>178270</v>
      </c>
      <c r="AO19" s="41">
        <v>178270</v>
      </c>
      <c r="AP19" s="40"/>
      <c r="AQ19" s="36">
        <v>44936</v>
      </c>
      <c r="AR19" s="36">
        <v>44986</v>
      </c>
      <c r="AS19" s="36">
        <v>45352</v>
      </c>
      <c r="AT19" s="36">
        <v>44951</v>
      </c>
      <c r="AU19" s="36">
        <v>45000</v>
      </c>
      <c r="AV19" s="38">
        <v>45366</v>
      </c>
      <c r="AW19" s="40" t="s">
        <v>302</v>
      </c>
    </row>
    <row r="20" spans="1:49" ht="115.5" customHeight="1" x14ac:dyDescent="0.3">
      <c r="A20" s="39" t="s">
        <v>340</v>
      </c>
      <c r="B20" s="36">
        <v>44670</v>
      </c>
      <c r="C20" s="37">
        <v>1416</v>
      </c>
      <c r="D20" s="39" t="s">
        <v>341</v>
      </c>
      <c r="E20" s="1" t="s">
        <v>342</v>
      </c>
      <c r="F20" s="36">
        <v>44704</v>
      </c>
      <c r="G20" s="39" t="s">
        <v>343</v>
      </c>
      <c r="H20" s="40" t="s">
        <v>344</v>
      </c>
      <c r="I20" s="40" t="s">
        <v>345</v>
      </c>
      <c r="J20" s="41">
        <v>136394503.30000001</v>
      </c>
      <c r="K20" s="41">
        <v>123430239.90000001</v>
      </c>
      <c r="L20" s="30">
        <v>123430239.90000001</v>
      </c>
      <c r="M20" s="30">
        <v>123430239.90000001</v>
      </c>
      <c r="N20" s="40" t="s">
        <v>346</v>
      </c>
      <c r="O20" s="40" t="s">
        <v>347</v>
      </c>
      <c r="P20" s="40" t="s">
        <v>348</v>
      </c>
      <c r="Q20" s="37">
        <v>0</v>
      </c>
      <c r="R20" s="37">
        <v>100</v>
      </c>
      <c r="S20" s="37" t="s">
        <v>219</v>
      </c>
      <c r="T20" s="48">
        <v>5</v>
      </c>
      <c r="U20" s="30">
        <v>3221.46</v>
      </c>
      <c r="V20" s="41">
        <v>16107.3</v>
      </c>
      <c r="W20" s="41">
        <v>38315</v>
      </c>
      <c r="X20" s="41">
        <v>38315</v>
      </c>
      <c r="Y20" s="41"/>
      <c r="Z20" s="41"/>
      <c r="AA20" s="41"/>
      <c r="AB20" s="41"/>
      <c r="AC20" s="41"/>
      <c r="AD20" s="41"/>
      <c r="AE20" s="41"/>
      <c r="AF20" s="41"/>
      <c r="AG20" s="41"/>
      <c r="AH20" s="41"/>
      <c r="AI20" s="41"/>
      <c r="AJ20" s="41"/>
      <c r="AK20" s="41"/>
      <c r="AL20" s="41"/>
      <c r="AM20" s="41">
        <v>0</v>
      </c>
      <c r="AN20" s="41">
        <v>7663</v>
      </c>
      <c r="AO20" s="41">
        <v>7663</v>
      </c>
      <c r="AP20" s="40"/>
      <c r="AQ20" s="36">
        <v>45046</v>
      </c>
      <c r="AR20" s="36"/>
      <c r="AS20" s="36"/>
      <c r="AT20" s="36">
        <v>45061</v>
      </c>
      <c r="AU20" s="36"/>
      <c r="AV20" s="38"/>
      <c r="AW20" s="40" t="s">
        <v>87</v>
      </c>
    </row>
    <row r="21" spans="1:49" ht="72" x14ac:dyDescent="0.3">
      <c r="A21" s="39" t="s">
        <v>349</v>
      </c>
      <c r="B21" s="36">
        <v>44670</v>
      </c>
      <c r="C21" s="37">
        <v>1416</v>
      </c>
      <c r="D21" s="39" t="s">
        <v>350</v>
      </c>
      <c r="E21" s="1" t="s">
        <v>351</v>
      </c>
      <c r="F21" s="36">
        <v>44711</v>
      </c>
      <c r="G21" s="39" t="s">
        <v>352</v>
      </c>
      <c r="H21" s="40" t="s">
        <v>353</v>
      </c>
      <c r="I21" s="40" t="s">
        <v>354</v>
      </c>
      <c r="J21" s="41">
        <v>1452031915.1800001</v>
      </c>
      <c r="K21" s="41">
        <v>1452031915.1800001</v>
      </c>
      <c r="L21" s="30">
        <v>1452031915.1800001</v>
      </c>
      <c r="M21" s="30">
        <v>1452031915.1800001</v>
      </c>
      <c r="N21" s="40" t="s">
        <v>355</v>
      </c>
      <c r="O21" s="40" t="s">
        <v>356</v>
      </c>
      <c r="P21" s="40" t="s">
        <v>357</v>
      </c>
      <c r="Q21" s="37">
        <v>0</v>
      </c>
      <c r="R21" s="37">
        <v>100</v>
      </c>
      <c r="S21" s="37" t="s">
        <v>219</v>
      </c>
      <c r="T21" s="41">
        <v>0.7</v>
      </c>
      <c r="U21" s="30">
        <v>263842.7</v>
      </c>
      <c r="V21" s="41">
        <v>184689.88999999998</v>
      </c>
      <c r="W21" s="41">
        <v>5503.4</v>
      </c>
      <c r="X21" s="41">
        <v>2738.4</v>
      </c>
      <c r="Y21" s="41"/>
      <c r="Z21" s="41"/>
      <c r="AA21" s="41"/>
      <c r="AB21" s="41"/>
      <c r="AC21" s="41">
        <v>2765</v>
      </c>
      <c r="AD21" s="41">
        <v>965.3</v>
      </c>
      <c r="AE21" s="41">
        <v>254687358.31</v>
      </c>
      <c r="AF21" s="41">
        <v>1799.7</v>
      </c>
      <c r="AG21" s="41">
        <v>474837707.19000006</v>
      </c>
      <c r="AH21" s="41"/>
      <c r="AI21" s="41"/>
      <c r="AJ21" s="41"/>
      <c r="AK21" s="41"/>
      <c r="AL21" s="41"/>
      <c r="AM21" s="41">
        <v>254687358.31</v>
      </c>
      <c r="AN21" s="41">
        <v>7862</v>
      </c>
      <c r="AO21" s="41">
        <v>7862</v>
      </c>
      <c r="AP21" s="40"/>
      <c r="AQ21" s="36">
        <v>44936</v>
      </c>
      <c r="AR21" s="36">
        <v>45017</v>
      </c>
      <c r="AS21" s="36"/>
      <c r="AT21" s="36">
        <v>44951</v>
      </c>
      <c r="AU21" s="36">
        <v>45017</v>
      </c>
      <c r="AV21" s="38"/>
      <c r="AW21" s="40" t="s">
        <v>87</v>
      </c>
    </row>
    <row r="22" spans="1:49" ht="137.25" customHeight="1" x14ac:dyDescent="0.3">
      <c r="A22" s="39" t="s">
        <v>358</v>
      </c>
      <c r="B22" s="36">
        <v>44671</v>
      </c>
      <c r="C22" s="37">
        <v>1416</v>
      </c>
      <c r="D22" s="39" t="s">
        <v>359</v>
      </c>
      <c r="E22" s="1" t="s">
        <v>360</v>
      </c>
      <c r="F22" s="36">
        <v>44706</v>
      </c>
      <c r="G22" s="39" t="s">
        <v>361</v>
      </c>
      <c r="H22" s="40" t="s">
        <v>186</v>
      </c>
      <c r="I22" s="40" t="s">
        <v>362</v>
      </c>
      <c r="J22" s="41">
        <v>815520160</v>
      </c>
      <c r="K22" s="41">
        <v>815520160</v>
      </c>
      <c r="L22" s="30">
        <v>815520160</v>
      </c>
      <c r="M22" s="30">
        <v>815520160</v>
      </c>
      <c r="N22" s="40" t="s">
        <v>325</v>
      </c>
      <c r="O22" s="40" t="s">
        <v>363</v>
      </c>
      <c r="P22" s="40" t="s">
        <v>47</v>
      </c>
      <c r="Q22" s="37">
        <v>100</v>
      </c>
      <c r="R22" s="37">
        <v>0</v>
      </c>
      <c r="S22" s="37" t="s">
        <v>229</v>
      </c>
      <c r="T22" s="48">
        <v>2000</v>
      </c>
      <c r="U22" s="30">
        <v>11.06</v>
      </c>
      <c r="V22" s="41">
        <v>22120</v>
      </c>
      <c r="W22" s="41">
        <v>73736000</v>
      </c>
      <c r="X22" s="41">
        <v>36868000</v>
      </c>
      <c r="Y22" s="41"/>
      <c r="Z22" s="41"/>
      <c r="AA22" s="41"/>
      <c r="AB22" s="41"/>
      <c r="AC22" s="41">
        <v>36868000</v>
      </c>
      <c r="AD22" s="41">
        <v>1568000</v>
      </c>
      <c r="AE22" s="41">
        <v>17342080</v>
      </c>
      <c r="AF22" s="41">
        <v>35300000</v>
      </c>
      <c r="AG22" s="41">
        <v>390418000</v>
      </c>
      <c r="AH22" s="41"/>
      <c r="AI22" s="41"/>
      <c r="AJ22" s="41"/>
      <c r="AK22" s="41"/>
      <c r="AL22" s="41"/>
      <c r="AM22" s="41">
        <v>17342080</v>
      </c>
      <c r="AN22" s="41">
        <v>36868</v>
      </c>
      <c r="AO22" s="41">
        <v>36868</v>
      </c>
      <c r="AP22" s="40"/>
      <c r="AQ22" s="36">
        <v>44958</v>
      </c>
      <c r="AR22" s="36">
        <v>45017</v>
      </c>
      <c r="AS22" s="36"/>
      <c r="AT22" s="36">
        <v>44972</v>
      </c>
      <c r="AU22" s="36">
        <v>45031</v>
      </c>
      <c r="AV22" s="38"/>
      <c r="AW22" s="40" t="s">
        <v>87</v>
      </c>
    </row>
    <row r="23" spans="1:49" s="34" customFormat="1" ht="123" customHeight="1" x14ac:dyDescent="0.3">
      <c r="A23" s="39" t="s">
        <v>364</v>
      </c>
      <c r="B23" s="36">
        <v>44671</v>
      </c>
      <c r="C23" s="37">
        <v>1416</v>
      </c>
      <c r="D23" s="39" t="s">
        <v>365</v>
      </c>
      <c r="E23" s="1" t="s">
        <v>366</v>
      </c>
      <c r="F23" s="36">
        <v>44697</v>
      </c>
      <c r="G23" s="37" t="s">
        <v>367</v>
      </c>
      <c r="H23" s="40" t="s">
        <v>224</v>
      </c>
      <c r="I23" s="40" t="s">
        <v>368</v>
      </c>
      <c r="J23" s="41">
        <v>90177300</v>
      </c>
      <c r="K23" s="41">
        <v>60118200</v>
      </c>
      <c r="L23" s="30">
        <v>60118200</v>
      </c>
      <c r="M23" s="30">
        <v>90177300</v>
      </c>
      <c r="N23" s="40" t="s">
        <v>369</v>
      </c>
      <c r="O23" s="40" t="s">
        <v>370</v>
      </c>
      <c r="P23" s="40" t="s">
        <v>218</v>
      </c>
      <c r="Q23" s="37">
        <v>0</v>
      </c>
      <c r="R23" s="37">
        <v>100</v>
      </c>
      <c r="S23" s="37" t="s">
        <v>229</v>
      </c>
      <c r="T23" s="48">
        <v>1500</v>
      </c>
      <c r="U23" s="30">
        <v>12.37</v>
      </c>
      <c r="V23" s="41">
        <v>18555</v>
      </c>
      <c r="W23" s="41">
        <v>7290000</v>
      </c>
      <c r="X23" s="41">
        <v>2430000</v>
      </c>
      <c r="Y23" s="41"/>
      <c r="Z23" s="41"/>
      <c r="AA23" s="41"/>
      <c r="AB23" s="41"/>
      <c r="AC23" s="41">
        <v>2430000</v>
      </c>
      <c r="AD23" s="41"/>
      <c r="AE23" s="41"/>
      <c r="AF23" s="41"/>
      <c r="AG23" s="41"/>
      <c r="AH23" s="41">
        <v>2430000</v>
      </c>
      <c r="AI23" s="41"/>
      <c r="AJ23" s="41"/>
      <c r="AK23" s="41"/>
      <c r="AL23" s="41"/>
      <c r="AM23" s="41">
        <v>0</v>
      </c>
      <c r="AN23" s="41">
        <v>4860</v>
      </c>
      <c r="AO23" s="41">
        <v>4860</v>
      </c>
      <c r="AP23" s="40"/>
      <c r="AQ23" s="36">
        <v>44936</v>
      </c>
      <c r="AR23" s="36">
        <v>44986</v>
      </c>
      <c r="AS23" s="36">
        <v>45352</v>
      </c>
      <c r="AT23" s="36">
        <v>44951</v>
      </c>
      <c r="AU23" s="36">
        <v>45000</v>
      </c>
      <c r="AV23" s="38">
        <v>45366</v>
      </c>
      <c r="AW23" s="40" t="s">
        <v>302</v>
      </c>
    </row>
    <row r="24" spans="1:49" s="34" customFormat="1" ht="115.5" customHeight="1" x14ac:dyDescent="0.3">
      <c r="A24" s="39" t="s">
        <v>371</v>
      </c>
      <c r="B24" s="36">
        <v>44671</v>
      </c>
      <c r="C24" s="37">
        <v>1416</v>
      </c>
      <c r="D24" s="39" t="s">
        <v>372</v>
      </c>
      <c r="E24" s="1" t="s">
        <v>373</v>
      </c>
      <c r="F24" s="36">
        <v>44697</v>
      </c>
      <c r="G24" s="37" t="s">
        <v>374</v>
      </c>
      <c r="H24" s="40" t="s">
        <v>224</v>
      </c>
      <c r="I24" s="40" t="s">
        <v>375</v>
      </c>
      <c r="J24" s="41">
        <v>39485040</v>
      </c>
      <c r="K24" s="41">
        <v>26323360</v>
      </c>
      <c r="L24" s="30">
        <v>26323360</v>
      </c>
      <c r="M24" s="30">
        <v>39485040</v>
      </c>
      <c r="N24" s="40" t="s">
        <v>369</v>
      </c>
      <c r="O24" s="40" t="s">
        <v>376</v>
      </c>
      <c r="P24" s="40" t="s">
        <v>218</v>
      </c>
      <c r="Q24" s="37">
        <v>0</v>
      </c>
      <c r="R24" s="37">
        <v>100</v>
      </c>
      <c r="S24" s="37" t="s">
        <v>229</v>
      </c>
      <c r="T24" s="48">
        <v>500</v>
      </c>
      <c r="U24" s="30">
        <v>12.37</v>
      </c>
      <c r="V24" s="41">
        <v>6185</v>
      </c>
      <c r="W24" s="41">
        <v>3192000</v>
      </c>
      <c r="X24" s="41">
        <v>1064000</v>
      </c>
      <c r="Y24" s="41"/>
      <c r="Z24" s="41"/>
      <c r="AA24" s="41"/>
      <c r="AB24" s="41"/>
      <c r="AC24" s="41">
        <v>1064000</v>
      </c>
      <c r="AD24" s="41"/>
      <c r="AE24" s="41"/>
      <c r="AF24" s="41"/>
      <c r="AG24" s="41"/>
      <c r="AH24" s="41">
        <v>1064000</v>
      </c>
      <c r="AI24" s="41"/>
      <c r="AJ24" s="41"/>
      <c r="AK24" s="41"/>
      <c r="AL24" s="41"/>
      <c r="AM24" s="41">
        <v>0</v>
      </c>
      <c r="AN24" s="41">
        <v>6384</v>
      </c>
      <c r="AO24" s="41">
        <v>6384</v>
      </c>
      <c r="AP24" s="40"/>
      <c r="AQ24" s="36">
        <v>44936</v>
      </c>
      <c r="AR24" s="36">
        <v>44986</v>
      </c>
      <c r="AS24" s="36">
        <v>45352</v>
      </c>
      <c r="AT24" s="36">
        <v>44941</v>
      </c>
      <c r="AU24" s="36">
        <v>45000</v>
      </c>
      <c r="AV24" s="38">
        <v>45366</v>
      </c>
      <c r="AW24" s="40" t="s">
        <v>302</v>
      </c>
    </row>
    <row r="25" spans="1:49" s="34" customFormat="1" ht="94.5" customHeight="1" x14ac:dyDescent="0.3">
      <c r="A25" s="39" t="s">
        <v>377</v>
      </c>
      <c r="B25" s="36">
        <v>44671</v>
      </c>
      <c r="C25" s="37">
        <v>1416</v>
      </c>
      <c r="D25" s="39" t="s">
        <v>378</v>
      </c>
      <c r="E25" s="1" t="s">
        <v>379</v>
      </c>
      <c r="F25" s="36">
        <v>44704</v>
      </c>
      <c r="G25" s="39" t="s">
        <v>380</v>
      </c>
      <c r="H25" s="40" t="s">
        <v>224</v>
      </c>
      <c r="I25" s="40" t="s">
        <v>381</v>
      </c>
      <c r="J25" s="41">
        <v>465000670</v>
      </c>
      <c r="K25" s="41">
        <v>310004570</v>
      </c>
      <c r="L25" s="30">
        <v>310004570</v>
      </c>
      <c r="M25" s="30">
        <v>465000670</v>
      </c>
      <c r="N25" s="40" t="s">
        <v>369</v>
      </c>
      <c r="O25" s="40" t="s">
        <v>382</v>
      </c>
      <c r="P25" s="40" t="s">
        <v>218</v>
      </c>
      <c r="Q25" s="37">
        <v>0</v>
      </c>
      <c r="R25" s="37">
        <v>100</v>
      </c>
      <c r="S25" s="37" t="s">
        <v>229</v>
      </c>
      <c r="T25" s="48">
        <v>1000</v>
      </c>
      <c r="U25" s="30">
        <v>12.37</v>
      </c>
      <c r="V25" s="41">
        <v>12370</v>
      </c>
      <c r="W25" s="41">
        <v>37591000</v>
      </c>
      <c r="X25" s="41">
        <v>12531000</v>
      </c>
      <c r="Y25" s="41"/>
      <c r="Z25" s="41"/>
      <c r="AA25" s="41"/>
      <c r="AB25" s="41"/>
      <c r="AC25" s="41">
        <v>12530000</v>
      </c>
      <c r="AD25" s="41"/>
      <c r="AE25" s="41"/>
      <c r="AF25" s="41"/>
      <c r="AG25" s="41"/>
      <c r="AH25" s="41">
        <v>12530000</v>
      </c>
      <c r="AI25" s="41"/>
      <c r="AJ25" s="41"/>
      <c r="AK25" s="41"/>
      <c r="AL25" s="41"/>
      <c r="AM25" s="41">
        <v>0</v>
      </c>
      <c r="AN25" s="41">
        <v>37591</v>
      </c>
      <c r="AO25" s="41">
        <v>37591</v>
      </c>
      <c r="AP25" s="40"/>
      <c r="AQ25" s="36">
        <v>44936</v>
      </c>
      <c r="AR25" s="36">
        <v>44986</v>
      </c>
      <c r="AS25" s="36">
        <v>45352</v>
      </c>
      <c r="AT25" s="36">
        <v>44941</v>
      </c>
      <c r="AU25" s="36">
        <v>45000</v>
      </c>
      <c r="AV25" s="38">
        <v>45366</v>
      </c>
      <c r="AW25" s="40" t="s">
        <v>302</v>
      </c>
    </row>
    <row r="26" spans="1:49" s="34" customFormat="1" ht="72" x14ac:dyDescent="0.3">
      <c r="A26" s="39" t="s">
        <v>383</v>
      </c>
      <c r="B26" s="36">
        <v>44673</v>
      </c>
      <c r="C26" s="37">
        <v>1416</v>
      </c>
      <c r="D26" s="39" t="s">
        <v>384</v>
      </c>
      <c r="E26" s="1" t="s">
        <v>385</v>
      </c>
      <c r="F26" s="36">
        <v>44705</v>
      </c>
      <c r="G26" s="39" t="s">
        <v>386</v>
      </c>
      <c r="H26" s="40" t="s">
        <v>387</v>
      </c>
      <c r="I26" s="40" t="s">
        <v>388</v>
      </c>
      <c r="J26" s="41">
        <v>78920034.480000004</v>
      </c>
      <c r="K26" s="41">
        <v>39257673.840000004</v>
      </c>
      <c r="L26" s="30">
        <v>39257673.840000004</v>
      </c>
      <c r="M26" s="30">
        <v>78515347.680000007</v>
      </c>
      <c r="N26" s="40" t="s">
        <v>389</v>
      </c>
      <c r="O26" s="40" t="s">
        <v>390</v>
      </c>
      <c r="P26" s="40" t="s">
        <v>47</v>
      </c>
      <c r="Q26" s="37">
        <v>100</v>
      </c>
      <c r="R26" s="37">
        <v>0</v>
      </c>
      <c r="S26" s="37" t="s">
        <v>219</v>
      </c>
      <c r="T26" s="48">
        <v>6</v>
      </c>
      <c r="U26" s="30">
        <v>514.1400000000001</v>
      </c>
      <c r="V26" s="41">
        <v>3084.8400000000006</v>
      </c>
      <c r="W26" s="41">
        <v>152712</v>
      </c>
      <c r="X26" s="41">
        <v>76356</v>
      </c>
      <c r="Y26" s="41">
        <v>60</v>
      </c>
      <c r="Z26" s="41">
        <v>30848.400000000005</v>
      </c>
      <c r="AA26" s="41">
        <v>76296</v>
      </c>
      <c r="AB26" s="41">
        <v>39226825.440000005</v>
      </c>
      <c r="AC26" s="41">
        <v>76356</v>
      </c>
      <c r="AD26" s="41"/>
      <c r="AE26" s="41"/>
      <c r="AF26" s="41"/>
      <c r="AG26" s="41"/>
      <c r="AH26" s="41"/>
      <c r="AI26" s="41"/>
      <c r="AJ26" s="41"/>
      <c r="AK26" s="41"/>
      <c r="AL26" s="41"/>
      <c r="AM26" s="41">
        <v>30848.400000000005</v>
      </c>
      <c r="AN26" s="41">
        <v>25452</v>
      </c>
      <c r="AO26" s="41">
        <v>25452</v>
      </c>
      <c r="AP26" s="40"/>
      <c r="AQ26" s="36">
        <v>44958</v>
      </c>
      <c r="AR26" s="36">
        <v>45323</v>
      </c>
      <c r="AS26" s="36"/>
      <c r="AT26" s="36">
        <v>44972</v>
      </c>
      <c r="AU26" s="36">
        <v>45337</v>
      </c>
      <c r="AV26" s="38"/>
      <c r="AW26" s="40" t="s">
        <v>302</v>
      </c>
    </row>
    <row r="27" spans="1:49" s="34" customFormat="1" ht="94.5" customHeight="1" x14ac:dyDescent="0.3">
      <c r="A27" s="39" t="s">
        <v>391</v>
      </c>
      <c r="B27" s="36">
        <v>44673</v>
      </c>
      <c r="C27" s="37">
        <v>1416</v>
      </c>
      <c r="D27" s="39" t="s">
        <v>392</v>
      </c>
      <c r="E27" s="1" t="s">
        <v>393</v>
      </c>
      <c r="F27" s="36">
        <v>44711</v>
      </c>
      <c r="G27" s="39" t="s">
        <v>394</v>
      </c>
      <c r="H27" s="40" t="s">
        <v>344</v>
      </c>
      <c r="I27" s="40" t="s">
        <v>395</v>
      </c>
      <c r="J27" s="41">
        <v>3908041592.4000001</v>
      </c>
      <c r="K27" s="41">
        <v>3908041592.4000001</v>
      </c>
      <c r="L27" s="30">
        <v>3908041592.4000001</v>
      </c>
      <c r="M27" s="30">
        <v>3908041592.4000001</v>
      </c>
      <c r="N27" s="40" t="s">
        <v>346</v>
      </c>
      <c r="O27" s="40" t="s">
        <v>396</v>
      </c>
      <c r="P27" s="40" t="s">
        <v>348</v>
      </c>
      <c r="Q27" s="37">
        <v>0</v>
      </c>
      <c r="R27" s="37">
        <v>100</v>
      </c>
      <c r="S27" s="37" t="s">
        <v>219</v>
      </c>
      <c r="T27" s="48">
        <v>20</v>
      </c>
      <c r="U27" s="30">
        <v>3559.82</v>
      </c>
      <c r="V27" s="41">
        <v>71196.400000000009</v>
      </c>
      <c r="W27" s="41">
        <v>1097820</v>
      </c>
      <c r="X27" s="41">
        <v>549580</v>
      </c>
      <c r="Y27" s="41"/>
      <c r="Z27" s="41"/>
      <c r="AA27" s="41"/>
      <c r="AB27" s="41"/>
      <c r="AC27" s="41">
        <v>548240</v>
      </c>
      <c r="AD27" s="41"/>
      <c r="AE27" s="41"/>
      <c r="AF27" s="41"/>
      <c r="AG27" s="41"/>
      <c r="AH27" s="41"/>
      <c r="AI27" s="41"/>
      <c r="AJ27" s="41"/>
      <c r="AK27" s="41"/>
      <c r="AL27" s="41"/>
      <c r="AM27" s="41">
        <v>0</v>
      </c>
      <c r="AN27" s="41">
        <v>54891</v>
      </c>
      <c r="AO27" s="41">
        <v>54891</v>
      </c>
      <c r="AP27" s="40"/>
      <c r="AQ27" s="36">
        <v>44936</v>
      </c>
      <c r="AR27" s="36">
        <v>45122</v>
      </c>
      <c r="AS27" s="36"/>
      <c r="AT27" s="36">
        <v>44951</v>
      </c>
      <c r="AU27" s="36">
        <v>45137</v>
      </c>
      <c r="AV27" s="38"/>
      <c r="AW27" s="40" t="s">
        <v>87</v>
      </c>
    </row>
    <row r="28" spans="1:49" s="34" customFormat="1" ht="168" customHeight="1" x14ac:dyDescent="0.3">
      <c r="A28" s="39" t="s">
        <v>397</v>
      </c>
      <c r="B28" s="36">
        <v>44673</v>
      </c>
      <c r="C28" s="37">
        <v>1416</v>
      </c>
      <c r="D28" s="39" t="s">
        <v>398</v>
      </c>
      <c r="E28" s="1" t="s">
        <v>399</v>
      </c>
      <c r="F28" s="36">
        <v>44704</v>
      </c>
      <c r="G28" s="39" t="s">
        <v>400</v>
      </c>
      <c r="H28" s="40" t="s">
        <v>224</v>
      </c>
      <c r="I28" s="40" t="s">
        <v>401</v>
      </c>
      <c r="J28" s="41">
        <v>239676800</v>
      </c>
      <c r="K28" s="41">
        <v>239676800</v>
      </c>
      <c r="L28" s="30">
        <v>239676800</v>
      </c>
      <c r="M28" s="30">
        <v>239676800</v>
      </c>
      <c r="N28" s="40" t="s">
        <v>402</v>
      </c>
      <c r="O28" s="40" t="s">
        <v>403</v>
      </c>
      <c r="P28" s="40" t="s">
        <v>404</v>
      </c>
      <c r="Q28" s="37">
        <v>0</v>
      </c>
      <c r="R28" s="37">
        <v>100</v>
      </c>
      <c r="S28" s="37" t="s">
        <v>229</v>
      </c>
      <c r="T28" s="48">
        <v>2000</v>
      </c>
      <c r="U28" s="30">
        <v>12.38</v>
      </c>
      <c r="V28" s="41">
        <v>24760</v>
      </c>
      <c r="W28" s="41">
        <v>19360000</v>
      </c>
      <c r="X28" s="41">
        <v>9682000</v>
      </c>
      <c r="Y28" s="41"/>
      <c r="Z28" s="41"/>
      <c r="AA28" s="41"/>
      <c r="AB28" s="41"/>
      <c r="AC28" s="41">
        <v>9678000</v>
      </c>
      <c r="AD28" s="41"/>
      <c r="AE28" s="41"/>
      <c r="AF28" s="41"/>
      <c r="AG28" s="41"/>
      <c r="AH28" s="41"/>
      <c r="AI28" s="41"/>
      <c r="AJ28" s="41"/>
      <c r="AK28" s="41"/>
      <c r="AL28" s="41"/>
      <c r="AM28" s="41">
        <v>0</v>
      </c>
      <c r="AN28" s="41">
        <v>9680</v>
      </c>
      <c r="AO28" s="41">
        <v>9680</v>
      </c>
      <c r="AP28" s="40"/>
      <c r="AQ28" s="36">
        <v>44936</v>
      </c>
      <c r="AR28" s="36">
        <v>44958</v>
      </c>
      <c r="AS28" s="36"/>
      <c r="AT28" s="36">
        <v>44941</v>
      </c>
      <c r="AU28" s="36">
        <v>44972</v>
      </c>
      <c r="AV28" s="38"/>
      <c r="AW28" s="40" t="s">
        <v>87</v>
      </c>
    </row>
    <row r="29" spans="1:49" s="34" customFormat="1" ht="63" customHeight="1" x14ac:dyDescent="0.3">
      <c r="A29" s="39" t="s">
        <v>405</v>
      </c>
      <c r="B29" s="36">
        <v>44673</v>
      </c>
      <c r="C29" s="37">
        <v>1416</v>
      </c>
      <c r="D29" s="39" t="s">
        <v>406</v>
      </c>
      <c r="E29" s="1" t="s">
        <v>407</v>
      </c>
      <c r="F29" s="36">
        <v>44719</v>
      </c>
      <c r="G29" s="39" t="s">
        <v>408</v>
      </c>
      <c r="H29" s="40" t="s">
        <v>186</v>
      </c>
      <c r="I29" s="40" t="s">
        <v>409</v>
      </c>
      <c r="J29" s="41">
        <v>3278845200</v>
      </c>
      <c r="K29" s="41">
        <v>3278845200</v>
      </c>
      <c r="L29" s="30">
        <v>3278845200</v>
      </c>
      <c r="M29" s="30">
        <v>3278845200</v>
      </c>
      <c r="N29" s="40" t="s">
        <v>410</v>
      </c>
      <c r="O29" s="40" t="s">
        <v>411</v>
      </c>
      <c r="P29" s="40" t="s">
        <v>263</v>
      </c>
      <c r="Q29" s="37">
        <v>0</v>
      </c>
      <c r="R29" s="37">
        <v>100</v>
      </c>
      <c r="S29" s="37" t="s">
        <v>229</v>
      </c>
      <c r="T29" s="54" t="s">
        <v>412</v>
      </c>
      <c r="U29" s="30">
        <v>12.4</v>
      </c>
      <c r="V29" s="57" t="s">
        <v>413</v>
      </c>
      <c r="W29" s="41">
        <v>264423000</v>
      </c>
      <c r="X29" s="41">
        <v>132427000</v>
      </c>
      <c r="Y29" s="41"/>
      <c r="Z29" s="41"/>
      <c r="AA29" s="41"/>
      <c r="AB29" s="41"/>
      <c r="AC29" s="41">
        <v>131996000</v>
      </c>
      <c r="AD29" s="41">
        <v>39710000</v>
      </c>
      <c r="AE29" s="41">
        <v>492404000</v>
      </c>
      <c r="AF29" s="41">
        <v>92286000</v>
      </c>
      <c r="AG29" s="41">
        <v>1144346400</v>
      </c>
      <c r="AH29" s="41"/>
      <c r="AI29" s="41"/>
      <c r="AJ29" s="41"/>
      <c r="AK29" s="41"/>
      <c r="AL29" s="41"/>
      <c r="AM29" s="41">
        <v>492404000</v>
      </c>
      <c r="AN29" s="41">
        <v>244848.67</v>
      </c>
      <c r="AO29" s="41">
        <v>244849</v>
      </c>
      <c r="AP29" s="40"/>
      <c r="AQ29" s="36">
        <v>44936</v>
      </c>
      <c r="AR29" s="36">
        <v>45097</v>
      </c>
      <c r="AS29" s="36"/>
      <c r="AT29" s="36">
        <v>44951</v>
      </c>
      <c r="AU29" s="36">
        <v>45112</v>
      </c>
      <c r="AV29" s="38"/>
      <c r="AW29" s="40" t="s">
        <v>87</v>
      </c>
    </row>
    <row r="30" spans="1:49" s="34" customFormat="1" ht="138.75" customHeight="1" x14ac:dyDescent="0.3">
      <c r="A30" s="39" t="s">
        <v>414</v>
      </c>
      <c r="B30" s="36">
        <v>44673</v>
      </c>
      <c r="C30" s="37">
        <v>1416</v>
      </c>
      <c r="D30" s="39" t="s">
        <v>415</v>
      </c>
      <c r="E30" s="1" t="s">
        <v>416</v>
      </c>
      <c r="F30" s="36">
        <v>44711</v>
      </c>
      <c r="G30" s="39" t="s">
        <v>417</v>
      </c>
      <c r="H30" s="40" t="s">
        <v>186</v>
      </c>
      <c r="I30" s="40" t="s">
        <v>418</v>
      </c>
      <c r="J30" s="41">
        <v>597455100</v>
      </c>
      <c r="K30" s="41">
        <v>597455100</v>
      </c>
      <c r="L30" s="30">
        <v>597455100</v>
      </c>
      <c r="M30" s="30">
        <v>597455100</v>
      </c>
      <c r="N30" s="40" t="s">
        <v>419</v>
      </c>
      <c r="O30" s="40" t="s">
        <v>420</v>
      </c>
      <c r="P30" s="40" t="s">
        <v>421</v>
      </c>
      <c r="Q30" s="37">
        <v>0</v>
      </c>
      <c r="R30" s="37">
        <v>100</v>
      </c>
      <c r="S30" s="37" t="s">
        <v>229</v>
      </c>
      <c r="T30" s="48">
        <v>500</v>
      </c>
      <c r="U30" s="30">
        <v>13.05</v>
      </c>
      <c r="V30" s="41">
        <v>6525</v>
      </c>
      <c r="W30" s="41">
        <v>45782000</v>
      </c>
      <c r="X30" s="41">
        <v>22890000</v>
      </c>
      <c r="Y30" s="41"/>
      <c r="Z30" s="41"/>
      <c r="AA30" s="41"/>
      <c r="AB30" s="41"/>
      <c r="AC30" s="41">
        <v>22892000</v>
      </c>
      <c r="AD30" s="41">
        <v>14527500</v>
      </c>
      <c r="AE30" s="41">
        <v>189583875</v>
      </c>
      <c r="AF30" s="41">
        <v>8364500</v>
      </c>
      <c r="AG30" s="41">
        <v>109156725</v>
      </c>
      <c r="AH30" s="41"/>
      <c r="AI30" s="41"/>
      <c r="AJ30" s="41"/>
      <c r="AK30" s="41"/>
      <c r="AL30" s="41"/>
      <c r="AM30" s="41">
        <v>189583875</v>
      </c>
      <c r="AN30" s="41">
        <v>91564</v>
      </c>
      <c r="AO30" s="41">
        <v>91564</v>
      </c>
      <c r="AP30" s="40"/>
      <c r="AQ30" s="36">
        <v>44936</v>
      </c>
      <c r="AR30" s="36">
        <v>44986</v>
      </c>
      <c r="AS30" s="36"/>
      <c r="AT30" s="36">
        <v>44951</v>
      </c>
      <c r="AU30" s="36">
        <v>45000</v>
      </c>
      <c r="AV30" s="38"/>
      <c r="AW30" s="40" t="s">
        <v>87</v>
      </c>
    </row>
    <row r="31" spans="1:49" s="34" customFormat="1" ht="124.8" x14ac:dyDescent="0.3">
      <c r="A31" s="39" t="s">
        <v>422</v>
      </c>
      <c r="B31" s="36">
        <v>44673</v>
      </c>
      <c r="C31" s="37">
        <v>1416</v>
      </c>
      <c r="D31" s="39" t="s">
        <v>423</v>
      </c>
      <c r="E31" s="1" t="s">
        <v>424</v>
      </c>
      <c r="F31" s="36">
        <v>44711</v>
      </c>
      <c r="G31" s="39" t="s">
        <v>425</v>
      </c>
      <c r="H31" s="40" t="s">
        <v>387</v>
      </c>
      <c r="I31" s="40" t="s">
        <v>426</v>
      </c>
      <c r="J31" s="41">
        <v>2737233000</v>
      </c>
      <c r="K31" s="41">
        <v>1824789645</v>
      </c>
      <c r="L31" s="30">
        <v>1824789645</v>
      </c>
      <c r="M31" s="30">
        <v>2737233000</v>
      </c>
      <c r="N31" s="40" t="s">
        <v>427</v>
      </c>
      <c r="O31" s="40" t="s">
        <v>428</v>
      </c>
      <c r="P31" s="40" t="s">
        <v>47</v>
      </c>
      <c r="Q31" s="37">
        <v>100</v>
      </c>
      <c r="R31" s="37">
        <v>0</v>
      </c>
      <c r="S31" s="37" t="s">
        <v>219</v>
      </c>
      <c r="T31" s="54" t="s">
        <v>429</v>
      </c>
      <c r="U31" s="30">
        <v>647.1</v>
      </c>
      <c r="V31" s="57" t="s">
        <v>430</v>
      </c>
      <c r="W31" s="41">
        <v>4230000</v>
      </c>
      <c r="X31" s="41">
        <v>1409900</v>
      </c>
      <c r="Y31" s="41"/>
      <c r="Z31" s="41"/>
      <c r="AA31" s="41"/>
      <c r="AB31" s="41"/>
      <c r="AC31" s="41">
        <v>1410050</v>
      </c>
      <c r="AD31" s="41">
        <v>800</v>
      </c>
      <c r="AE31" s="41">
        <v>517680</v>
      </c>
      <c r="AF31" s="41">
        <v>1409250</v>
      </c>
      <c r="AG31" s="41">
        <v>911925675</v>
      </c>
      <c r="AH31" s="41">
        <v>1410050</v>
      </c>
      <c r="AI31" s="41"/>
      <c r="AJ31" s="41"/>
      <c r="AK31" s="41"/>
      <c r="AL31" s="41"/>
      <c r="AM31" s="41">
        <v>517680</v>
      </c>
      <c r="AN31" s="41">
        <v>114013.5</v>
      </c>
      <c r="AO31" s="41">
        <v>114014</v>
      </c>
      <c r="AP31" s="40"/>
      <c r="AQ31" s="36">
        <v>44936</v>
      </c>
      <c r="AR31" s="36">
        <v>44986</v>
      </c>
      <c r="AS31" s="36">
        <v>45352</v>
      </c>
      <c r="AT31" s="36">
        <v>44951</v>
      </c>
      <c r="AU31" s="36">
        <v>45000</v>
      </c>
      <c r="AV31" s="38">
        <v>45366</v>
      </c>
      <c r="AW31" s="40" t="s">
        <v>302</v>
      </c>
    </row>
    <row r="32" spans="1:49" s="34" customFormat="1" ht="140.4" x14ac:dyDescent="0.3">
      <c r="A32" s="39" t="s">
        <v>431</v>
      </c>
      <c r="B32" s="36">
        <v>44673</v>
      </c>
      <c r="C32" s="37">
        <v>1416</v>
      </c>
      <c r="D32" s="39" t="s">
        <v>432</v>
      </c>
      <c r="E32" s="1" t="s">
        <v>433</v>
      </c>
      <c r="F32" s="36">
        <v>44704</v>
      </c>
      <c r="G32" s="39" t="s">
        <v>434</v>
      </c>
      <c r="H32" s="40" t="s">
        <v>224</v>
      </c>
      <c r="I32" s="40" t="s">
        <v>435</v>
      </c>
      <c r="J32" s="41">
        <v>99335655</v>
      </c>
      <c r="K32" s="41">
        <v>99335655</v>
      </c>
      <c r="L32" s="30">
        <v>99335655</v>
      </c>
      <c r="M32" s="30">
        <v>99335655</v>
      </c>
      <c r="N32" s="40" t="s">
        <v>402</v>
      </c>
      <c r="O32" s="40" t="s">
        <v>436</v>
      </c>
      <c r="P32" s="40" t="s">
        <v>404</v>
      </c>
      <c r="Q32" s="37">
        <v>0</v>
      </c>
      <c r="R32" s="37">
        <v>100</v>
      </c>
      <c r="S32" s="37" t="s">
        <v>229</v>
      </c>
      <c r="T32" s="48">
        <v>500</v>
      </c>
      <c r="U32" s="30">
        <v>12.51</v>
      </c>
      <c r="V32" s="41">
        <v>6255</v>
      </c>
      <c r="W32" s="41">
        <v>7940500</v>
      </c>
      <c r="X32" s="41">
        <v>3999000</v>
      </c>
      <c r="Y32" s="41"/>
      <c r="Z32" s="41"/>
      <c r="AA32" s="41"/>
      <c r="AB32" s="41"/>
      <c r="AC32" s="41">
        <v>3941500</v>
      </c>
      <c r="AD32" s="41"/>
      <c r="AE32" s="41"/>
      <c r="AF32" s="41"/>
      <c r="AG32" s="41"/>
      <c r="AH32" s="41"/>
      <c r="AI32" s="41"/>
      <c r="AJ32" s="41"/>
      <c r="AK32" s="41"/>
      <c r="AL32" s="41"/>
      <c r="AM32" s="41">
        <v>0</v>
      </c>
      <c r="AN32" s="41">
        <v>15881</v>
      </c>
      <c r="AO32" s="41">
        <v>15881</v>
      </c>
      <c r="AP32" s="40"/>
      <c r="AQ32" s="36">
        <v>44936</v>
      </c>
      <c r="AR32" s="36">
        <v>44986</v>
      </c>
      <c r="AS32" s="36"/>
      <c r="AT32" s="36">
        <v>44951</v>
      </c>
      <c r="AU32" s="36">
        <v>45000</v>
      </c>
      <c r="AV32" s="38"/>
      <c r="AW32" s="40" t="s">
        <v>87</v>
      </c>
    </row>
    <row r="33" spans="1:49" s="34" customFormat="1" ht="180" customHeight="1" x14ac:dyDescent="0.3">
      <c r="A33" s="39" t="s">
        <v>437</v>
      </c>
      <c r="B33" s="36">
        <v>44673</v>
      </c>
      <c r="C33" s="37">
        <v>1416</v>
      </c>
      <c r="D33" s="39" t="s">
        <v>438</v>
      </c>
      <c r="E33" s="1" t="s">
        <v>439</v>
      </c>
      <c r="F33" s="36">
        <v>44704</v>
      </c>
      <c r="G33" s="39" t="s">
        <v>440</v>
      </c>
      <c r="H33" s="40" t="s">
        <v>387</v>
      </c>
      <c r="I33" s="40" t="s">
        <v>441</v>
      </c>
      <c r="J33" s="41">
        <v>95831540.640000001</v>
      </c>
      <c r="K33" s="41">
        <v>47915770.32</v>
      </c>
      <c r="L33" s="30">
        <v>47915770.32</v>
      </c>
      <c r="M33" s="30">
        <v>95831540.640000001</v>
      </c>
      <c r="N33" s="40" t="s">
        <v>442</v>
      </c>
      <c r="O33" s="40" t="s">
        <v>443</v>
      </c>
      <c r="P33" s="40" t="s">
        <v>47</v>
      </c>
      <c r="Q33" s="37">
        <v>100</v>
      </c>
      <c r="R33" s="37">
        <v>0</v>
      </c>
      <c r="S33" s="37" t="s">
        <v>219</v>
      </c>
      <c r="T33" s="67">
        <v>1.5</v>
      </c>
      <c r="U33" s="30">
        <v>3065.04</v>
      </c>
      <c r="V33" s="41">
        <v>4597.5599999999995</v>
      </c>
      <c r="W33" s="41">
        <v>31266</v>
      </c>
      <c r="X33" s="41">
        <v>15633</v>
      </c>
      <c r="Y33" s="41">
        <v>4732.5</v>
      </c>
      <c r="Z33" s="41">
        <v>14505301.800000001</v>
      </c>
      <c r="AA33" s="41">
        <v>10900</v>
      </c>
      <c r="AB33" s="41">
        <v>33408936</v>
      </c>
      <c r="AC33" s="41">
        <v>15633</v>
      </c>
      <c r="AD33" s="41"/>
      <c r="AE33" s="41">
        <v>0</v>
      </c>
      <c r="AF33" s="41"/>
      <c r="AG33" s="41">
        <v>0</v>
      </c>
      <c r="AH33" s="41"/>
      <c r="AI33" s="41"/>
      <c r="AJ33" s="41">
        <v>0</v>
      </c>
      <c r="AK33" s="41"/>
      <c r="AL33" s="41">
        <v>0</v>
      </c>
      <c r="AM33" s="41">
        <v>14505301.800000001</v>
      </c>
      <c r="AN33" s="41">
        <v>20844</v>
      </c>
      <c r="AO33" s="41">
        <v>20844</v>
      </c>
      <c r="AP33" s="40"/>
      <c r="AQ33" s="36">
        <v>44958</v>
      </c>
      <c r="AR33" s="36">
        <v>45352</v>
      </c>
      <c r="AS33" s="36"/>
      <c r="AT33" s="36">
        <v>44972</v>
      </c>
      <c r="AU33" s="36">
        <v>45366</v>
      </c>
      <c r="AV33" s="38"/>
      <c r="AW33" s="40" t="s">
        <v>302</v>
      </c>
    </row>
    <row r="34" spans="1:49" s="34" customFormat="1" ht="184.5" customHeight="1" x14ac:dyDescent="0.3">
      <c r="A34" s="39" t="s">
        <v>444</v>
      </c>
      <c r="B34" s="36">
        <v>44673</v>
      </c>
      <c r="C34" s="37">
        <v>1416</v>
      </c>
      <c r="D34" s="39" t="s">
        <v>445</v>
      </c>
      <c r="E34" s="1" t="s">
        <v>446</v>
      </c>
      <c r="F34" s="36">
        <v>44705</v>
      </c>
      <c r="G34" s="39" t="s">
        <v>447</v>
      </c>
      <c r="H34" s="40" t="s">
        <v>224</v>
      </c>
      <c r="I34" s="40" t="s">
        <v>448</v>
      </c>
      <c r="J34" s="41">
        <v>481293120</v>
      </c>
      <c r="K34" s="41">
        <v>481293120</v>
      </c>
      <c r="L34" s="30">
        <v>481293120</v>
      </c>
      <c r="M34" s="30">
        <v>481293120</v>
      </c>
      <c r="N34" s="40" t="s">
        <v>402</v>
      </c>
      <c r="O34" s="40" t="s">
        <v>449</v>
      </c>
      <c r="P34" s="40" t="s">
        <v>404</v>
      </c>
      <c r="Q34" s="37">
        <v>0</v>
      </c>
      <c r="R34" s="37">
        <v>100</v>
      </c>
      <c r="S34" s="37" t="s">
        <v>229</v>
      </c>
      <c r="T34" s="48">
        <v>1000</v>
      </c>
      <c r="U34" s="30">
        <v>12.32</v>
      </c>
      <c r="V34" s="41">
        <v>12320</v>
      </c>
      <c r="W34" s="41">
        <v>39066000</v>
      </c>
      <c r="X34" s="41">
        <v>19533000</v>
      </c>
      <c r="Y34" s="41"/>
      <c r="Z34" s="41"/>
      <c r="AA34" s="41"/>
      <c r="AB34" s="41"/>
      <c r="AC34" s="41">
        <v>19533000</v>
      </c>
      <c r="AD34" s="41">
        <v>5920000</v>
      </c>
      <c r="AE34" s="41">
        <v>72934400</v>
      </c>
      <c r="AF34" s="41">
        <v>13613000</v>
      </c>
      <c r="AG34" s="41">
        <v>167712160</v>
      </c>
      <c r="AH34" s="41"/>
      <c r="AI34" s="41"/>
      <c r="AJ34" s="41"/>
      <c r="AK34" s="41"/>
      <c r="AL34" s="41"/>
      <c r="AM34" s="41">
        <v>72934400</v>
      </c>
      <c r="AN34" s="41">
        <v>39066</v>
      </c>
      <c r="AO34" s="41">
        <v>39066</v>
      </c>
      <c r="AP34" s="40"/>
      <c r="AQ34" s="36">
        <v>44936</v>
      </c>
      <c r="AR34" s="36">
        <v>44986</v>
      </c>
      <c r="AS34" s="36"/>
      <c r="AT34" s="36">
        <v>44951</v>
      </c>
      <c r="AU34" s="36">
        <v>45000</v>
      </c>
      <c r="AV34" s="38"/>
      <c r="AW34" s="40" t="s">
        <v>87</v>
      </c>
    </row>
    <row r="35" spans="1:49" s="34" customFormat="1" ht="163.5" customHeight="1" x14ac:dyDescent="0.3">
      <c r="A35" s="39" t="s">
        <v>450</v>
      </c>
      <c r="B35" s="36">
        <v>44677</v>
      </c>
      <c r="C35" s="37">
        <v>1416</v>
      </c>
      <c r="D35" s="39" t="s">
        <v>451</v>
      </c>
      <c r="E35" s="1" t="s">
        <v>452</v>
      </c>
      <c r="F35" s="36">
        <v>44714</v>
      </c>
      <c r="G35" s="39" t="s">
        <v>453</v>
      </c>
      <c r="H35" s="40" t="s">
        <v>186</v>
      </c>
      <c r="I35" s="40" t="s">
        <v>454</v>
      </c>
      <c r="J35" s="41">
        <v>730992000</v>
      </c>
      <c r="K35" s="41">
        <v>730992000</v>
      </c>
      <c r="L35" s="30">
        <v>730992000</v>
      </c>
      <c r="M35" s="30">
        <v>730992000</v>
      </c>
      <c r="N35" s="40" t="s">
        <v>455</v>
      </c>
      <c r="O35" s="40" t="s">
        <v>456</v>
      </c>
      <c r="P35" s="40" t="s">
        <v>263</v>
      </c>
      <c r="Q35" s="37">
        <v>0</v>
      </c>
      <c r="R35" s="37">
        <v>100</v>
      </c>
      <c r="S35" s="37" t="s">
        <v>457</v>
      </c>
      <c r="T35" s="48">
        <v>1000</v>
      </c>
      <c r="U35" s="30">
        <v>48.5</v>
      </c>
      <c r="V35" s="41">
        <v>48500</v>
      </c>
      <c r="W35" s="41">
        <v>15072000</v>
      </c>
      <c r="X35" s="41">
        <v>11772000</v>
      </c>
      <c r="Y35" s="41">
        <v>2586000</v>
      </c>
      <c r="Z35" s="41">
        <v>125421000</v>
      </c>
      <c r="AA35" s="41">
        <v>9186000</v>
      </c>
      <c r="AB35" s="41">
        <v>445521000</v>
      </c>
      <c r="AC35" s="41">
        <v>3300000</v>
      </c>
      <c r="AD35" s="41">
        <v>740000</v>
      </c>
      <c r="AE35" s="41">
        <v>35890000</v>
      </c>
      <c r="AF35" s="41">
        <v>2560000</v>
      </c>
      <c r="AG35" s="41">
        <v>124160000</v>
      </c>
      <c r="AH35" s="41"/>
      <c r="AI35" s="41"/>
      <c r="AJ35" s="41">
        <v>0</v>
      </c>
      <c r="AK35" s="41"/>
      <c r="AL35" s="41">
        <v>0</v>
      </c>
      <c r="AM35" s="41">
        <v>161311000</v>
      </c>
      <c r="AN35" s="41">
        <v>15072</v>
      </c>
      <c r="AO35" s="41">
        <v>15072</v>
      </c>
      <c r="AP35" s="40"/>
      <c r="AQ35" s="36">
        <v>44958</v>
      </c>
      <c r="AR35" s="36">
        <v>45097</v>
      </c>
      <c r="AS35" s="36"/>
      <c r="AT35" s="36">
        <v>44972</v>
      </c>
      <c r="AU35" s="36">
        <v>45112</v>
      </c>
      <c r="AV35" s="38"/>
      <c r="AW35" s="40" t="s">
        <v>87</v>
      </c>
    </row>
    <row r="36" spans="1:49" s="34" customFormat="1" ht="157.5" customHeight="1" x14ac:dyDescent="0.3">
      <c r="A36" s="39" t="s">
        <v>458</v>
      </c>
      <c r="B36" s="36">
        <v>44677</v>
      </c>
      <c r="C36" s="37">
        <v>1416</v>
      </c>
      <c r="D36" s="39" t="s">
        <v>459</v>
      </c>
      <c r="E36" s="39" t="s">
        <v>459</v>
      </c>
      <c r="F36" s="39" t="s">
        <v>459</v>
      </c>
      <c r="G36" s="39" t="s">
        <v>459</v>
      </c>
      <c r="H36" s="39" t="s">
        <v>459</v>
      </c>
      <c r="I36" s="40" t="s">
        <v>460</v>
      </c>
      <c r="J36" s="41">
        <v>761721856</v>
      </c>
      <c r="K36" s="42" t="s">
        <v>459</v>
      </c>
      <c r="L36" s="30" t="s">
        <v>459</v>
      </c>
      <c r="M36" s="30">
        <v>702951908.88</v>
      </c>
      <c r="N36" s="42" t="s">
        <v>459</v>
      </c>
      <c r="O36" s="63" t="s">
        <v>459</v>
      </c>
      <c r="P36" s="42" t="s">
        <v>459</v>
      </c>
      <c r="Q36" s="42" t="s">
        <v>459</v>
      </c>
      <c r="R36" s="42" t="s">
        <v>459</v>
      </c>
      <c r="S36" s="42" t="s">
        <v>459</v>
      </c>
      <c r="T36" s="42" t="s">
        <v>459</v>
      </c>
      <c r="U36" s="42" t="s">
        <v>459</v>
      </c>
      <c r="V36" s="42" t="s">
        <v>459</v>
      </c>
      <c r="W36" s="42" t="s">
        <v>459</v>
      </c>
      <c r="X36" s="42" t="s">
        <v>459</v>
      </c>
      <c r="Y36" s="42"/>
      <c r="Z36" s="42"/>
      <c r="AA36" s="42"/>
      <c r="AB36" s="42"/>
      <c r="AC36" s="42" t="s">
        <v>459</v>
      </c>
      <c r="AD36" s="42"/>
      <c r="AE36" s="42"/>
      <c r="AF36" s="42"/>
      <c r="AG36" s="42"/>
      <c r="AH36" s="42" t="s">
        <v>459</v>
      </c>
      <c r="AI36" s="42"/>
      <c r="AJ36" s="42"/>
      <c r="AK36" s="42"/>
      <c r="AL36" s="42"/>
      <c r="AM36" s="42"/>
      <c r="AN36" s="42" t="s">
        <v>459</v>
      </c>
      <c r="AO36" s="42" t="s">
        <v>459</v>
      </c>
      <c r="AP36" s="42" t="s">
        <v>459</v>
      </c>
      <c r="AQ36" s="42" t="s">
        <v>459</v>
      </c>
      <c r="AR36" s="42" t="s">
        <v>459</v>
      </c>
      <c r="AS36" s="42" t="s">
        <v>459</v>
      </c>
      <c r="AT36" s="42" t="s">
        <v>459</v>
      </c>
      <c r="AU36" s="42" t="s">
        <v>459</v>
      </c>
      <c r="AV36" s="42" t="s">
        <v>459</v>
      </c>
      <c r="AW36" s="42" t="s">
        <v>459</v>
      </c>
    </row>
    <row r="37" spans="1:49" s="34" customFormat="1" ht="138.75" customHeight="1" x14ac:dyDescent="0.3">
      <c r="A37" s="39" t="s">
        <v>461</v>
      </c>
      <c r="B37" s="36">
        <v>44677</v>
      </c>
      <c r="C37" s="37">
        <v>1416</v>
      </c>
      <c r="D37" s="39" t="s">
        <v>462</v>
      </c>
      <c r="E37" s="1" t="s">
        <v>463</v>
      </c>
      <c r="F37" s="36">
        <v>44712</v>
      </c>
      <c r="G37" s="39" t="s">
        <v>464</v>
      </c>
      <c r="H37" s="40" t="s">
        <v>465</v>
      </c>
      <c r="I37" s="40" t="s">
        <v>466</v>
      </c>
      <c r="J37" s="41">
        <v>1118776892.9400001</v>
      </c>
      <c r="K37" s="41">
        <v>1118776892.9400001</v>
      </c>
      <c r="L37" s="30">
        <v>1118776892.9400001</v>
      </c>
      <c r="M37" s="30">
        <v>1118776892.9400001</v>
      </c>
      <c r="N37" s="40" t="s">
        <v>467</v>
      </c>
      <c r="O37" s="40" t="s">
        <v>468</v>
      </c>
      <c r="P37" s="40" t="s">
        <v>47</v>
      </c>
      <c r="Q37" s="37">
        <v>100</v>
      </c>
      <c r="R37" s="37">
        <v>0</v>
      </c>
      <c r="S37" s="37" t="s">
        <v>200</v>
      </c>
      <c r="T37" s="48">
        <v>3</v>
      </c>
      <c r="U37" s="30">
        <v>69666.66</v>
      </c>
      <c r="V37" s="41">
        <v>208999.98</v>
      </c>
      <c r="W37" s="41">
        <v>16059</v>
      </c>
      <c r="X37" s="41">
        <v>8043</v>
      </c>
      <c r="Y37" s="62"/>
      <c r="Z37" s="62"/>
      <c r="AA37" s="62"/>
      <c r="AB37" s="62"/>
      <c r="AC37" s="62">
        <v>8016</v>
      </c>
      <c r="AD37" s="62"/>
      <c r="AE37" s="62"/>
      <c r="AF37" s="62"/>
      <c r="AG37" s="62"/>
      <c r="AH37" s="41"/>
      <c r="AI37" s="41"/>
      <c r="AJ37" s="41"/>
      <c r="AK37" s="41"/>
      <c r="AL37" s="41"/>
      <c r="AM37" s="41">
        <v>0</v>
      </c>
      <c r="AN37" s="41">
        <v>5353</v>
      </c>
      <c r="AO37" s="41">
        <v>5353</v>
      </c>
      <c r="AP37" s="40"/>
      <c r="AQ37" s="36">
        <v>44936</v>
      </c>
      <c r="AR37" s="36">
        <v>44986</v>
      </c>
      <c r="AS37" s="36"/>
      <c r="AT37" s="36">
        <v>44951</v>
      </c>
      <c r="AU37" s="36">
        <v>45000</v>
      </c>
      <c r="AV37" s="38"/>
      <c r="AW37" s="40" t="s">
        <v>87</v>
      </c>
    </row>
    <row r="38" spans="1:49" s="34" customFormat="1" ht="127.5" customHeight="1" x14ac:dyDescent="0.3">
      <c r="A38" s="39" t="s">
        <v>469</v>
      </c>
      <c r="B38" s="36">
        <v>44677</v>
      </c>
      <c r="C38" s="37">
        <v>1416</v>
      </c>
      <c r="D38" s="39" t="s">
        <v>470</v>
      </c>
      <c r="E38" s="1" t="s">
        <v>471</v>
      </c>
      <c r="F38" s="36">
        <v>44712</v>
      </c>
      <c r="G38" s="37" t="s">
        <v>472</v>
      </c>
      <c r="H38" s="40" t="s">
        <v>186</v>
      </c>
      <c r="I38" s="40" t="s">
        <v>473</v>
      </c>
      <c r="J38" s="41">
        <v>2087771400</v>
      </c>
      <c r="K38" s="41">
        <v>1369797000</v>
      </c>
      <c r="L38" s="30">
        <v>1369797000</v>
      </c>
      <c r="M38" s="30">
        <v>2087771400</v>
      </c>
      <c r="N38" s="40" t="s">
        <v>474</v>
      </c>
      <c r="O38" s="40" t="s">
        <v>475</v>
      </c>
      <c r="P38" s="40" t="s">
        <v>190</v>
      </c>
      <c r="Q38" s="37">
        <v>0</v>
      </c>
      <c r="R38" s="37">
        <v>100</v>
      </c>
      <c r="S38" s="37" t="s">
        <v>200</v>
      </c>
      <c r="T38" s="48">
        <v>1</v>
      </c>
      <c r="U38" s="30">
        <v>85800</v>
      </c>
      <c r="V38" s="41">
        <v>85800</v>
      </c>
      <c r="W38" s="41">
        <v>24333</v>
      </c>
      <c r="X38" s="41">
        <v>7597</v>
      </c>
      <c r="Y38" s="41"/>
      <c r="Z38" s="41"/>
      <c r="AA38" s="41"/>
      <c r="AB38" s="41"/>
      <c r="AC38" s="68">
        <v>8368</v>
      </c>
      <c r="AD38" s="68"/>
      <c r="AE38" s="68"/>
      <c r="AF38" s="68"/>
      <c r="AG38" s="68"/>
      <c r="AH38" s="41">
        <v>8368</v>
      </c>
      <c r="AI38" s="41"/>
      <c r="AJ38" s="41"/>
      <c r="AK38" s="41"/>
      <c r="AL38" s="41"/>
      <c r="AM38" s="41">
        <v>0</v>
      </c>
      <c r="AN38" s="41">
        <v>24333</v>
      </c>
      <c r="AO38" s="41">
        <v>24333</v>
      </c>
      <c r="AP38" s="40"/>
      <c r="AQ38" s="36">
        <v>44936</v>
      </c>
      <c r="AR38" s="36">
        <v>44986</v>
      </c>
      <c r="AS38" s="36">
        <v>45323</v>
      </c>
      <c r="AT38" s="36">
        <v>44958</v>
      </c>
      <c r="AU38" s="36">
        <v>45000</v>
      </c>
      <c r="AV38" s="38">
        <v>45366</v>
      </c>
      <c r="AW38" s="40" t="s">
        <v>302</v>
      </c>
    </row>
    <row r="39" spans="1:49" s="34" customFormat="1" ht="78" x14ac:dyDescent="0.3">
      <c r="A39" s="39" t="s">
        <v>476</v>
      </c>
      <c r="B39" s="36">
        <v>44677</v>
      </c>
      <c r="C39" s="37">
        <v>1416</v>
      </c>
      <c r="D39" s="39" t="s">
        <v>477</v>
      </c>
      <c r="E39" s="1" t="s">
        <v>478</v>
      </c>
      <c r="F39" s="36">
        <v>44711</v>
      </c>
      <c r="G39" s="39" t="s">
        <v>479</v>
      </c>
      <c r="H39" s="40" t="s">
        <v>177</v>
      </c>
      <c r="I39" s="40" t="s">
        <v>480</v>
      </c>
      <c r="J39" s="41">
        <v>2082265948.3499999</v>
      </c>
      <c r="K39" s="41">
        <v>1387286299.3499999</v>
      </c>
      <c r="L39" s="30">
        <v>1387286299.3499999</v>
      </c>
      <c r="M39" s="30">
        <v>2082265948.3499999</v>
      </c>
      <c r="N39" s="40" t="s">
        <v>481</v>
      </c>
      <c r="O39" s="40" t="s">
        <v>482</v>
      </c>
      <c r="P39" s="40" t="s">
        <v>47</v>
      </c>
      <c r="Q39" s="37">
        <v>100</v>
      </c>
      <c r="R39" s="37">
        <v>0</v>
      </c>
      <c r="S39" s="37" t="s">
        <v>200</v>
      </c>
      <c r="T39" s="48">
        <v>21</v>
      </c>
      <c r="U39" s="30">
        <v>14142.849999999999</v>
      </c>
      <c r="V39" s="41">
        <v>296999.84999999998</v>
      </c>
      <c r="W39" s="41">
        <v>147231</v>
      </c>
      <c r="X39" s="41">
        <v>48951</v>
      </c>
      <c r="Y39" s="41"/>
      <c r="Z39" s="41"/>
      <c r="AA39" s="41"/>
      <c r="AB39" s="41"/>
      <c r="AC39" s="41">
        <v>49140</v>
      </c>
      <c r="AD39" s="41"/>
      <c r="AE39" s="41"/>
      <c r="AF39" s="41"/>
      <c r="AG39" s="41"/>
      <c r="AH39" s="41">
        <v>49140</v>
      </c>
      <c r="AI39" s="41"/>
      <c r="AJ39" s="41"/>
      <c r="AK39" s="41"/>
      <c r="AL39" s="41"/>
      <c r="AM39" s="41">
        <v>0</v>
      </c>
      <c r="AN39" s="41">
        <v>7011</v>
      </c>
      <c r="AO39" s="41">
        <v>7011</v>
      </c>
      <c r="AP39" s="40"/>
      <c r="AQ39" s="36">
        <v>44936</v>
      </c>
      <c r="AR39" s="36">
        <v>44986</v>
      </c>
      <c r="AS39" s="36">
        <v>45352</v>
      </c>
      <c r="AT39" s="36">
        <v>44951</v>
      </c>
      <c r="AU39" s="36">
        <v>45000</v>
      </c>
      <c r="AV39" s="38">
        <v>45366</v>
      </c>
      <c r="AW39" s="40" t="s">
        <v>302</v>
      </c>
    </row>
    <row r="40" spans="1:49" s="34" customFormat="1" ht="133.5" customHeight="1" x14ac:dyDescent="0.3">
      <c r="A40" s="39" t="s">
        <v>483</v>
      </c>
      <c r="B40" s="36">
        <v>44677</v>
      </c>
      <c r="C40" s="37">
        <v>1416</v>
      </c>
      <c r="D40" s="39" t="s">
        <v>484</v>
      </c>
      <c r="E40" s="1" t="s">
        <v>485</v>
      </c>
      <c r="F40" s="36">
        <v>44708</v>
      </c>
      <c r="G40" s="37" t="s">
        <v>486</v>
      </c>
      <c r="H40" s="40" t="s">
        <v>186</v>
      </c>
      <c r="I40" s="40" t="s">
        <v>487</v>
      </c>
      <c r="J40" s="41">
        <v>92331360</v>
      </c>
      <c r="K40" s="41">
        <v>92331360</v>
      </c>
      <c r="L40" s="30">
        <v>92331360</v>
      </c>
      <c r="M40" s="30">
        <v>92331360</v>
      </c>
      <c r="N40" s="40" t="s">
        <v>455</v>
      </c>
      <c r="O40" s="40" t="s">
        <v>488</v>
      </c>
      <c r="P40" s="40" t="s">
        <v>263</v>
      </c>
      <c r="Q40" s="37"/>
      <c r="R40" s="37"/>
      <c r="S40" s="37" t="s">
        <v>457</v>
      </c>
      <c r="T40" s="48">
        <v>500</v>
      </c>
      <c r="U40" s="30">
        <v>51.04</v>
      </c>
      <c r="V40" s="41">
        <v>25520</v>
      </c>
      <c r="W40" s="41">
        <v>1809000</v>
      </c>
      <c r="X40" s="41">
        <v>1809000</v>
      </c>
      <c r="Y40" s="41">
        <v>1449500</v>
      </c>
      <c r="Z40" s="41">
        <v>73982480</v>
      </c>
      <c r="AA40" s="41">
        <v>359500</v>
      </c>
      <c r="AB40" s="41">
        <v>18348880</v>
      </c>
      <c r="AC40" s="41"/>
      <c r="AD40" s="41"/>
      <c r="AE40" s="41">
        <v>0</v>
      </c>
      <c r="AF40" s="41"/>
      <c r="AG40" s="41">
        <v>0</v>
      </c>
      <c r="AH40" s="41"/>
      <c r="AI40" s="41"/>
      <c r="AJ40" s="41">
        <v>0</v>
      </c>
      <c r="AK40" s="41"/>
      <c r="AL40" s="41">
        <v>0</v>
      </c>
      <c r="AM40" s="41">
        <v>73982480</v>
      </c>
      <c r="AN40" s="41">
        <v>3618</v>
      </c>
      <c r="AO40" s="41">
        <v>3618</v>
      </c>
      <c r="AP40" s="40"/>
      <c r="AQ40" s="36">
        <v>44958</v>
      </c>
      <c r="AR40" s="36"/>
      <c r="AS40" s="36"/>
      <c r="AT40" s="36">
        <v>44972</v>
      </c>
      <c r="AU40" s="36"/>
      <c r="AV40" s="38"/>
      <c r="AW40" s="40" t="s">
        <v>87</v>
      </c>
    </row>
    <row r="41" spans="1:49" s="34" customFormat="1" ht="139.5" customHeight="1" x14ac:dyDescent="0.3">
      <c r="A41" s="39" t="s">
        <v>489</v>
      </c>
      <c r="B41" s="36">
        <v>44677</v>
      </c>
      <c r="C41" s="37">
        <v>1416</v>
      </c>
      <c r="D41" s="39" t="s">
        <v>490</v>
      </c>
      <c r="E41" s="39" t="s">
        <v>491</v>
      </c>
      <c r="F41" s="39" t="s">
        <v>491</v>
      </c>
      <c r="G41" s="39" t="s">
        <v>491</v>
      </c>
      <c r="H41" s="39" t="s">
        <v>491</v>
      </c>
      <c r="I41" s="40" t="s">
        <v>492</v>
      </c>
      <c r="J41" s="41">
        <v>175678740</v>
      </c>
      <c r="K41" s="42" t="s">
        <v>490</v>
      </c>
      <c r="L41" s="30" t="s">
        <v>490</v>
      </c>
      <c r="M41" s="30" t="s">
        <v>490</v>
      </c>
      <c r="N41" s="42" t="s">
        <v>490</v>
      </c>
      <c r="O41" s="63" t="s">
        <v>490</v>
      </c>
      <c r="P41" s="42" t="s">
        <v>490</v>
      </c>
      <c r="Q41" s="42" t="s">
        <v>490</v>
      </c>
      <c r="R41" s="42" t="s">
        <v>490</v>
      </c>
      <c r="S41" s="42" t="s">
        <v>490</v>
      </c>
      <c r="T41" s="42" t="s">
        <v>490</v>
      </c>
      <c r="U41" s="42" t="s">
        <v>490</v>
      </c>
      <c r="V41" s="42" t="s">
        <v>490</v>
      </c>
      <c r="W41" s="42" t="s">
        <v>490</v>
      </c>
      <c r="X41" s="42" t="s">
        <v>490</v>
      </c>
      <c r="Y41" s="42"/>
      <c r="Z41" s="42"/>
      <c r="AA41" s="42"/>
      <c r="AB41" s="42"/>
      <c r="AC41" s="42" t="s">
        <v>490</v>
      </c>
      <c r="AD41" s="42"/>
      <c r="AE41" s="42"/>
      <c r="AF41" s="42"/>
      <c r="AG41" s="42"/>
      <c r="AH41" s="42" t="s">
        <v>490</v>
      </c>
      <c r="AI41" s="42"/>
      <c r="AJ41" s="42"/>
      <c r="AK41" s="42"/>
      <c r="AL41" s="42"/>
      <c r="AM41" s="41">
        <v>0</v>
      </c>
      <c r="AN41" s="42" t="s">
        <v>490</v>
      </c>
      <c r="AO41" s="42" t="s">
        <v>490</v>
      </c>
      <c r="AP41" s="42" t="s">
        <v>490</v>
      </c>
      <c r="AQ41" s="42" t="s">
        <v>490</v>
      </c>
      <c r="AR41" s="42" t="s">
        <v>490</v>
      </c>
      <c r="AS41" s="42" t="s">
        <v>490</v>
      </c>
      <c r="AT41" s="42" t="s">
        <v>490</v>
      </c>
      <c r="AU41" s="42" t="s">
        <v>490</v>
      </c>
      <c r="AV41" s="42" t="s">
        <v>490</v>
      </c>
      <c r="AW41" s="42" t="s">
        <v>490</v>
      </c>
    </row>
    <row r="42" spans="1:49" s="34" customFormat="1" ht="137.25" customHeight="1" x14ac:dyDescent="0.3">
      <c r="A42" s="39" t="s">
        <v>493</v>
      </c>
      <c r="B42" s="36">
        <v>44678</v>
      </c>
      <c r="C42" s="37">
        <v>1416</v>
      </c>
      <c r="D42" s="39" t="s">
        <v>494</v>
      </c>
      <c r="E42" s="1" t="s">
        <v>495</v>
      </c>
      <c r="F42" s="36">
        <v>44720</v>
      </c>
      <c r="G42" s="39" t="s">
        <v>496</v>
      </c>
      <c r="H42" s="40" t="s">
        <v>387</v>
      </c>
      <c r="I42" s="40" t="s">
        <v>497</v>
      </c>
      <c r="J42" s="41">
        <v>2419113638.4000001</v>
      </c>
      <c r="K42" s="41">
        <v>1209556819.2</v>
      </c>
      <c r="L42" s="30">
        <v>1209556819.2</v>
      </c>
      <c r="M42" s="30">
        <v>2419113638.4000001</v>
      </c>
      <c r="N42" s="40" t="s">
        <v>442</v>
      </c>
      <c r="O42" s="40" t="s">
        <v>498</v>
      </c>
      <c r="P42" s="40" t="s">
        <v>47</v>
      </c>
      <c r="Q42" s="37">
        <v>100</v>
      </c>
      <c r="R42" s="37">
        <v>0</v>
      </c>
      <c r="S42" s="37" t="s">
        <v>219</v>
      </c>
      <c r="T42" s="48">
        <v>1.5</v>
      </c>
      <c r="U42" s="30">
        <v>6006.4000000000005</v>
      </c>
      <c r="V42" s="41">
        <v>9009.6</v>
      </c>
      <c r="W42" s="41">
        <v>402756</v>
      </c>
      <c r="X42" s="41">
        <v>201378</v>
      </c>
      <c r="Y42" s="41">
        <v>7902</v>
      </c>
      <c r="Z42" s="41">
        <v>47462572.800000004</v>
      </c>
      <c r="AA42" s="41">
        <v>193476</v>
      </c>
      <c r="AB42" s="41">
        <v>1162094246.4000001</v>
      </c>
      <c r="AC42" s="41">
        <v>201378</v>
      </c>
      <c r="AD42" s="41"/>
      <c r="AE42" s="41"/>
      <c r="AF42" s="41"/>
      <c r="AG42" s="41"/>
      <c r="AH42" s="41"/>
      <c r="AI42" s="41"/>
      <c r="AJ42" s="41"/>
      <c r="AK42" s="41"/>
      <c r="AL42" s="41"/>
      <c r="AM42" s="41">
        <v>47462572.800000004</v>
      </c>
      <c r="AN42" s="41">
        <v>268504</v>
      </c>
      <c r="AO42" s="41">
        <v>268504</v>
      </c>
      <c r="AP42" s="40"/>
      <c r="AQ42" s="36">
        <v>44958</v>
      </c>
      <c r="AR42" s="36">
        <v>45352</v>
      </c>
      <c r="AS42" s="36"/>
      <c r="AT42" s="36">
        <v>44972</v>
      </c>
      <c r="AU42" s="36">
        <v>45366</v>
      </c>
      <c r="AV42" s="38"/>
      <c r="AW42" s="40" t="s">
        <v>302</v>
      </c>
    </row>
    <row r="43" spans="1:49" s="34" customFormat="1" ht="137.25" customHeight="1" x14ac:dyDescent="0.3">
      <c r="A43" s="39" t="s">
        <v>499</v>
      </c>
      <c r="B43" s="36">
        <v>44678</v>
      </c>
      <c r="C43" s="37">
        <v>1416</v>
      </c>
      <c r="D43" s="39" t="s">
        <v>500</v>
      </c>
      <c r="E43" s="1" t="s">
        <v>501</v>
      </c>
      <c r="F43" s="36">
        <v>44712</v>
      </c>
      <c r="G43" s="37" t="s">
        <v>502</v>
      </c>
      <c r="H43" s="40" t="s">
        <v>186</v>
      </c>
      <c r="I43" s="40" t="s">
        <v>503</v>
      </c>
      <c r="J43" s="41">
        <v>43857299.299999997</v>
      </c>
      <c r="K43" s="41">
        <v>43857244.079999998</v>
      </c>
      <c r="L43" s="30">
        <v>43857244.079999998</v>
      </c>
      <c r="M43" s="30">
        <v>43857244.079999998</v>
      </c>
      <c r="N43" s="40" t="s">
        <v>504</v>
      </c>
      <c r="O43" s="40" t="s">
        <v>505</v>
      </c>
      <c r="P43" s="40" t="s">
        <v>348</v>
      </c>
      <c r="Q43" s="37">
        <v>0</v>
      </c>
      <c r="R43" s="37">
        <v>100</v>
      </c>
      <c r="S43" s="37" t="s">
        <v>219</v>
      </c>
      <c r="T43" s="48">
        <v>11.7</v>
      </c>
      <c r="U43" s="30">
        <v>7941.7</v>
      </c>
      <c r="V43" s="41">
        <v>92917.89</v>
      </c>
      <c r="W43" s="41">
        <v>5522.4</v>
      </c>
      <c r="X43" s="41">
        <v>5522.4</v>
      </c>
      <c r="Y43" s="41"/>
      <c r="Z43" s="41"/>
      <c r="AA43" s="41"/>
      <c r="AB43" s="41"/>
      <c r="AC43" s="41"/>
      <c r="AD43" s="41"/>
      <c r="AE43" s="41"/>
      <c r="AF43" s="41"/>
      <c r="AG43" s="41"/>
      <c r="AH43" s="41"/>
      <c r="AI43" s="41"/>
      <c r="AJ43" s="41"/>
      <c r="AK43" s="41"/>
      <c r="AL43" s="41"/>
      <c r="AM43" s="41">
        <v>0</v>
      </c>
      <c r="AN43" s="41">
        <v>472</v>
      </c>
      <c r="AO43" s="41">
        <v>472</v>
      </c>
      <c r="AP43" s="40"/>
      <c r="AQ43" s="36">
        <v>44958</v>
      </c>
      <c r="AR43" s="36"/>
      <c r="AS43" s="36"/>
      <c r="AT43" s="36">
        <v>44972</v>
      </c>
      <c r="AU43" s="36"/>
      <c r="AV43" s="38"/>
      <c r="AW43" s="40" t="s">
        <v>87</v>
      </c>
    </row>
    <row r="44" spans="1:49" s="34" customFormat="1" ht="46.8" x14ac:dyDescent="0.3">
      <c r="A44" s="39" t="s">
        <v>506</v>
      </c>
      <c r="B44" s="36">
        <v>44678</v>
      </c>
      <c r="C44" s="37">
        <v>1416</v>
      </c>
      <c r="D44" s="39" t="s">
        <v>459</v>
      </c>
      <c r="E44" s="39" t="s">
        <v>459</v>
      </c>
      <c r="F44" s="39" t="s">
        <v>459</v>
      </c>
      <c r="G44" s="39" t="s">
        <v>459</v>
      </c>
      <c r="H44" s="39" t="s">
        <v>459</v>
      </c>
      <c r="I44" s="40" t="s">
        <v>507</v>
      </c>
      <c r="J44" s="41">
        <v>403573793.92000002</v>
      </c>
      <c r="K44" s="42" t="s">
        <v>459</v>
      </c>
      <c r="L44" s="30" t="s">
        <v>459</v>
      </c>
      <c r="M44" s="30">
        <v>702951908.88</v>
      </c>
      <c r="N44" s="42" t="s">
        <v>459</v>
      </c>
      <c r="O44" s="63" t="s">
        <v>459</v>
      </c>
      <c r="P44" s="42" t="s">
        <v>459</v>
      </c>
      <c r="Q44" s="42" t="s">
        <v>459</v>
      </c>
      <c r="R44" s="42" t="s">
        <v>459</v>
      </c>
      <c r="S44" s="42" t="s">
        <v>459</v>
      </c>
      <c r="T44" s="42" t="s">
        <v>459</v>
      </c>
      <c r="U44" s="42" t="s">
        <v>459</v>
      </c>
      <c r="V44" s="42" t="s">
        <v>459</v>
      </c>
      <c r="W44" s="42" t="s">
        <v>459</v>
      </c>
      <c r="X44" s="42" t="s">
        <v>459</v>
      </c>
      <c r="Y44" s="42"/>
      <c r="Z44" s="42"/>
      <c r="AA44" s="42"/>
      <c r="AB44" s="42"/>
      <c r="AC44" s="42" t="s">
        <v>459</v>
      </c>
      <c r="AD44" s="42"/>
      <c r="AE44" s="42"/>
      <c r="AF44" s="42"/>
      <c r="AG44" s="42"/>
      <c r="AH44" s="42" t="s">
        <v>459</v>
      </c>
      <c r="AI44" s="42"/>
      <c r="AJ44" s="42"/>
      <c r="AK44" s="42"/>
      <c r="AL44" s="42"/>
      <c r="AM44" s="41">
        <v>0</v>
      </c>
      <c r="AN44" s="42" t="s">
        <v>459</v>
      </c>
      <c r="AO44" s="42" t="s">
        <v>459</v>
      </c>
      <c r="AP44" s="42" t="s">
        <v>459</v>
      </c>
      <c r="AQ44" s="42" t="s">
        <v>459</v>
      </c>
      <c r="AR44" s="42" t="s">
        <v>459</v>
      </c>
      <c r="AS44" s="42" t="s">
        <v>459</v>
      </c>
      <c r="AT44" s="42" t="s">
        <v>459</v>
      </c>
      <c r="AU44" s="42" t="s">
        <v>459</v>
      </c>
      <c r="AV44" s="42" t="s">
        <v>459</v>
      </c>
      <c r="AW44" s="42" t="s">
        <v>459</v>
      </c>
    </row>
    <row r="45" spans="1:49" s="34" customFormat="1" ht="47.25" customHeight="1" x14ac:dyDescent="0.3">
      <c r="A45" s="39" t="s">
        <v>508</v>
      </c>
      <c r="B45" s="36">
        <v>44678</v>
      </c>
      <c r="C45" s="37">
        <v>1416</v>
      </c>
      <c r="D45" s="39" t="s">
        <v>509</v>
      </c>
      <c r="E45" s="1" t="s">
        <v>510</v>
      </c>
      <c r="F45" s="36">
        <v>44711</v>
      </c>
      <c r="G45" s="39" t="s">
        <v>511</v>
      </c>
      <c r="H45" s="40" t="s">
        <v>177</v>
      </c>
      <c r="I45" s="40" t="s">
        <v>512</v>
      </c>
      <c r="J45" s="41">
        <v>11608792.560000001</v>
      </c>
      <c r="K45" s="41">
        <v>5804396.2800000003</v>
      </c>
      <c r="L45" s="30">
        <v>5804396.2800000003</v>
      </c>
      <c r="M45" s="30">
        <v>11608792.560000001</v>
      </c>
      <c r="N45" s="40" t="s">
        <v>513</v>
      </c>
      <c r="O45" s="40" t="s">
        <v>514</v>
      </c>
      <c r="P45" s="40" t="s">
        <v>218</v>
      </c>
      <c r="Q45" s="37">
        <v>0</v>
      </c>
      <c r="R45" s="37">
        <v>100</v>
      </c>
      <c r="S45" s="37" t="s">
        <v>200</v>
      </c>
      <c r="T45" s="48">
        <v>2</v>
      </c>
      <c r="U45" s="30">
        <v>22497.66</v>
      </c>
      <c r="V45" s="41">
        <v>44995.32</v>
      </c>
      <c r="W45" s="41">
        <v>516</v>
      </c>
      <c r="X45" s="41">
        <v>258</v>
      </c>
      <c r="Y45" s="41"/>
      <c r="Z45" s="41"/>
      <c r="AA45" s="41"/>
      <c r="AB45" s="41"/>
      <c r="AC45" s="41">
        <v>258</v>
      </c>
      <c r="AD45" s="41"/>
      <c r="AE45" s="41">
        <v>0</v>
      </c>
      <c r="AF45" s="41"/>
      <c r="AG45" s="41">
        <v>0</v>
      </c>
      <c r="AH45" s="41"/>
      <c r="AI45" s="41"/>
      <c r="AJ45" s="41">
        <v>0</v>
      </c>
      <c r="AK45" s="41"/>
      <c r="AL45" s="41">
        <v>0</v>
      </c>
      <c r="AM45" s="41">
        <v>0</v>
      </c>
      <c r="AN45" s="41">
        <v>258</v>
      </c>
      <c r="AO45" s="41">
        <v>258</v>
      </c>
      <c r="AP45" s="40"/>
      <c r="AQ45" s="36">
        <v>44958</v>
      </c>
      <c r="AR45" s="36">
        <v>45352</v>
      </c>
      <c r="AS45" s="36"/>
      <c r="AT45" s="36">
        <v>44972</v>
      </c>
      <c r="AU45" s="36">
        <v>45366</v>
      </c>
      <c r="AV45" s="38"/>
      <c r="AW45" s="40" t="s">
        <v>302</v>
      </c>
    </row>
    <row r="46" spans="1:49" s="34" customFormat="1" ht="63.75" customHeight="1" x14ac:dyDescent="0.3">
      <c r="A46" s="39" t="s">
        <v>515</v>
      </c>
      <c r="B46" s="36">
        <v>44678</v>
      </c>
      <c r="C46" s="37">
        <v>1416</v>
      </c>
      <c r="D46" s="39" t="s">
        <v>516</v>
      </c>
      <c r="E46" s="1" t="s">
        <v>517</v>
      </c>
      <c r="F46" s="36">
        <v>44711</v>
      </c>
      <c r="G46" s="39" t="s">
        <v>518</v>
      </c>
      <c r="H46" s="40" t="s">
        <v>224</v>
      </c>
      <c r="I46" s="40" t="s">
        <v>519</v>
      </c>
      <c r="J46" s="41">
        <v>200319360</v>
      </c>
      <c r="K46" s="41">
        <v>133077600</v>
      </c>
      <c r="L46" s="30">
        <v>133077600</v>
      </c>
      <c r="M46" s="30">
        <v>200319360</v>
      </c>
      <c r="N46" s="40" t="s">
        <v>369</v>
      </c>
      <c r="O46" s="40" t="s">
        <v>520</v>
      </c>
      <c r="P46" s="40" t="s">
        <v>218</v>
      </c>
      <c r="Q46" s="37">
        <v>0</v>
      </c>
      <c r="R46" s="37">
        <v>100</v>
      </c>
      <c r="S46" s="37" t="s">
        <v>229</v>
      </c>
      <c r="T46" s="48">
        <v>2000</v>
      </c>
      <c r="U46" s="30">
        <v>12.12</v>
      </c>
      <c r="V46" s="41">
        <v>24240</v>
      </c>
      <c r="W46" s="41">
        <v>16528000</v>
      </c>
      <c r="X46" s="41">
        <v>5432000</v>
      </c>
      <c r="Y46" s="41"/>
      <c r="Z46" s="41"/>
      <c r="AA46" s="41"/>
      <c r="AB46" s="41"/>
      <c r="AC46" s="41">
        <v>5548000</v>
      </c>
      <c r="AD46" s="41"/>
      <c r="AE46" s="41"/>
      <c r="AF46" s="41"/>
      <c r="AG46" s="41"/>
      <c r="AH46" s="41">
        <v>5548000</v>
      </c>
      <c r="AI46" s="41"/>
      <c r="AJ46" s="41"/>
      <c r="AK46" s="41"/>
      <c r="AL46" s="41"/>
      <c r="AM46" s="41">
        <v>0</v>
      </c>
      <c r="AN46" s="41">
        <v>8264</v>
      </c>
      <c r="AO46" s="41">
        <v>8264</v>
      </c>
      <c r="AP46" s="40"/>
      <c r="AQ46" s="36">
        <v>44967</v>
      </c>
      <c r="AR46" s="36">
        <v>44986</v>
      </c>
      <c r="AS46" s="36">
        <v>45352</v>
      </c>
      <c r="AT46" s="36">
        <v>44982</v>
      </c>
      <c r="AU46" s="36">
        <v>45000</v>
      </c>
      <c r="AV46" s="38">
        <v>45366</v>
      </c>
      <c r="AW46" s="40" t="s">
        <v>302</v>
      </c>
    </row>
    <row r="47" spans="1:49" s="34" customFormat="1" ht="63.75" customHeight="1" x14ac:dyDescent="0.3">
      <c r="A47" s="39" t="s">
        <v>521</v>
      </c>
      <c r="B47" s="36">
        <v>44678</v>
      </c>
      <c r="C47" s="37">
        <v>1416</v>
      </c>
      <c r="D47" s="39" t="s">
        <v>459</v>
      </c>
      <c r="E47" s="39" t="s">
        <v>459</v>
      </c>
      <c r="F47" s="39" t="s">
        <v>459</v>
      </c>
      <c r="G47" s="39" t="s">
        <v>459</v>
      </c>
      <c r="H47" s="39" t="s">
        <v>459</v>
      </c>
      <c r="I47" s="40" t="s">
        <v>522</v>
      </c>
      <c r="J47" s="41">
        <v>1927740303.28</v>
      </c>
      <c r="K47" s="42" t="s">
        <v>459</v>
      </c>
      <c r="L47" s="30" t="s">
        <v>459</v>
      </c>
      <c r="M47" s="30" t="s">
        <v>459</v>
      </c>
      <c r="N47" s="42" t="s">
        <v>459</v>
      </c>
      <c r="O47" s="63" t="s">
        <v>459</v>
      </c>
      <c r="P47" s="42" t="s">
        <v>459</v>
      </c>
      <c r="Q47" s="42" t="s">
        <v>459</v>
      </c>
      <c r="R47" s="42" t="s">
        <v>459</v>
      </c>
      <c r="S47" s="42" t="s">
        <v>459</v>
      </c>
      <c r="T47" s="42" t="s">
        <v>459</v>
      </c>
      <c r="U47" s="42" t="s">
        <v>459</v>
      </c>
      <c r="V47" s="42" t="s">
        <v>459</v>
      </c>
      <c r="W47" s="42" t="s">
        <v>459</v>
      </c>
      <c r="X47" s="42" t="s">
        <v>459</v>
      </c>
      <c r="Y47" s="42"/>
      <c r="Z47" s="42"/>
      <c r="AA47" s="42"/>
      <c r="AB47" s="42"/>
      <c r="AC47" s="42" t="s">
        <v>459</v>
      </c>
      <c r="AD47" s="42"/>
      <c r="AE47" s="42"/>
      <c r="AF47" s="42"/>
      <c r="AG47" s="42"/>
      <c r="AH47" s="42" t="s">
        <v>459</v>
      </c>
      <c r="AI47" s="42"/>
      <c r="AJ47" s="42"/>
      <c r="AK47" s="42"/>
      <c r="AL47" s="42"/>
      <c r="AM47" s="41">
        <v>0</v>
      </c>
      <c r="AN47" s="42" t="s">
        <v>459</v>
      </c>
      <c r="AO47" s="42" t="s">
        <v>459</v>
      </c>
      <c r="AP47" s="42" t="s">
        <v>459</v>
      </c>
      <c r="AQ47" s="42" t="s">
        <v>459</v>
      </c>
      <c r="AR47" s="42" t="s">
        <v>459</v>
      </c>
      <c r="AS47" s="42" t="s">
        <v>459</v>
      </c>
      <c r="AT47" s="42" t="s">
        <v>459</v>
      </c>
      <c r="AU47" s="42" t="s">
        <v>459</v>
      </c>
      <c r="AV47" s="42" t="s">
        <v>459</v>
      </c>
      <c r="AW47" s="42" t="s">
        <v>459</v>
      </c>
    </row>
    <row r="48" spans="1:49" s="34" customFormat="1" ht="63.75" customHeight="1" x14ac:dyDescent="0.3">
      <c r="A48" s="39" t="s">
        <v>523</v>
      </c>
      <c r="B48" s="36">
        <v>44678</v>
      </c>
      <c r="C48" s="37">
        <v>1416</v>
      </c>
      <c r="D48" s="39" t="s">
        <v>524</v>
      </c>
      <c r="E48" s="1" t="s">
        <v>525</v>
      </c>
      <c r="F48" s="36">
        <v>44711</v>
      </c>
      <c r="G48" s="39" t="s">
        <v>526</v>
      </c>
      <c r="H48" s="40" t="s">
        <v>177</v>
      </c>
      <c r="I48" s="40" t="s">
        <v>527</v>
      </c>
      <c r="J48" s="41">
        <v>9624025.5999999996</v>
      </c>
      <c r="K48" s="41">
        <v>4812012.8</v>
      </c>
      <c r="L48" s="30">
        <v>4812012.8</v>
      </c>
      <c r="M48" s="30">
        <v>9624025.5999999996</v>
      </c>
      <c r="N48" s="40" t="s">
        <v>528</v>
      </c>
      <c r="O48" s="40" t="s">
        <v>529</v>
      </c>
      <c r="P48" s="40" t="s">
        <v>199</v>
      </c>
      <c r="Q48" s="44">
        <v>0</v>
      </c>
      <c r="R48" s="37">
        <v>100</v>
      </c>
      <c r="S48" s="37" t="s">
        <v>219</v>
      </c>
      <c r="T48" s="48">
        <v>4</v>
      </c>
      <c r="U48" s="30">
        <v>8592.8799999999992</v>
      </c>
      <c r="V48" s="41">
        <v>34371.519999999997</v>
      </c>
      <c r="W48" s="41">
        <v>1120</v>
      </c>
      <c r="X48" s="41">
        <v>560</v>
      </c>
      <c r="Y48" s="41"/>
      <c r="Z48" s="41"/>
      <c r="AA48" s="41"/>
      <c r="AB48" s="41"/>
      <c r="AC48" s="41">
        <v>560</v>
      </c>
      <c r="AD48" s="41"/>
      <c r="AE48" s="41">
        <v>0</v>
      </c>
      <c r="AF48" s="41"/>
      <c r="AG48" s="41">
        <v>0</v>
      </c>
      <c r="AH48" s="41"/>
      <c r="AI48" s="41"/>
      <c r="AJ48" s="41">
        <v>0</v>
      </c>
      <c r="AK48" s="41"/>
      <c r="AL48" s="41">
        <v>0</v>
      </c>
      <c r="AM48" s="41">
        <v>0</v>
      </c>
      <c r="AN48" s="41">
        <v>280</v>
      </c>
      <c r="AO48" s="41">
        <v>280</v>
      </c>
      <c r="AP48" s="40"/>
      <c r="AQ48" s="36">
        <v>44986</v>
      </c>
      <c r="AR48" s="36">
        <v>45352</v>
      </c>
      <c r="AS48" s="36"/>
      <c r="AT48" s="36">
        <v>45000</v>
      </c>
      <c r="AU48" s="36">
        <v>45366</v>
      </c>
      <c r="AV48" s="38"/>
      <c r="AW48" s="40" t="s">
        <v>302</v>
      </c>
    </row>
    <row r="49" spans="1:49" s="34" customFormat="1" ht="47.25" customHeight="1" x14ac:dyDescent="0.3">
      <c r="A49" s="39" t="s">
        <v>530</v>
      </c>
      <c r="B49" s="36">
        <v>44679</v>
      </c>
      <c r="C49" s="37">
        <v>1416</v>
      </c>
      <c r="D49" s="39" t="s">
        <v>531</v>
      </c>
      <c r="E49" s="1" t="s">
        <v>532</v>
      </c>
      <c r="F49" s="36">
        <v>44711</v>
      </c>
      <c r="G49" s="39" t="s">
        <v>533</v>
      </c>
      <c r="H49" s="40" t="s">
        <v>177</v>
      </c>
      <c r="I49" s="40" t="s">
        <v>534</v>
      </c>
      <c r="J49" s="41">
        <v>44846945.640000001</v>
      </c>
      <c r="K49" s="41">
        <v>22423472.82</v>
      </c>
      <c r="L49" s="30">
        <v>22423472.82</v>
      </c>
      <c r="M49" s="30">
        <v>44846945.640000001</v>
      </c>
      <c r="N49" s="40" t="s">
        <v>535</v>
      </c>
      <c r="O49" s="40" t="s">
        <v>536</v>
      </c>
      <c r="P49" s="40" t="s">
        <v>47</v>
      </c>
      <c r="Q49" s="44">
        <v>100</v>
      </c>
      <c r="R49" s="37">
        <v>0</v>
      </c>
      <c r="S49" s="37" t="s">
        <v>200</v>
      </c>
      <c r="T49" s="48">
        <v>21</v>
      </c>
      <c r="U49" s="30">
        <v>7071.42</v>
      </c>
      <c r="V49" s="41">
        <v>148499.82</v>
      </c>
      <c r="W49" s="41">
        <v>6342</v>
      </c>
      <c r="X49" s="41">
        <v>3171</v>
      </c>
      <c r="Y49" s="41"/>
      <c r="Z49" s="41"/>
      <c r="AA49" s="41"/>
      <c r="AB49" s="41"/>
      <c r="AC49" s="41">
        <v>3171</v>
      </c>
      <c r="AD49" s="41"/>
      <c r="AE49" s="41"/>
      <c r="AF49" s="41"/>
      <c r="AG49" s="41"/>
      <c r="AH49" s="41"/>
      <c r="AI49" s="41"/>
      <c r="AJ49" s="41"/>
      <c r="AK49" s="41"/>
      <c r="AL49" s="41"/>
      <c r="AM49" s="41">
        <v>0</v>
      </c>
      <c r="AN49" s="41">
        <v>302</v>
      </c>
      <c r="AO49" s="41">
        <v>302</v>
      </c>
      <c r="AP49" s="40"/>
      <c r="AQ49" s="36">
        <v>44986</v>
      </c>
      <c r="AR49" s="36">
        <v>45352</v>
      </c>
      <c r="AS49" s="36"/>
      <c r="AT49" s="36">
        <v>45000</v>
      </c>
      <c r="AU49" s="36">
        <v>45366</v>
      </c>
      <c r="AV49" s="38"/>
      <c r="AW49" s="40" t="s">
        <v>302</v>
      </c>
    </row>
    <row r="50" spans="1:49" s="34" customFormat="1" ht="107.25" customHeight="1" x14ac:dyDescent="0.3">
      <c r="A50" s="39" t="s">
        <v>537</v>
      </c>
      <c r="B50" s="36">
        <v>44679</v>
      </c>
      <c r="C50" s="37">
        <v>1416</v>
      </c>
      <c r="D50" s="39" t="s">
        <v>538</v>
      </c>
      <c r="E50" s="1" t="s">
        <v>539</v>
      </c>
      <c r="F50" s="36">
        <v>44711</v>
      </c>
      <c r="G50" s="39" t="s">
        <v>540</v>
      </c>
      <c r="H50" s="40" t="s">
        <v>186</v>
      </c>
      <c r="I50" s="40" t="s">
        <v>541</v>
      </c>
      <c r="J50" s="41">
        <v>20703825</v>
      </c>
      <c r="K50" s="41">
        <v>20703825</v>
      </c>
      <c r="L50" s="30">
        <v>20703825</v>
      </c>
      <c r="M50" s="30">
        <v>20703825</v>
      </c>
      <c r="N50" s="40" t="s">
        <v>419</v>
      </c>
      <c r="O50" s="40" t="s">
        <v>542</v>
      </c>
      <c r="P50" s="40" t="s">
        <v>543</v>
      </c>
      <c r="Q50" s="37">
        <v>0</v>
      </c>
      <c r="R50" s="37">
        <v>100</v>
      </c>
      <c r="S50" s="37" t="s">
        <v>229</v>
      </c>
      <c r="T50" s="48">
        <v>250</v>
      </c>
      <c r="U50" s="30">
        <v>13.05</v>
      </c>
      <c r="V50" s="41">
        <v>3262.5</v>
      </c>
      <c r="W50" s="41">
        <v>1586500</v>
      </c>
      <c r="X50" s="41">
        <v>1586500</v>
      </c>
      <c r="Y50" s="41">
        <v>773250</v>
      </c>
      <c r="Z50" s="41">
        <v>10090912.5</v>
      </c>
      <c r="AA50" s="41">
        <v>813250</v>
      </c>
      <c r="AB50" s="41">
        <v>10612912.5</v>
      </c>
      <c r="AC50" s="41">
        <v>0</v>
      </c>
      <c r="AD50" s="41">
        <v>0</v>
      </c>
      <c r="AE50" s="41">
        <v>0</v>
      </c>
      <c r="AF50" s="41">
        <v>0</v>
      </c>
      <c r="AG50" s="41">
        <v>0</v>
      </c>
      <c r="AH50" s="41">
        <v>0</v>
      </c>
      <c r="AI50" s="41">
        <v>0</v>
      </c>
      <c r="AJ50" s="41">
        <v>0</v>
      </c>
      <c r="AK50" s="41">
        <v>0</v>
      </c>
      <c r="AL50" s="41">
        <v>0</v>
      </c>
      <c r="AM50" s="41">
        <v>10090912.5</v>
      </c>
      <c r="AN50" s="41">
        <v>6346</v>
      </c>
      <c r="AO50" s="41">
        <v>6346</v>
      </c>
      <c r="AP50" s="40"/>
      <c r="AQ50" s="36">
        <v>44958</v>
      </c>
      <c r="AR50" s="36"/>
      <c r="AS50" s="36"/>
      <c r="AT50" s="36">
        <v>44972</v>
      </c>
      <c r="AU50" s="36"/>
      <c r="AV50" s="38"/>
      <c r="AW50" s="40" t="s">
        <v>87</v>
      </c>
    </row>
    <row r="51" spans="1:49" s="34" customFormat="1" ht="31.5" customHeight="1" x14ac:dyDescent="0.3">
      <c r="A51" s="39" t="s">
        <v>544</v>
      </c>
      <c r="B51" s="36">
        <v>44679</v>
      </c>
      <c r="C51" s="37">
        <v>1416</v>
      </c>
      <c r="D51" s="39" t="s">
        <v>545</v>
      </c>
      <c r="E51" s="1" t="s">
        <v>546</v>
      </c>
      <c r="F51" s="36">
        <v>44711</v>
      </c>
      <c r="G51" s="39" t="s">
        <v>547</v>
      </c>
      <c r="H51" s="40" t="s">
        <v>224</v>
      </c>
      <c r="I51" s="40" t="s">
        <v>548</v>
      </c>
      <c r="J51" s="41">
        <v>16510998.42</v>
      </c>
      <c r="K51" s="41">
        <v>16510998.42</v>
      </c>
      <c r="L51" s="30">
        <v>16510998.42</v>
      </c>
      <c r="M51" s="30">
        <v>16510998.42</v>
      </c>
      <c r="N51" s="40" t="s">
        <v>549</v>
      </c>
      <c r="O51" s="40" t="s">
        <v>550</v>
      </c>
      <c r="P51" s="40" t="s">
        <v>218</v>
      </c>
      <c r="Q51" s="37">
        <v>0</v>
      </c>
      <c r="R51" s="37">
        <v>100</v>
      </c>
      <c r="S51" s="37" t="s">
        <v>200</v>
      </c>
      <c r="T51" s="54">
        <v>3</v>
      </c>
      <c r="U51" s="30">
        <v>69666.66</v>
      </c>
      <c r="V51" s="41">
        <v>208999.98</v>
      </c>
      <c r="W51" s="41">
        <v>237</v>
      </c>
      <c r="X51" s="41">
        <v>237</v>
      </c>
      <c r="Y51" s="41"/>
      <c r="Z51" s="41"/>
      <c r="AA51" s="41"/>
      <c r="AB51" s="41"/>
      <c r="AC51" s="41"/>
      <c r="AD51" s="41"/>
      <c r="AE51" s="41"/>
      <c r="AF51" s="41"/>
      <c r="AG51" s="41"/>
      <c r="AH51" s="41"/>
      <c r="AI51" s="41"/>
      <c r="AJ51" s="41"/>
      <c r="AK51" s="41"/>
      <c r="AL51" s="41"/>
      <c r="AM51" s="41">
        <v>0</v>
      </c>
      <c r="AN51" s="41">
        <v>79</v>
      </c>
      <c r="AO51" s="41">
        <v>79</v>
      </c>
      <c r="AP51" s="40"/>
      <c r="AQ51" s="36">
        <v>44958</v>
      </c>
      <c r="AR51" s="36"/>
      <c r="AS51" s="36"/>
      <c r="AT51" s="36">
        <v>44972</v>
      </c>
      <c r="AU51" s="36"/>
      <c r="AV51" s="38"/>
      <c r="AW51" s="40" t="s">
        <v>87</v>
      </c>
    </row>
    <row r="52" spans="1:49" s="34" customFormat="1" ht="78" x14ac:dyDescent="0.3">
      <c r="A52" s="39" t="s">
        <v>551</v>
      </c>
      <c r="B52" s="36">
        <v>44680</v>
      </c>
      <c r="C52" s="37">
        <v>1416</v>
      </c>
      <c r="D52" s="39" t="s">
        <v>552</v>
      </c>
      <c r="E52" s="1" t="s">
        <v>553</v>
      </c>
      <c r="F52" s="36">
        <v>44713</v>
      </c>
      <c r="G52" s="39" t="s">
        <v>554</v>
      </c>
      <c r="H52" s="40" t="s">
        <v>555</v>
      </c>
      <c r="I52" s="40" t="s">
        <v>556</v>
      </c>
      <c r="J52" s="41">
        <v>761678714.15999997</v>
      </c>
      <c r="K52" s="41">
        <v>377028331.68000001</v>
      </c>
      <c r="L52" s="30">
        <v>377028331.68000001</v>
      </c>
      <c r="M52" s="30">
        <v>754056663.36000001</v>
      </c>
      <c r="N52" s="40" t="s">
        <v>557</v>
      </c>
      <c r="O52" s="40" t="s">
        <v>558</v>
      </c>
      <c r="P52" s="40" t="s">
        <v>47</v>
      </c>
      <c r="Q52" s="37">
        <v>100</v>
      </c>
      <c r="R52" s="37">
        <v>0</v>
      </c>
      <c r="S52" s="37" t="s">
        <v>200</v>
      </c>
      <c r="T52" s="54">
        <v>21</v>
      </c>
      <c r="U52" s="30">
        <v>4412.32</v>
      </c>
      <c r="V52" s="41">
        <v>92658.72</v>
      </c>
      <c r="W52" s="41">
        <v>170898</v>
      </c>
      <c r="X52" s="41">
        <v>85449</v>
      </c>
      <c r="Y52" s="41"/>
      <c r="Z52" s="41"/>
      <c r="AA52" s="41"/>
      <c r="AB52" s="41"/>
      <c r="AC52" s="41">
        <v>85449</v>
      </c>
      <c r="AD52" s="41"/>
      <c r="AE52" s="41"/>
      <c r="AF52" s="41"/>
      <c r="AG52" s="41"/>
      <c r="AH52" s="41"/>
      <c r="AI52" s="41"/>
      <c r="AJ52" s="41"/>
      <c r="AK52" s="41"/>
      <c r="AL52" s="41"/>
      <c r="AM52" s="41">
        <v>0</v>
      </c>
      <c r="AN52" s="41">
        <v>8138</v>
      </c>
      <c r="AO52" s="41">
        <v>8138</v>
      </c>
      <c r="AP52" s="40"/>
      <c r="AQ52" s="36">
        <v>44958</v>
      </c>
      <c r="AR52" s="36">
        <v>45352</v>
      </c>
      <c r="AS52" s="36"/>
      <c r="AT52" s="36">
        <v>44972</v>
      </c>
      <c r="AU52" s="36">
        <v>45366</v>
      </c>
      <c r="AV52" s="38"/>
      <c r="AW52" s="40" t="s">
        <v>302</v>
      </c>
    </row>
    <row r="53" spans="1:49" s="34" customFormat="1" ht="31.5" customHeight="1" x14ac:dyDescent="0.3">
      <c r="A53" s="39" t="s">
        <v>559</v>
      </c>
      <c r="B53" s="36">
        <v>44680</v>
      </c>
      <c r="C53" s="37">
        <v>1416</v>
      </c>
      <c r="D53" s="39" t="s">
        <v>560</v>
      </c>
      <c r="E53" s="1" t="s">
        <v>561</v>
      </c>
      <c r="F53" s="36">
        <v>44712</v>
      </c>
      <c r="G53" s="39" t="s">
        <v>562</v>
      </c>
      <c r="H53" s="40" t="s">
        <v>563</v>
      </c>
      <c r="I53" s="40" t="s">
        <v>564</v>
      </c>
      <c r="J53" s="41">
        <v>61486783.68</v>
      </c>
      <c r="K53" s="41">
        <v>29974785.120000001</v>
      </c>
      <c r="L53" s="30">
        <v>29974785.120000001</v>
      </c>
      <c r="M53" s="30">
        <v>59949570.240000002</v>
      </c>
      <c r="N53" s="40" t="s">
        <v>565</v>
      </c>
      <c r="O53" s="40" t="s">
        <v>566</v>
      </c>
      <c r="P53" s="40" t="s">
        <v>47</v>
      </c>
      <c r="Q53" s="37">
        <v>100</v>
      </c>
      <c r="R53" s="37">
        <v>0</v>
      </c>
      <c r="S53" s="37" t="s">
        <v>200</v>
      </c>
      <c r="T53" s="54">
        <v>21</v>
      </c>
      <c r="U53" s="30">
        <v>3076.23</v>
      </c>
      <c r="V53" s="41">
        <v>64600.83</v>
      </c>
      <c r="W53" s="41">
        <v>19488</v>
      </c>
      <c r="X53" s="41">
        <v>9744</v>
      </c>
      <c r="Y53" s="41"/>
      <c r="Z53" s="41"/>
      <c r="AA53" s="41"/>
      <c r="AB53" s="41"/>
      <c r="AC53" s="41">
        <v>9744</v>
      </c>
      <c r="AD53" s="41"/>
      <c r="AE53" s="41"/>
      <c r="AF53" s="41"/>
      <c r="AG53" s="41"/>
      <c r="AH53" s="41"/>
      <c r="AI53" s="41"/>
      <c r="AJ53" s="41"/>
      <c r="AK53" s="41"/>
      <c r="AL53" s="41"/>
      <c r="AM53" s="41">
        <v>0</v>
      </c>
      <c r="AN53" s="41">
        <v>928</v>
      </c>
      <c r="AO53" s="41">
        <v>928</v>
      </c>
      <c r="AP53" s="40"/>
      <c r="AQ53" s="36">
        <v>44958</v>
      </c>
      <c r="AR53" s="36">
        <v>45292</v>
      </c>
      <c r="AS53" s="36"/>
      <c r="AT53" s="36">
        <v>44972</v>
      </c>
      <c r="AU53" s="36">
        <v>45366</v>
      </c>
      <c r="AV53" s="38"/>
      <c r="AW53" s="40" t="s">
        <v>302</v>
      </c>
    </row>
    <row r="54" spans="1:49" s="34" customFormat="1" ht="100.5" customHeight="1" x14ac:dyDescent="0.3">
      <c r="A54" s="39" t="s">
        <v>567</v>
      </c>
      <c r="B54" s="36">
        <v>44680</v>
      </c>
      <c r="C54" s="37">
        <v>1416</v>
      </c>
      <c r="D54" s="39" t="s">
        <v>568</v>
      </c>
      <c r="E54" s="1" t="s">
        <v>569</v>
      </c>
      <c r="F54" s="36">
        <v>44714</v>
      </c>
      <c r="G54" s="39" t="s">
        <v>570</v>
      </c>
      <c r="H54" s="40" t="s">
        <v>571</v>
      </c>
      <c r="I54" s="40" t="s">
        <v>572</v>
      </c>
      <c r="J54" s="41">
        <v>3291225799.6799998</v>
      </c>
      <c r="K54" s="41">
        <v>1637382418.5599999</v>
      </c>
      <c r="L54" s="30">
        <v>1637382418.5599999</v>
      </c>
      <c r="M54" s="41">
        <v>3274764837.1199999</v>
      </c>
      <c r="N54" s="40" t="s">
        <v>573</v>
      </c>
      <c r="O54" s="40" t="s">
        <v>574</v>
      </c>
      <c r="P54" s="40" t="s">
        <v>47</v>
      </c>
      <c r="Q54" s="37">
        <v>100</v>
      </c>
      <c r="R54" s="37">
        <v>0</v>
      </c>
      <c r="S54" s="37" t="s">
        <v>200</v>
      </c>
      <c r="T54" s="54">
        <v>21</v>
      </c>
      <c r="U54" s="30">
        <v>4878.04</v>
      </c>
      <c r="V54" s="41">
        <v>102438.84</v>
      </c>
      <c r="W54" s="41">
        <v>671328</v>
      </c>
      <c r="X54" s="41">
        <v>335664</v>
      </c>
      <c r="Y54" s="41">
        <v>84</v>
      </c>
      <c r="Z54" s="41">
        <v>409755.36</v>
      </c>
      <c r="AA54" s="41">
        <v>335580</v>
      </c>
      <c r="AB54" s="41">
        <v>1636972663.2</v>
      </c>
      <c r="AC54" s="41">
        <v>335664</v>
      </c>
      <c r="AD54" s="41"/>
      <c r="AE54" s="41"/>
      <c r="AF54" s="41">
        <v>1637382418.5599999</v>
      </c>
      <c r="AG54" s="41"/>
      <c r="AH54" s="41">
        <v>0</v>
      </c>
      <c r="AI54" s="41"/>
      <c r="AJ54" s="41"/>
      <c r="AK54" s="41">
        <v>0</v>
      </c>
      <c r="AL54" s="41"/>
      <c r="AM54" s="41">
        <v>409755.36</v>
      </c>
      <c r="AN54" s="41">
        <v>0</v>
      </c>
      <c r="AO54" s="41">
        <v>0</v>
      </c>
      <c r="AP54" s="40"/>
      <c r="AQ54" s="36">
        <v>44958</v>
      </c>
      <c r="AR54" s="36">
        <v>45352</v>
      </c>
      <c r="AS54" s="36"/>
      <c r="AT54" s="36">
        <v>44972</v>
      </c>
      <c r="AU54" s="36">
        <v>45366</v>
      </c>
      <c r="AV54" s="38"/>
      <c r="AW54" s="40" t="s">
        <v>302</v>
      </c>
    </row>
    <row r="55" spans="1:49" s="34" customFormat="1" ht="109.2" x14ac:dyDescent="0.3">
      <c r="A55" s="39" t="s">
        <v>575</v>
      </c>
      <c r="B55" s="36">
        <v>44680</v>
      </c>
      <c r="C55" s="37">
        <v>1416</v>
      </c>
      <c r="D55" s="39" t="s">
        <v>576</v>
      </c>
      <c r="E55" s="1" t="s">
        <v>577</v>
      </c>
      <c r="F55" s="36">
        <v>44712</v>
      </c>
      <c r="G55" s="39" t="s">
        <v>578</v>
      </c>
      <c r="H55" s="40" t="s">
        <v>579</v>
      </c>
      <c r="I55" s="40" t="s">
        <v>580</v>
      </c>
      <c r="J55" s="41">
        <v>26326573.98</v>
      </c>
      <c r="K55" s="41">
        <v>26326573.98</v>
      </c>
      <c r="L55" s="30">
        <v>26326573.98</v>
      </c>
      <c r="M55" s="30">
        <v>26326573.98</v>
      </c>
      <c r="N55" s="40" t="s">
        <v>581</v>
      </c>
      <c r="O55" s="40" t="s">
        <v>582</v>
      </c>
      <c r="P55" s="40" t="s">
        <v>583</v>
      </c>
      <c r="Q55" s="44">
        <v>0</v>
      </c>
      <c r="R55" s="37">
        <v>100</v>
      </c>
      <c r="S55" s="37" t="s">
        <v>584</v>
      </c>
      <c r="T55" s="48">
        <v>1.2</v>
      </c>
      <c r="U55" s="30">
        <v>12792.31</v>
      </c>
      <c r="V55" s="41">
        <v>15350.771999999999</v>
      </c>
      <c r="W55" s="41">
        <v>2058</v>
      </c>
      <c r="X55" s="41">
        <v>2058</v>
      </c>
      <c r="Y55" s="41">
        <v>957.6</v>
      </c>
      <c r="Z55" s="41">
        <v>12249916.056</v>
      </c>
      <c r="AA55" s="41">
        <v>1100.4000000000001</v>
      </c>
      <c r="AB55" s="41">
        <v>14076657.924000001</v>
      </c>
      <c r="AC55" s="41"/>
      <c r="AD55" s="41"/>
      <c r="AE55" s="41"/>
      <c r="AF55" s="41"/>
      <c r="AG55" s="41"/>
      <c r="AH55" s="41"/>
      <c r="AI55" s="41"/>
      <c r="AJ55" s="41"/>
      <c r="AK55" s="41"/>
      <c r="AL55" s="41"/>
      <c r="AM55" s="41">
        <v>12249916.056</v>
      </c>
      <c r="AN55" s="41">
        <v>1715</v>
      </c>
      <c r="AO55" s="41">
        <v>1715</v>
      </c>
      <c r="AP55" s="40"/>
      <c r="AQ55" s="36">
        <v>44986</v>
      </c>
      <c r="AR55" s="36"/>
      <c r="AS55" s="36"/>
      <c r="AT55" s="36">
        <v>45000</v>
      </c>
      <c r="AU55" s="36"/>
      <c r="AV55" s="38"/>
      <c r="AW55" s="40" t="s">
        <v>87</v>
      </c>
    </row>
    <row r="56" spans="1:49" s="34" customFormat="1" ht="119.25" customHeight="1" x14ac:dyDescent="0.3">
      <c r="A56" s="39" t="s">
        <v>585</v>
      </c>
      <c r="B56" s="36">
        <v>44680</v>
      </c>
      <c r="C56" s="37">
        <v>1416</v>
      </c>
      <c r="D56" s="39" t="s">
        <v>586</v>
      </c>
      <c r="E56" s="1" t="s">
        <v>587</v>
      </c>
      <c r="F56" s="36">
        <v>44713</v>
      </c>
      <c r="G56" s="39" t="s">
        <v>588</v>
      </c>
      <c r="H56" s="40" t="s">
        <v>186</v>
      </c>
      <c r="I56" s="40" t="s">
        <v>589</v>
      </c>
      <c r="J56" s="41">
        <v>462652033.68000001</v>
      </c>
      <c r="K56" s="41">
        <v>462652033.68000001</v>
      </c>
      <c r="L56" s="30">
        <v>462652033.68000001</v>
      </c>
      <c r="M56" s="30">
        <v>462652033.68000001</v>
      </c>
      <c r="N56" s="40" t="s">
        <v>590</v>
      </c>
      <c r="O56" s="40" t="s">
        <v>591</v>
      </c>
      <c r="P56" s="40" t="s">
        <v>47</v>
      </c>
      <c r="Q56" s="44">
        <v>100</v>
      </c>
      <c r="R56" s="37">
        <v>0</v>
      </c>
      <c r="S56" s="37" t="s">
        <v>584</v>
      </c>
      <c r="T56" s="67">
        <v>4.8</v>
      </c>
      <c r="U56" s="30">
        <v>13399.949999999999</v>
      </c>
      <c r="V56" s="41">
        <v>64319.759999999995</v>
      </c>
      <c r="W56" s="41">
        <v>34526.400000000001</v>
      </c>
      <c r="X56" s="41">
        <v>34526.400000000001</v>
      </c>
      <c r="Y56" s="41">
        <v>20376</v>
      </c>
      <c r="Z56" s="41">
        <v>273037381.19999999</v>
      </c>
      <c r="AA56" s="41">
        <v>14150.4</v>
      </c>
      <c r="AB56" s="41">
        <v>189614652.47999999</v>
      </c>
      <c r="AC56" s="41"/>
      <c r="AD56" s="41"/>
      <c r="AE56" s="41"/>
      <c r="AF56" s="41"/>
      <c r="AG56" s="41"/>
      <c r="AH56" s="41"/>
      <c r="AI56" s="41"/>
      <c r="AJ56" s="41"/>
      <c r="AK56" s="41"/>
      <c r="AL56" s="41"/>
      <c r="AM56" s="41">
        <v>273037381.19999999</v>
      </c>
      <c r="AN56" s="41">
        <v>7193.0000000000009</v>
      </c>
      <c r="AO56" s="41">
        <v>7193</v>
      </c>
      <c r="AP56" s="40"/>
      <c r="AQ56" s="36">
        <v>44986</v>
      </c>
      <c r="AR56" s="36"/>
      <c r="AS56" s="36"/>
      <c r="AT56" s="36">
        <v>45000</v>
      </c>
      <c r="AU56" s="36"/>
      <c r="AV56" s="38"/>
      <c r="AW56" s="40" t="s">
        <v>87</v>
      </c>
    </row>
    <row r="57" spans="1:49" s="34" customFormat="1" ht="45" customHeight="1" x14ac:dyDescent="0.3">
      <c r="A57" s="39" t="s">
        <v>592</v>
      </c>
      <c r="B57" s="36">
        <v>44680</v>
      </c>
      <c r="C57" s="37">
        <v>1416</v>
      </c>
      <c r="D57" s="39" t="s">
        <v>593</v>
      </c>
      <c r="E57" s="1" t="s">
        <v>594</v>
      </c>
      <c r="F57" s="36">
        <v>44712</v>
      </c>
      <c r="G57" s="39" t="s">
        <v>595</v>
      </c>
      <c r="H57" s="40" t="s">
        <v>563</v>
      </c>
      <c r="I57" s="40" t="s">
        <v>596</v>
      </c>
      <c r="J57" s="41">
        <v>268892744.39999998</v>
      </c>
      <c r="K57" s="41">
        <v>132429619.34999999</v>
      </c>
      <c r="L57" s="30">
        <v>132429619.34999999</v>
      </c>
      <c r="M57" s="30">
        <v>264859238.69999999</v>
      </c>
      <c r="N57" s="40" t="s">
        <v>565</v>
      </c>
      <c r="O57" s="40" t="s">
        <v>597</v>
      </c>
      <c r="P57" s="40" t="s">
        <v>47</v>
      </c>
      <c r="Q57" s="44">
        <v>0</v>
      </c>
      <c r="R57" s="37">
        <v>100</v>
      </c>
      <c r="S57" s="37" t="s">
        <v>200</v>
      </c>
      <c r="T57" s="48">
        <v>21</v>
      </c>
      <c r="U57" s="30">
        <v>4162.49</v>
      </c>
      <c r="V57" s="41">
        <v>87412.29</v>
      </c>
      <c r="W57" s="41">
        <v>63630</v>
      </c>
      <c r="X57" s="41">
        <v>31815</v>
      </c>
      <c r="Y57" s="41">
        <v>84</v>
      </c>
      <c r="Z57" s="41">
        <v>349649.16</v>
      </c>
      <c r="AA57" s="41">
        <v>31731</v>
      </c>
      <c r="AB57" s="41">
        <v>132079970.19</v>
      </c>
      <c r="AC57" s="41">
        <v>31815</v>
      </c>
      <c r="AD57" s="41"/>
      <c r="AE57" s="41">
        <v>0</v>
      </c>
      <c r="AF57" s="41"/>
      <c r="AG57" s="41">
        <v>0</v>
      </c>
      <c r="AH57" s="41"/>
      <c r="AI57" s="41"/>
      <c r="AJ57" s="41">
        <v>0</v>
      </c>
      <c r="AK57" s="41"/>
      <c r="AL57" s="41">
        <v>0</v>
      </c>
      <c r="AM57" s="41">
        <v>349649.16</v>
      </c>
      <c r="AN57" s="41">
        <v>3030</v>
      </c>
      <c r="AO57" s="41">
        <v>3030</v>
      </c>
      <c r="AP57" s="40"/>
      <c r="AQ57" s="36">
        <v>44958</v>
      </c>
      <c r="AR57" s="36">
        <v>45352</v>
      </c>
      <c r="AS57" s="36"/>
      <c r="AT57" s="36">
        <v>44972</v>
      </c>
      <c r="AU57" s="36">
        <v>45366</v>
      </c>
      <c r="AV57" s="38"/>
      <c r="AW57" s="40" t="s">
        <v>302</v>
      </c>
    </row>
    <row r="58" spans="1:49" s="34" customFormat="1" ht="31.5" customHeight="1" x14ac:dyDescent="0.3">
      <c r="A58" s="39" t="s">
        <v>598</v>
      </c>
      <c r="B58" s="36">
        <v>44680</v>
      </c>
      <c r="C58" s="37">
        <v>1416</v>
      </c>
      <c r="D58" s="39" t="s">
        <v>599</v>
      </c>
      <c r="E58" s="1" t="s">
        <v>600</v>
      </c>
      <c r="F58" s="36">
        <v>44713</v>
      </c>
      <c r="G58" s="39" t="s">
        <v>601</v>
      </c>
      <c r="H58" s="40" t="s">
        <v>602</v>
      </c>
      <c r="I58" s="40" t="s">
        <v>603</v>
      </c>
      <c r="J58" s="41">
        <v>299521199.04000002</v>
      </c>
      <c r="K58" s="41">
        <v>299521199.04000002</v>
      </c>
      <c r="L58" s="30">
        <v>299521199.04000002</v>
      </c>
      <c r="M58" s="30">
        <v>299521199.04000002</v>
      </c>
      <c r="N58" s="40" t="s">
        <v>604</v>
      </c>
      <c r="O58" s="40" t="s">
        <v>605</v>
      </c>
      <c r="P58" s="40" t="s">
        <v>583</v>
      </c>
      <c r="Q58" s="44">
        <v>0</v>
      </c>
      <c r="R58" s="37">
        <v>100</v>
      </c>
      <c r="S58" s="37" t="s">
        <v>584</v>
      </c>
      <c r="T58" s="67">
        <v>2.4</v>
      </c>
      <c r="U58" s="30">
        <v>13605.2</v>
      </c>
      <c r="V58" s="41">
        <v>32652.48</v>
      </c>
      <c r="W58" s="41">
        <v>22015.200000000001</v>
      </c>
      <c r="X58" s="41">
        <v>22015.200000000001</v>
      </c>
      <c r="Y58" s="41">
        <v>10860</v>
      </c>
      <c r="Z58" s="41">
        <v>147752472</v>
      </c>
      <c r="AA58" s="41">
        <v>11155.2</v>
      </c>
      <c r="AB58" s="41">
        <v>151768727.04000002</v>
      </c>
      <c r="AC58" s="41"/>
      <c r="AD58" s="41"/>
      <c r="AE58" s="41"/>
      <c r="AF58" s="41"/>
      <c r="AG58" s="41"/>
      <c r="AH58" s="41"/>
      <c r="AI58" s="41"/>
      <c r="AJ58" s="41"/>
      <c r="AK58" s="41"/>
      <c r="AL58" s="41"/>
      <c r="AM58" s="41">
        <v>147752472</v>
      </c>
      <c r="AN58" s="41">
        <v>9173</v>
      </c>
      <c r="AO58" s="41">
        <v>9173</v>
      </c>
      <c r="AP58" s="40"/>
      <c r="AQ58" s="36">
        <v>44986</v>
      </c>
      <c r="AR58" s="36"/>
      <c r="AS58" s="36"/>
      <c r="AT58" s="36">
        <v>45000</v>
      </c>
      <c r="AU58" s="36"/>
      <c r="AV58" s="38"/>
      <c r="AW58" s="40" t="s">
        <v>87</v>
      </c>
    </row>
    <row r="59" spans="1:49" s="34" customFormat="1" ht="63" customHeight="1" x14ac:dyDescent="0.3">
      <c r="A59" s="39" t="s">
        <v>606</v>
      </c>
      <c r="B59" s="36">
        <v>44685</v>
      </c>
      <c r="C59" s="37">
        <v>1416</v>
      </c>
      <c r="D59" s="39" t="s">
        <v>607</v>
      </c>
      <c r="E59" s="1" t="s">
        <v>608</v>
      </c>
      <c r="F59" s="36">
        <v>44712</v>
      </c>
      <c r="G59" s="37" t="s">
        <v>609</v>
      </c>
      <c r="H59" s="40" t="s">
        <v>344</v>
      </c>
      <c r="I59" s="40" t="s">
        <v>610</v>
      </c>
      <c r="J59" s="41">
        <v>277350527.51999998</v>
      </c>
      <c r="K59" s="41">
        <v>277350527.51999998</v>
      </c>
      <c r="L59" s="30">
        <v>293649546.95999998</v>
      </c>
      <c r="M59" s="30">
        <v>293649546.95999998</v>
      </c>
      <c r="N59" s="40" t="s">
        <v>611</v>
      </c>
      <c r="O59" s="40" t="s">
        <v>612</v>
      </c>
      <c r="P59" s="40" t="s">
        <v>218</v>
      </c>
      <c r="Q59" s="37">
        <v>0</v>
      </c>
      <c r="R59" s="37">
        <v>100</v>
      </c>
      <c r="S59" s="37" t="s">
        <v>219</v>
      </c>
      <c r="T59" s="48">
        <v>1.2</v>
      </c>
      <c r="U59" s="30">
        <v>222664.19999999998</v>
      </c>
      <c r="V59" s="41">
        <v>267197.03999999998</v>
      </c>
      <c r="W59" s="41">
        <v>1318.8</v>
      </c>
      <c r="X59" s="41">
        <v>872.4</v>
      </c>
      <c r="Y59" s="41"/>
      <c r="Z59" s="41">
        <v>0</v>
      </c>
      <c r="AA59" s="41"/>
      <c r="AB59" s="41">
        <v>0</v>
      </c>
      <c r="AC59" s="41">
        <v>446.40000000000003</v>
      </c>
      <c r="AD59" s="41">
        <v>4.8</v>
      </c>
      <c r="AE59" s="41">
        <v>1068788.1599999999</v>
      </c>
      <c r="AF59" s="41">
        <v>441.6</v>
      </c>
      <c r="AG59" s="41">
        <v>98328510.719999999</v>
      </c>
      <c r="AH59" s="41"/>
      <c r="AI59" s="41"/>
      <c r="AJ59" s="41">
        <v>0</v>
      </c>
      <c r="AK59" s="41"/>
      <c r="AL59" s="41">
        <v>0</v>
      </c>
      <c r="AM59" s="41">
        <v>1068788.1599999999</v>
      </c>
      <c r="AN59" s="41">
        <v>1099</v>
      </c>
      <c r="AO59" s="41">
        <v>1099</v>
      </c>
      <c r="AP59" s="40"/>
      <c r="AQ59" s="36">
        <v>44958</v>
      </c>
      <c r="AR59" s="36">
        <v>45139</v>
      </c>
      <c r="AS59" s="36"/>
      <c r="AT59" s="36">
        <v>44972</v>
      </c>
      <c r="AU59" s="36">
        <v>45153</v>
      </c>
      <c r="AV59" s="38"/>
      <c r="AW59" s="40" t="s">
        <v>75</v>
      </c>
    </row>
    <row r="60" spans="1:49" s="34" customFormat="1" ht="39.75" customHeight="1" x14ac:dyDescent="0.3">
      <c r="A60" s="39" t="s">
        <v>613</v>
      </c>
      <c r="B60" s="36">
        <v>44685</v>
      </c>
      <c r="C60" s="37">
        <v>1416</v>
      </c>
      <c r="D60" s="39" t="s">
        <v>614</v>
      </c>
      <c r="E60" s="1" t="s">
        <v>615</v>
      </c>
      <c r="F60" s="36">
        <v>44708</v>
      </c>
      <c r="G60" s="37" t="s">
        <v>616</v>
      </c>
      <c r="H60" s="40" t="s">
        <v>177</v>
      </c>
      <c r="I60" s="40" t="s">
        <v>617</v>
      </c>
      <c r="J60" s="41">
        <v>2049334.1</v>
      </c>
      <c r="K60" s="41">
        <v>2049334.1</v>
      </c>
      <c r="L60" s="30">
        <v>2049334.1</v>
      </c>
      <c r="M60" s="30">
        <v>2049334.1</v>
      </c>
      <c r="N60" s="40" t="s">
        <v>618</v>
      </c>
      <c r="O60" s="40" t="s">
        <v>619</v>
      </c>
      <c r="P60" s="40" t="s">
        <v>47</v>
      </c>
      <c r="Q60" s="44">
        <v>100</v>
      </c>
      <c r="R60" s="37">
        <v>0</v>
      </c>
      <c r="S60" s="48" t="s">
        <v>200</v>
      </c>
      <c r="T60" s="48">
        <v>2</v>
      </c>
      <c r="U60" s="30">
        <v>18630.310000000001</v>
      </c>
      <c r="V60" s="41">
        <v>37260.620000000003</v>
      </c>
      <c r="W60" s="41">
        <v>110</v>
      </c>
      <c r="X60" s="41">
        <v>110</v>
      </c>
      <c r="Y60" s="41"/>
      <c r="Z60" s="41"/>
      <c r="AA60" s="41"/>
      <c r="AB60" s="41"/>
      <c r="AC60" s="41"/>
      <c r="AD60" s="41"/>
      <c r="AE60" s="41"/>
      <c r="AF60" s="41"/>
      <c r="AG60" s="41"/>
      <c r="AH60" s="41"/>
      <c r="AI60" s="41"/>
      <c r="AJ60" s="41"/>
      <c r="AK60" s="41"/>
      <c r="AL60" s="41"/>
      <c r="AM60" s="41">
        <v>0</v>
      </c>
      <c r="AN60" s="41">
        <v>55</v>
      </c>
      <c r="AO60" s="41">
        <v>55</v>
      </c>
      <c r="AP60" s="40"/>
      <c r="AQ60" s="36">
        <v>44958</v>
      </c>
      <c r="AR60" s="36"/>
      <c r="AS60" s="36"/>
      <c r="AT60" s="36">
        <v>44972</v>
      </c>
      <c r="AU60" s="36"/>
      <c r="AV60" s="38"/>
      <c r="AW60" s="40" t="s">
        <v>87</v>
      </c>
    </row>
    <row r="61" spans="1:49" s="34" customFormat="1" ht="93.6" x14ac:dyDescent="0.3">
      <c r="A61" s="39" t="s">
        <v>620</v>
      </c>
      <c r="B61" s="36">
        <v>44685</v>
      </c>
      <c r="C61" s="37">
        <v>1416</v>
      </c>
      <c r="D61" s="39" t="s">
        <v>621</v>
      </c>
      <c r="E61" s="1" t="s">
        <v>622</v>
      </c>
      <c r="F61" s="36">
        <v>44705</v>
      </c>
      <c r="G61" s="39" t="s">
        <v>623</v>
      </c>
      <c r="H61" s="40" t="s">
        <v>177</v>
      </c>
      <c r="I61" s="40" t="s">
        <v>624</v>
      </c>
      <c r="J61" s="41">
        <v>6682491.9000000004</v>
      </c>
      <c r="K61" s="41">
        <v>6682491.9000000004</v>
      </c>
      <c r="L61" s="30">
        <v>6682491.9000000004</v>
      </c>
      <c r="M61" s="30">
        <v>6682491.9000000004</v>
      </c>
      <c r="N61" s="40" t="s">
        <v>625</v>
      </c>
      <c r="O61" s="40" t="s">
        <v>626</v>
      </c>
      <c r="P61" s="40" t="s">
        <v>47</v>
      </c>
      <c r="Q61" s="37">
        <v>100</v>
      </c>
      <c r="R61" s="37">
        <v>0</v>
      </c>
      <c r="S61" s="37" t="s">
        <v>627</v>
      </c>
      <c r="T61" s="48">
        <v>21</v>
      </c>
      <c r="U61" s="30" t="s">
        <v>628</v>
      </c>
      <c r="V61" s="57" t="s">
        <v>629</v>
      </c>
      <c r="W61" s="41">
        <v>630</v>
      </c>
      <c r="X61" s="41">
        <v>630</v>
      </c>
      <c r="Y61" s="41"/>
      <c r="Z61" s="41"/>
      <c r="AA61" s="41"/>
      <c r="AB61" s="41"/>
      <c r="AC61" s="41"/>
      <c r="AD61" s="41"/>
      <c r="AE61" s="41"/>
      <c r="AF61" s="41"/>
      <c r="AG61" s="41"/>
      <c r="AH61" s="41"/>
      <c r="AI61" s="41"/>
      <c r="AJ61" s="41"/>
      <c r="AK61" s="41"/>
      <c r="AL61" s="41"/>
      <c r="AM61" s="41">
        <v>0</v>
      </c>
      <c r="AN61" s="41">
        <v>30</v>
      </c>
      <c r="AO61" s="41">
        <v>30</v>
      </c>
      <c r="AP61" s="40"/>
      <c r="AQ61" s="36">
        <v>44986</v>
      </c>
      <c r="AR61" s="36"/>
      <c r="AS61" s="36"/>
      <c r="AT61" s="36">
        <v>45000</v>
      </c>
      <c r="AU61" s="36"/>
      <c r="AV61" s="38"/>
      <c r="AW61" s="40" t="s">
        <v>87</v>
      </c>
    </row>
    <row r="62" spans="1:49" s="34" customFormat="1" ht="93" customHeight="1" x14ac:dyDescent="0.3">
      <c r="A62" s="39" t="s">
        <v>630</v>
      </c>
      <c r="B62" s="36">
        <v>44685</v>
      </c>
      <c r="C62" s="37">
        <v>1416</v>
      </c>
      <c r="D62" s="39" t="s">
        <v>631</v>
      </c>
      <c r="E62" s="1" t="s">
        <v>632</v>
      </c>
      <c r="F62" s="36">
        <v>44708</v>
      </c>
      <c r="G62" s="39" t="s">
        <v>633</v>
      </c>
      <c r="H62" s="40" t="s">
        <v>177</v>
      </c>
      <c r="I62" s="40" t="s">
        <v>634</v>
      </c>
      <c r="J62" s="41">
        <v>3830058</v>
      </c>
      <c r="K62" s="41">
        <v>3830058</v>
      </c>
      <c r="L62" s="30">
        <v>3830058</v>
      </c>
      <c r="M62" s="30">
        <v>3830058</v>
      </c>
      <c r="N62" s="40" t="s">
        <v>528</v>
      </c>
      <c r="O62" s="40" t="s">
        <v>635</v>
      </c>
      <c r="P62" s="40" t="s">
        <v>636</v>
      </c>
      <c r="Q62" s="37">
        <v>0</v>
      </c>
      <c r="R62" s="37">
        <v>100</v>
      </c>
      <c r="S62" s="37" t="s">
        <v>584</v>
      </c>
      <c r="T62" s="48">
        <v>100</v>
      </c>
      <c r="U62" s="30">
        <v>223.98</v>
      </c>
      <c r="V62" s="41">
        <v>22398</v>
      </c>
      <c r="W62" s="41">
        <v>17100</v>
      </c>
      <c r="X62" s="41">
        <v>17100</v>
      </c>
      <c r="Y62" s="41">
        <v>10800</v>
      </c>
      <c r="Z62" s="41">
        <v>2418984</v>
      </c>
      <c r="AA62" s="41">
        <v>6300</v>
      </c>
      <c r="AB62" s="41">
        <v>1411074</v>
      </c>
      <c r="AC62" s="41"/>
      <c r="AD62" s="41"/>
      <c r="AE62" s="41">
        <v>0</v>
      </c>
      <c r="AF62" s="41"/>
      <c r="AG62" s="41">
        <v>0</v>
      </c>
      <c r="AH62" s="41"/>
      <c r="AI62" s="41"/>
      <c r="AJ62" s="41">
        <v>0</v>
      </c>
      <c r="AK62" s="41"/>
      <c r="AL62" s="41">
        <v>0</v>
      </c>
      <c r="AM62" s="41">
        <v>2418984</v>
      </c>
      <c r="AN62" s="41">
        <v>171</v>
      </c>
      <c r="AO62" s="41">
        <v>171</v>
      </c>
      <c r="AP62" s="40"/>
      <c r="AQ62" s="36">
        <v>44958</v>
      </c>
      <c r="AR62" s="36"/>
      <c r="AS62" s="36"/>
      <c r="AT62" s="36">
        <v>44972</v>
      </c>
      <c r="AU62" s="36"/>
      <c r="AV62" s="38"/>
      <c r="AW62" s="40" t="s">
        <v>87</v>
      </c>
    </row>
    <row r="63" spans="1:49" s="34" customFormat="1" ht="63" customHeight="1" x14ac:dyDescent="0.3">
      <c r="A63" s="39" t="s">
        <v>637</v>
      </c>
      <c r="B63" s="36">
        <v>44685</v>
      </c>
      <c r="C63" s="37">
        <v>1416</v>
      </c>
      <c r="D63" s="39" t="s">
        <v>638</v>
      </c>
      <c r="E63" s="1" t="s">
        <v>639</v>
      </c>
      <c r="F63" s="36">
        <v>44708</v>
      </c>
      <c r="G63" s="39" t="s">
        <v>640</v>
      </c>
      <c r="H63" s="40" t="s">
        <v>224</v>
      </c>
      <c r="I63" s="40" t="s">
        <v>641</v>
      </c>
      <c r="J63" s="41">
        <v>290508444</v>
      </c>
      <c r="K63" s="41">
        <v>290508444</v>
      </c>
      <c r="L63" s="30">
        <v>290508444</v>
      </c>
      <c r="M63" s="30">
        <v>290508444</v>
      </c>
      <c r="N63" s="40" t="s">
        <v>642</v>
      </c>
      <c r="O63" s="40" t="s">
        <v>643</v>
      </c>
      <c r="P63" s="40" t="s">
        <v>644</v>
      </c>
      <c r="Q63" s="44">
        <v>0</v>
      </c>
      <c r="R63" s="37">
        <v>100</v>
      </c>
      <c r="S63" s="37" t="s">
        <v>457</v>
      </c>
      <c r="T63" s="48">
        <v>400</v>
      </c>
      <c r="U63" s="30">
        <v>175.81</v>
      </c>
      <c r="V63" s="41">
        <v>70324</v>
      </c>
      <c r="W63" s="41">
        <v>1652400</v>
      </c>
      <c r="X63" s="41">
        <v>1652400</v>
      </c>
      <c r="Y63" s="41"/>
      <c r="Z63" s="41"/>
      <c r="AA63" s="41"/>
      <c r="AB63" s="41"/>
      <c r="AC63" s="41"/>
      <c r="AD63" s="41"/>
      <c r="AE63" s="41"/>
      <c r="AF63" s="41"/>
      <c r="AG63" s="41"/>
      <c r="AH63" s="41"/>
      <c r="AI63" s="41"/>
      <c r="AJ63" s="41"/>
      <c r="AK63" s="41"/>
      <c r="AL63" s="41"/>
      <c r="AM63" s="41">
        <v>0</v>
      </c>
      <c r="AN63" s="41">
        <v>4131</v>
      </c>
      <c r="AO63" s="41">
        <v>4131</v>
      </c>
      <c r="AP63" s="40"/>
      <c r="AQ63" s="36">
        <v>44986</v>
      </c>
      <c r="AR63" s="36"/>
      <c r="AS63" s="36"/>
      <c r="AT63" s="36">
        <v>45000</v>
      </c>
      <c r="AU63" s="36"/>
      <c r="AV63" s="38"/>
      <c r="AW63" s="40" t="s">
        <v>87</v>
      </c>
    </row>
    <row r="64" spans="1:49" s="34" customFormat="1" ht="63" customHeight="1" x14ac:dyDescent="0.3">
      <c r="A64" s="39" t="s">
        <v>645</v>
      </c>
      <c r="B64" s="36">
        <v>44685</v>
      </c>
      <c r="C64" s="37">
        <v>1416</v>
      </c>
      <c r="D64" s="39" t="s">
        <v>646</v>
      </c>
      <c r="E64" s="1" t="s">
        <v>647</v>
      </c>
      <c r="F64" s="36">
        <v>44713</v>
      </c>
      <c r="G64" s="39" t="s">
        <v>648</v>
      </c>
      <c r="H64" s="40" t="s">
        <v>224</v>
      </c>
      <c r="I64" s="40" t="s">
        <v>649</v>
      </c>
      <c r="J64" s="41">
        <v>759168864</v>
      </c>
      <c r="K64" s="41">
        <v>759168864</v>
      </c>
      <c r="L64" s="30">
        <v>759168864</v>
      </c>
      <c r="M64" s="30">
        <v>759168864</v>
      </c>
      <c r="N64" s="40" t="s">
        <v>650</v>
      </c>
      <c r="O64" s="40" t="s">
        <v>651</v>
      </c>
      <c r="P64" s="40" t="s">
        <v>218</v>
      </c>
      <c r="Q64" s="44">
        <v>0</v>
      </c>
      <c r="R64" s="37">
        <v>100</v>
      </c>
      <c r="S64" s="37" t="s">
        <v>219</v>
      </c>
      <c r="T64" s="48">
        <v>5</v>
      </c>
      <c r="U64" s="30">
        <v>18607.080000000002</v>
      </c>
      <c r="V64" s="41">
        <v>93035.400000000009</v>
      </c>
      <c r="W64" s="41">
        <v>40800</v>
      </c>
      <c r="X64" s="41">
        <v>40800</v>
      </c>
      <c r="Y64" s="41">
        <v>14135</v>
      </c>
      <c r="Z64" s="41">
        <v>263011075.80000001</v>
      </c>
      <c r="AA64" s="41">
        <v>26665</v>
      </c>
      <c r="AB64" s="41">
        <v>496157788.20000005</v>
      </c>
      <c r="AC64" s="41"/>
      <c r="AD64" s="41"/>
      <c r="AE64" s="41">
        <v>0</v>
      </c>
      <c r="AF64" s="41"/>
      <c r="AG64" s="41">
        <v>0</v>
      </c>
      <c r="AH64" s="41"/>
      <c r="AI64" s="41"/>
      <c r="AJ64" s="41">
        <v>0</v>
      </c>
      <c r="AK64" s="41"/>
      <c r="AL64" s="41">
        <v>0</v>
      </c>
      <c r="AM64" s="41">
        <v>263011075.80000001</v>
      </c>
      <c r="AN64" s="41">
        <v>8160</v>
      </c>
      <c r="AO64" s="41">
        <v>8160</v>
      </c>
      <c r="AP64" s="40"/>
      <c r="AQ64" s="36">
        <v>44986</v>
      </c>
      <c r="AR64" s="36"/>
      <c r="AS64" s="36"/>
      <c r="AT64" s="36">
        <v>45000</v>
      </c>
      <c r="AU64" s="36"/>
      <c r="AV64" s="38"/>
      <c r="AW64" s="40" t="s">
        <v>87</v>
      </c>
    </row>
    <row r="65" spans="1:49" s="34" customFormat="1" ht="72" x14ac:dyDescent="0.3">
      <c r="A65" s="39" t="s">
        <v>652</v>
      </c>
      <c r="B65" s="36">
        <v>44685</v>
      </c>
      <c r="C65" s="37">
        <v>1416</v>
      </c>
      <c r="D65" s="39" t="s">
        <v>653</v>
      </c>
      <c r="E65" s="1" t="s">
        <v>654</v>
      </c>
      <c r="F65" s="36">
        <v>44626</v>
      </c>
      <c r="G65" s="39" t="s">
        <v>655</v>
      </c>
      <c r="H65" s="40" t="s">
        <v>387</v>
      </c>
      <c r="I65" s="40" t="s">
        <v>656</v>
      </c>
      <c r="J65" s="41">
        <v>1400150205</v>
      </c>
      <c r="K65" s="41">
        <v>5880660.75</v>
      </c>
      <c r="L65" s="30">
        <v>5880660.75</v>
      </c>
      <c r="M65" s="41">
        <v>11761321.5</v>
      </c>
      <c r="N65" s="40" t="s">
        <v>657</v>
      </c>
      <c r="O65" s="40" t="s">
        <v>658</v>
      </c>
      <c r="P65" s="40" t="s">
        <v>47</v>
      </c>
      <c r="Q65" s="44">
        <v>100</v>
      </c>
      <c r="R65" s="37">
        <v>0</v>
      </c>
      <c r="S65" s="37" t="s">
        <v>200</v>
      </c>
      <c r="T65" s="48">
        <v>28</v>
      </c>
      <c r="U65" s="30">
        <v>7.87</v>
      </c>
      <c r="V65" s="41">
        <v>220.36</v>
      </c>
      <c r="W65" s="41">
        <v>1494450</v>
      </c>
      <c r="X65" s="41">
        <v>747225</v>
      </c>
      <c r="Y65" s="41">
        <v>5110</v>
      </c>
      <c r="Z65" s="41">
        <v>40215.699999999997</v>
      </c>
      <c r="AA65" s="41">
        <v>742115</v>
      </c>
      <c r="AB65" s="41">
        <v>5840445.0499999998</v>
      </c>
      <c r="AC65" s="41">
        <v>747225</v>
      </c>
      <c r="AD65" s="41"/>
      <c r="AE65" s="41"/>
      <c r="AF65" s="41"/>
      <c r="AG65" s="41"/>
      <c r="AH65" s="41"/>
      <c r="AI65" s="41"/>
      <c r="AJ65" s="41"/>
      <c r="AK65" s="41"/>
      <c r="AL65" s="41"/>
      <c r="AM65" s="41">
        <v>40215.699999999997</v>
      </c>
      <c r="AN65" s="41">
        <v>53373.214285714283</v>
      </c>
      <c r="AO65" s="41">
        <v>53374</v>
      </c>
      <c r="AP65" s="40"/>
      <c r="AQ65" s="36">
        <v>44986</v>
      </c>
      <c r="AR65" s="36">
        <v>45352</v>
      </c>
      <c r="AS65" s="36"/>
      <c r="AT65" s="36">
        <v>45000</v>
      </c>
      <c r="AU65" s="36">
        <v>45366</v>
      </c>
      <c r="AV65" s="38"/>
      <c r="AW65" s="40" t="s">
        <v>302</v>
      </c>
    </row>
    <row r="66" spans="1:49" s="34" customFormat="1" ht="124.8" x14ac:dyDescent="0.3">
      <c r="A66" s="39" t="s">
        <v>659</v>
      </c>
      <c r="B66" s="36">
        <v>44687</v>
      </c>
      <c r="C66" s="37">
        <v>1416</v>
      </c>
      <c r="D66" s="39" t="s">
        <v>660</v>
      </c>
      <c r="E66" s="1" t="s">
        <v>661</v>
      </c>
      <c r="F66" s="36">
        <v>44711</v>
      </c>
      <c r="G66" s="39" t="s">
        <v>662</v>
      </c>
      <c r="H66" s="40" t="s">
        <v>571</v>
      </c>
      <c r="I66" s="40" t="s">
        <v>663</v>
      </c>
      <c r="J66" s="41">
        <v>88754544.200000003</v>
      </c>
      <c r="K66" s="41">
        <v>86973354.299999997</v>
      </c>
      <c r="L66" s="30">
        <v>86973354.299999997</v>
      </c>
      <c r="M66" s="30">
        <v>86973354.299999997</v>
      </c>
      <c r="N66" s="40" t="s">
        <v>664</v>
      </c>
      <c r="O66" s="40" t="s">
        <v>665</v>
      </c>
      <c r="P66" s="40" t="s">
        <v>47</v>
      </c>
      <c r="Q66" s="44">
        <v>100</v>
      </c>
      <c r="R66" s="37">
        <v>0</v>
      </c>
      <c r="S66" s="37" t="s">
        <v>200</v>
      </c>
      <c r="T66" s="48">
        <v>30</v>
      </c>
      <c r="U66" s="30">
        <v>125.49</v>
      </c>
      <c r="V66" s="41">
        <v>3764.7</v>
      </c>
      <c r="W66" s="41">
        <v>693070</v>
      </c>
      <c r="X66" s="41">
        <v>693070</v>
      </c>
      <c r="Y66" s="41">
        <v>9000</v>
      </c>
      <c r="Z66" s="41">
        <v>1129410</v>
      </c>
      <c r="AA66" s="41">
        <v>684070</v>
      </c>
      <c r="AB66" s="41">
        <v>85843944.299999997</v>
      </c>
      <c r="AC66" s="41"/>
      <c r="AD66" s="41"/>
      <c r="AE66" s="41">
        <v>0</v>
      </c>
      <c r="AF66" s="41"/>
      <c r="AG66" s="41">
        <v>0</v>
      </c>
      <c r="AH66" s="41"/>
      <c r="AI66" s="41"/>
      <c r="AJ66" s="41">
        <v>0</v>
      </c>
      <c r="AK66" s="41"/>
      <c r="AL66" s="41">
        <v>0</v>
      </c>
      <c r="AM66" s="41">
        <v>1129410</v>
      </c>
      <c r="AN66" s="41">
        <v>23102.333333333332</v>
      </c>
      <c r="AO66" s="41">
        <v>23103</v>
      </c>
      <c r="AP66" s="40"/>
      <c r="AQ66" s="36">
        <v>44958</v>
      </c>
      <c r="AR66" s="36"/>
      <c r="AS66" s="36"/>
      <c r="AT66" s="36">
        <v>44972</v>
      </c>
      <c r="AU66" s="36"/>
      <c r="AV66" s="38"/>
      <c r="AW66" s="38" t="s">
        <v>87</v>
      </c>
    </row>
    <row r="67" spans="1:49" s="34" customFormat="1" ht="111.6" customHeight="1" x14ac:dyDescent="0.3">
      <c r="A67" s="39" t="s">
        <v>666</v>
      </c>
      <c r="B67" s="36">
        <v>44687</v>
      </c>
      <c r="C67" s="37">
        <v>1416</v>
      </c>
      <c r="D67" s="39" t="s">
        <v>667</v>
      </c>
      <c r="E67" s="1" t="s">
        <v>668</v>
      </c>
      <c r="F67" s="36">
        <v>44711</v>
      </c>
      <c r="G67" s="39" t="s">
        <v>669</v>
      </c>
      <c r="H67" s="40" t="s">
        <v>186</v>
      </c>
      <c r="I67" s="40" t="s">
        <v>670</v>
      </c>
      <c r="J67" s="41">
        <v>184820400</v>
      </c>
      <c r="K67" s="41">
        <v>184820400</v>
      </c>
      <c r="L67" s="30">
        <v>184820400</v>
      </c>
      <c r="M67" s="30">
        <v>184820400</v>
      </c>
      <c r="N67" s="40" t="s">
        <v>671</v>
      </c>
      <c r="O67" s="40" t="s">
        <v>672</v>
      </c>
      <c r="P67" s="40" t="s">
        <v>47</v>
      </c>
      <c r="Q67" s="44">
        <v>100</v>
      </c>
      <c r="R67" s="37">
        <v>0</v>
      </c>
      <c r="S67" s="37" t="s">
        <v>229</v>
      </c>
      <c r="T67" s="48">
        <v>1000</v>
      </c>
      <c r="U67" s="30">
        <v>7.85</v>
      </c>
      <c r="V67" s="41">
        <v>7850</v>
      </c>
      <c r="W67" s="41">
        <v>23544000</v>
      </c>
      <c r="X67" s="41">
        <v>23544000</v>
      </c>
      <c r="Y67" s="41">
        <v>2984000</v>
      </c>
      <c r="Z67" s="41">
        <v>23424400</v>
      </c>
      <c r="AA67" s="41">
        <v>20560000</v>
      </c>
      <c r="AB67" s="41">
        <v>161396000</v>
      </c>
      <c r="AC67" s="41"/>
      <c r="AD67" s="41"/>
      <c r="AE67" s="41"/>
      <c r="AF67" s="41"/>
      <c r="AG67" s="41"/>
      <c r="AH67" s="41"/>
      <c r="AI67" s="41"/>
      <c r="AJ67" s="41"/>
      <c r="AK67" s="41"/>
      <c r="AL67" s="41"/>
      <c r="AM67" s="41">
        <v>23424400</v>
      </c>
      <c r="AN67" s="41">
        <v>23544</v>
      </c>
      <c r="AO67" s="41">
        <v>23544</v>
      </c>
      <c r="AP67" s="40"/>
      <c r="AQ67" s="36">
        <v>44958</v>
      </c>
      <c r="AR67" s="36"/>
      <c r="AS67" s="36"/>
      <c r="AT67" s="36">
        <v>44972</v>
      </c>
      <c r="AU67" s="36"/>
      <c r="AV67" s="38"/>
      <c r="AW67" s="40" t="s">
        <v>87</v>
      </c>
    </row>
    <row r="68" spans="1:49" s="34" customFormat="1" ht="63" customHeight="1" x14ac:dyDescent="0.3">
      <c r="A68" s="39" t="s">
        <v>673</v>
      </c>
      <c r="B68" s="36">
        <v>44687</v>
      </c>
      <c r="C68" s="37">
        <v>1416</v>
      </c>
      <c r="D68" s="39" t="s">
        <v>674</v>
      </c>
      <c r="E68" s="1" t="s">
        <v>675</v>
      </c>
      <c r="F68" s="36">
        <v>44711</v>
      </c>
      <c r="G68" s="39" t="s">
        <v>676</v>
      </c>
      <c r="H68" s="40" t="s">
        <v>571</v>
      </c>
      <c r="I68" s="40" t="s">
        <v>677</v>
      </c>
      <c r="J68" s="41">
        <v>23112000</v>
      </c>
      <c r="K68" s="41">
        <v>23112000</v>
      </c>
      <c r="L68" s="30">
        <v>23112000</v>
      </c>
      <c r="M68" s="30">
        <v>23112000</v>
      </c>
      <c r="N68" s="40" t="s">
        <v>678</v>
      </c>
      <c r="O68" s="40" t="s">
        <v>679</v>
      </c>
      <c r="P68" s="40" t="s">
        <v>680</v>
      </c>
      <c r="Q68" s="37">
        <v>0</v>
      </c>
      <c r="R68" s="37">
        <v>100</v>
      </c>
      <c r="S68" s="37" t="s">
        <v>200</v>
      </c>
      <c r="T68" s="48">
        <v>50</v>
      </c>
      <c r="U68" s="30">
        <v>15</v>
      </c>
      <c r="V68" s="41">
        <v>750</v>
      </c>
      <c r="W68" s="41">
        <v>1540800</v>
      </c>
      <c r="X68" s="41">
        <v>1540800</v>
      </c>
      <c r="Y68" s="41">
        <v>20300</v>
      </c>
      <c r="Z68" s="41">
        <v>304500</v>
      </c>
      <c r="AA68" s="41">
        <v>1520500</v>
      </c>
      <c r="AB68" s="41">
        <v>22807500</v>
      </c>
      <c r="AC68" s="41"/>
      <c r="AD68" s="41"/>
      <c r="AE68" s="41">
        <v>0</v>
      </c>
      <c r="AF68" s="41"/>
      <c r="AG68" s="41">
        <v>0</v>
      </c>
      <c r="AH68" s="41"/>
      <c r="AI68" s="41"/>
      <c r="AJ68" s="41">
        <v>0</v>
      </c>
      <c r="AK68" s="41"/>
      <c r="AL68" s="41">
        <v>0</v>
      </c>
      <c r="AM68" s="41">
        <v>304500</v>
      </c>
      <c r="AN68" s="41">
        <v>30816</v>
      </c>
      <c r="AO68" s="41">
        <v>30816</v>
      </c>
      <c r="AP68" s="40"/>
      <c r="AQ68" s="36">
        <v>44958</v>
      </c>
      <c r="AR68" s="36"/>
      <c r="AS68" s="36"/>
      <c r="AT68" s="36">
        <v>44972</v>
      </c>
      <c r="AU68" s="36"/>
      <c r="AV68" s="38"/>
      <c r="AW68" s="40" t="s">
        <v>87</v>
      </c>
    </row>
    <row r="69" spans="1:49" s="34" customFormat="1" ht="124.8" x14ac:dyDescent="0.3">
      <c r="A69" s="39" t="s">
        <v>681</v>
      </c>
      <c r="B69" s="36">
        <v>44693</v>
      </c>
      <c r="C69" s="37">
        <v>1416</v>
      </c>
      <c r="D69" s="39" t="s">
        <v>682</v>
      </c>
      <c r="E69" s="1" t="s">
        <v>683</v>
      </c>
      <c r="F69" s="36">
        <v>44712</v>
      </c>
      <c r="G69" s="39" t="s">
        <v>684</v>
      </c>
      <c r="H69" s="40" t="s">
        <v>685</v>
      </c>
      <c r="I69" s="40" t="s">
        <v>686</v>
      </c>
      <c r="J69" s="41">
        <v>28072993</v>
      </c>
      <c r="K69" s="41">
        <v>28072993</v>
      </c>
      <c r="L69" s="30">
        <v>28072993</v>
      </c>
      <c r="M69" s="30">
        <v>28072993</v>
      </c>
      <c r="N69" s="40" t="s">
        <v>687</v>
      </c>
      <c r="O69" s="40" t="s">
        <v>688</v>
      </c>
      <c r="P69" s="40" t="s">
        <v>47</v>
      </c>
      <c r="Q69" s="44">
        <v>100</v>
      </c>
      <c r="R69" s="37">
        <v>0</v>
      </c>
      <c r="S69" s="37" t="s">
        <v>200</v>
      </c>
      <c r="T69" s="48">
        <v>50</v>
      </c>
      <c r="U69" s="30">
        <v>15.86</v>
      </c>
      <c r="V69" s="41">
        <v>793</v>
      </c>
      <c r="W69" s="41">
        <v>1770050</v>
      </c>
      <c r="X69" s="41">
        <v>1770050</v>
      </c>
      <c r="Y69" s="41">
        <v>389800</v>
      </c>
      <c r="Z69" s="41">
        <v>6182228</v>
      </c>
      <c r="AA69" s="41">
        <v>1380250</v>
      </c>
      <c r="AB69" s="41">
        <v>21890765</v>
      </c>
      <c r="AC69" s="41"/>
      <c r="AD69" s="41"/>
      <c r="AE69" s="41"/>
      <c r="AF69" s="41"/>
      <c r="AG69" s="41"/>
      <c r="AH69" s="41"/>
      <c r="AI69" s="41"/>
      <c r="AJ69" s="41"/>
      <c r="AK69" s="41"/>
      <c r="AL69" s="41"/>
      <c r="AM69" s="41">
        <v>6182228</v>
      </c>
      <c r="AN69" s="41">
        <v>35401</v>
      </c>
      <c r="AO69" s="41">
        <v>35401</v>
      </c>
      <c r="AP69" s="40"/>
      <c r="AQ69" s="36">
        <v>44986</v>
      </c>
      <c r="AR69" s="36"/>
      <c r="AS69" s="36"/>
      <c r="AT69" s="36">
        <v>45000</v>
      </c>
      <c r="AU69" s="36"/>
      <c r="AV69" s="38"/>
      <c r="AW69" s="40" t="s">
        <v>87</v>
      </c>
    </row>
    <row r="70" spans="1:49" s="34" customFormat="1" ht="47.25" customHeight="1" x14ac:dyDescent="0.3">
      <c r="A70" s="39" t="s">
        <v>689</v>
      </c>
      <c r="B70" s="36">
        <v>44693</v>
      </c>
      <c r="C70" s="37">
        <v>1416</v>
      </c>
      <c r="D70" s="39" t="s">
        <v>690</v>
      </c>
      <c r="E70" s="1" t="s">
        <v>691</v>
      </c>
      <c r="F70" s="36">
        <v>44718</v>
      </c>
      <c r="G70" s="39" t="s">
        <v>692</v>
      </c>
      <c r="H70" s="40" t="s">
        <v>693</v>
      </c>
      <c r="I70" s="40" t="s">
        <v>694</v>
      </c>
      <c r="J70" s="41">
        <v>161917201.74000001</v>
      </c>
      <c r="K70" s="41">
        <v>161917201.74000001</v>
      </c>
      <c r="L70" s="30">
        <v>161917201.74000001</v>
      </c>
      <c r="M70" s="30">
        <v>161917201.74000001</v>
      </c>
      <c r="N70" s="40" t="s">
        <v>695</v>
      </c>
      <c r="O70" s="40" t="s">
        <v>696</v>
      </c>
      <c r="P70" s="40" t="s">
        <v>697</v>
      </c>
      <c r="Q70" s="44">
        <v>0</v>
      </c>
      <c r="R70" s="37">
        <v>100</v>
      </c>
      <c r="S70" s="37" t="s">
        <v>219</v>
      </c>
      <c r="T70" s="48">
        <v>3</v>
      </c>
      <c r="U70" s="30">
        <v>50773.66</v>
      </c>
      <c r="V70" s="41">
        <v>152320.98000000001</v>
      </c>
      <c r="W70" s="41">
        <v>3189</v>
      </c>
      <c r="X70" s="41">
        <v>3189</v>
      </c>
      <c r="Y70" s="41">
        <v>1992</v>
      </c>
      <c r="Z70" s="41">
        <v>101141130.72000001</v>
      </c>
      <c r="AA70" s="41">
        <v>1197</v>
      </c>
      <c r="AB70" s="41">
        <v>60776071.020000003</v>
      </c>
      <c r="AC70" s="41"/>
      <c r="AD70" s="41"/>
      <c r="AE70" s="41">
        <v>0</v>
      </c>
      <c r="AF70" s="41"/>
      <c r="AG70" s="41">
        <v>0</v>
      </c>
      <c r="AH70" s="41"/>
      <c r="AI70" s="41"/>
      <c r="AJ70" s="41">
        <v>0</v>
      </c>
      <c r="AK70" s="41"/>
      <c r="AL70" s="41">
        <v>0</v>
      </c>
      <c r="AM70" s="41">
        <v>101141130.72000001</v>
      </c>
      <c r="AN70" s="41">
        <v>1063</v>
      </c>
      <c r="AO70" s="41">
        <v>1063</v>
      </c>
      <c r="AP70" s="40"/>
      <c r="AQ70" s="36">
        <v>44986</v>
      </c>
      <c r="AR70" s="36"/>
      <c r="AS70" s="36"/>
      <c r="AT70" s="36">
        <v>45000</v>
      </c>
      <c r="AU70" s="36"/>
      <c r="AV70" s="38"/>
      <c r="AW70" s="40" t="s">
        <v>87</v>
      </c>
    </row>
    <row r="71" spans="1:49" s="34" customFormat="1" ht="72" x14ac:dyDescent="0.3">
      <c r="A71" s="39" t="s">
        <v>698</v>
      </c>
      <c r="B71" s="36">
        <v>44693</v>
      </c>
      <c r="C71" s="37">
        <v>1416</v>
      </c>
      <c r="D71" s="39" t="s">
        <v>699</v>
      </c>
      <c r="E71" s="1" t="s">
        <v>700</v>
      </c>
      <c r="F71" s="36">
        <v>44722</v>
      </c>
      <c r="G71" s="39" t="s">
        <v>701</v>
      </c>
      <c r="H71" s="40" t="s">
        <v>186</v>
      </c>
      <c r="I71" s="40" t="s">
        <v>702</v>
      </c>
      <c r="J71" s="41">
        <v>467593344</v>
      </c>
      <c r="K71" s="41">
        <v>467593344</v>
      </c>
      <c r="L71" s="30">
        <v>467593344</v>
      </c>
      <c r="M71" s="30">
        <v>467593344</v>
      </c>
      <c r="N71" s="40" t="s">
        <v>703</v>
      </c>
      <c r="O71" s="40" t="s">
        <v>643</v>
      </c>
      <c r="P71" s="40" t="s">
        <v>47</v>
      </c>
      <c r="Q71" s="44">
        <v>100</v>
      </c>
      <c r="R71" s="37">
        <v>0</v>
      </c>
      <c r="S71" s="37" t="s">
        <v>457</v>
      </c>
      <c r="T71" s="48">
        <v>400</v>
      </c>
      <c r="U71" s="30">
        <v>164.16</v>
      </c>
      <c r="V71" s="41">
        <v>65664</v>
      </c>
      <c r="W71" s="41">
        <v>2848400</v>
      </c>
      <c r="X71" s="41">
        <v>2848400</v>
      </c>
      <c r="Y71" s="41">
        <v>741600</v>
      </c>
      <c r="Z71" s="41">
        <v>121741056</v>
      </c>
      <c r="AA71" s="41">
        <v>2106800</v>
      </c>
      <c r="AB71" s="41">
        <v>345852288</v>
      </c>
      <c r="AC71" s="41"/>
      <c r="AD71" s="41"/>
      <c r="AE71" s="41">
        <v>0</v>
      </c>
      <c r="AF71" s="41"/>
      <c r="AG71" s="41">
        <v>0</v>
      </c>
      <c r="AH71" s="41"/>
      <c r="AI71" s="41"/>
      <c r="AJ71" s="41">
        <v>0</v>
      </c>
      <c r="AK71" s="41"/>
      <c r="AL71" s="41">
        <v>0</v>
      </c>
      <c r="AM71" s="41">
        <v>121741056</v>
      </c>
      <c r="AN71" s="41">
        <v>7121</v>
      </c>
      <c r="AO71" s="41">
        <v>7121</v>
      </c>
      <c r="AP71" s="40"/>
      <c r="AQ71" s="36">
        <v>44958</v>
      </c>
      <c r="AR71" s="36"/>
      <c r="AS71" s="36"/>
      <c r="AT71" s="36">
        <v>44972</v>
      </c>
      <c r="AU71" s="36"/>
      <c r="AV71" s="38"/>
      <c r="AW71" s="40" t="s">
        <v>87</v>
      </c>
    </row>
    <row r="72" spans="1:49" s="34" customFormat="1" ht="31.5" customHeight="1" x14ac:dyDescent="0.3">
      <c r="A72" s="39" t="s">
        <v>704</v>
      </c>
      <c r="B72" s="36">
        <v>44693</v>
      </c>
      <c r="C72" s="37">
        <v>1416</v>
      </c>
      <c r="D72" s="39" t="s">
        <v>705</v>
      </c>
      <c r="E72" s="1" t="s">
        <v>706</v>
      </c>
      <c r="F72" s="36">
        <v>44718</v>
      </c>
      <c r="G72" s="39" t="s">
        <v>707</v>
      </c>
      <c r="H72" s="40" t="s">
        <v>571</v>
      </c>
      <c r="I72" s="40" t="s">
        <v>708</v>
      </c>
      <c r="J72" s="41">
        <v>17058000</v>
      </c>
      <c r="K72" s="41">
        <v>17058000</v>
      </c>
      <c r="L72" s="30">
        <v>17058000</v>
      </c>
      <c r="M72" s="30">
        <v>17058000</v>
      </c>
      <c r="N72" s="40" t="s">
        <v>709</v>
      </c>
      <c r="O72" s="40" t="s">
        <v>710</v>
      </c>
      <c r="P72" s="40" t="s">
        <v>47</v>
      </c>
      <c r="Q72" s="44">
        <v>100</v>
      </c>
      <c r="R72" s="37">
        <v>0</v>
      </c>
      <c r="S72" s="37" t="s">
        <v>200</v>
      </c>
      <c r="T72" s="48">
        <v>50</v>
      </c>
      <c r="U72" s="30">
        <v>24</v>
      </c>
      <c r="V72" s="41">
        <v>1200</v>
      </c>
      <c r="W72" s="41">
        <v>710750</v>
      </c>
      <c r="X72" s="41">
        <v>710750</v>
      </c>
      <c r="Y72" s="41"/>
      <c r="Z72" s="41"/>
      <c r="AA72" s="41"/>
      <c r="AB72" s="41"/>
      <c r="AC72" s="41"/>
      <c r="AD72" s="41"/>
      <c r="AE72" s="41"/>
      <c r="AF72" s="41"/>
      <c r="AG72" s="41"/>
      <c r="AH72" s="41"/>
      <c r="AI72" s="41"/>
      <c r="AJ72" s="41"/>
      <c r="AK72" s="41"/>
      <c r="AL72" s="41"/>
      <c r="AM72" s="41">
        <v>0</v>
      </c>
      <c r="AN72" s="41">
        <v>14215</v>
      </c>
      <c r="AO72" s="41">
        <v>14215</v>
      </c>
      <c r="AP72" s="40"/>
      <c r="AQ72" s="36">
        <v>44958</v>
      </c>
      <c r="AR72" s="36"/>
      <c r="AS72" s="36"/>
      <c r="AT72" s="36">
        <v>44972</v>
      </c>
      <c r="AU72" s="36"/>
      <c r="AV72" s="38"/>
      <c r="AW72" s="40" t="s">
        <v>87</v>
      </c>
    </row>
    <row r="73" spans="1:49" s="34" customFormat="1" ht="110.25" customHeight="1" x14ac:dyDescent="0.3">
      <c r="A73" s="39" t="s">
        <v>711</v>
      </c>
      <c r="B73" s="36">
        <v>44693</v>
      </c>
      <c r="C73" s="37">
        <v>1416</v>
      </c>
      <c r="D73" s="39" t="s">
        <v>459</v>
      </c>
      <c r="E73" s="39" t="s">
        <v>459</v>
      </c>
      <c r="F73" s="39" t="s">
        <v>459</v>
      </c>
      <c r="G73" s="39" t="s">
        <v>459</v>
      </c>
      <c r="H73" s="39" t="s">
        <v>459</v>
      </c>
      <c r="I73" s="40" t="s">
        <v>712</v>
      </c>
      <c r="J73" s="41">
        <v>4175516.4</v>
      </c>
      <c r="K73" s="42" t="s">
        <v>459</v>
      </c>
      <c r="L73" s="42" t="s">
        <v>459</v>
      </c>
      <c r="M73" s="42" t="s">
        <v>459</v>
      </c>
      <c r="N73" s="42" t="s">
        <v>459</v>
      </c>
      <c r="O73" s="63" t="s">
        <v>459</v>
      </c>
      <c r="P73" s="42" t="s">
        <v>459</v>
      </c>
      <c r="Q73" s="42" t="s">
        <v>459</v>
      </c>
      <c r="R73" s="42" t="s">
        <v>459</v>
      </c>
      <c r="S73" s="42" t="s">
        <v>459</v>
      </c>
      <c r="T73" s="42" t="s">
        <v>459</v>
      </c>
      <c r="U73" s="42" t="s">
        <v>459</v>
      </c>
      <c r="V73" s="42" t="s">
        <v>459</v>
      </c>
      <c r="W73" s="42" t="s">
        <v>459</v>
      </c>
      <c r="X73" s="42" t="s">
        <v>459</v>
      </c>
      <c r="Y73" s="42"/>
      <c r="Z73" s="42"/>
      <c r="AA73" s="42"/>
      <c r="AB73" s="42"/>
      <c r="AC73" s="42" t="s">
        <v>459</v>
      </c>
      <c r="AD73" s="42"/>
      <c r="AE73" s="42"/>
      <c r="AF73" s="42"/>
      <c r="AG73" s="42"/>
      <c r="AH73" s="42" t="s">
        <v>459</v>
      </c>
      <c r="AI73" s="42"/>
      <c r="AJ73" s="42"/>
      <c r="AK73" s="42"/>
      <c r="AL73" s="42"/>
      <c r="AM73" s="42"/>
      <c r="AN73" s="42" t="s">
        <v>459</v>
      </c>
      <c r="AO73" s="42" t="s">
        <v>459</v>
      </c>
      <c r="AP73" s="42" t="s">
        <v>459</v>
      </c>
      <c r="AQ73" s="42" t="s">
        <v>459</v>
      </c>
      <c r="AR73" s="42" t="s">
        <v>459</v>
      </c>
      <c r="AS73" s="42" t="s">
        <v>459</v>
      </c>
      <c r="AT73" s="42" t="s">
        <v>459</v>
      </c>
      <c r="AU73" s="42" t="s">
        <v>459</v>
      </c>
      <c r="AV73" s="42" t="s">
        <v>459</v>
      </c>
      <c r="AW73" s="42" t="s">
        <v>459</v>
      </c>
    </row>
    <row r="74" spans="1:49" s="34" customFormat="1" ht="63" customHeight="1" x14ac:dyDescent="0.3">
      <c r="A74" s="39" t="s">
        <v>713</v>
      </c>
      <c r="B74" s="36">
        <v>44693</v>
      </c>
      <c r="C74" s="37">
        <v>1416</v>
      </c>
      <c r="D74" s="39" t="s">
        <v>714</v>
      </c>
      <c r="E74" s="1" t="s">
        <v>715</v>
      </c>
      <c r="F74" s="36">
        <v>44718</v>
      </c>
      <c r="G74" s="39" t="s">
        <v>716</v>
      </c>
      <c r="H74" s="69" t="s">
        <v>571</v>
      </c>
      <c r="I74" s="40" t="s">
        <v>717</v>
      </c>
      <c r="J74" s="70">
        <v>32281704</v>
      </c>
      <c r="K74" s="41">
        <v>31628688</v>
      </c>
      <c r="L74" s="30">
        <v>31628688</v>
      </c>
      <c r="M74" s="30">
        <v>31628688</v>
      </c>
      <c r="N74" s="40" t="s">
        <v>718</v>
      </c>
      <c r="O74" s="40" t="s">
        <v>719</v>
      </c>
      <c r="P74" s="40" t="s">
        <v>47</v>
      </c>
      <c r="Q74" s="44">
        <v>100</v>
      </c>
      <c r="R74" s="37">
        <v>0</v>
      </c>
      <c r="S74" s="37" t="s">
        <v>200</v>
      </c>
      <c r="T74" s="48">
        <v>30</v>
      </c>
      <c r="U74" s="30">
        <v>11.14</v>
      </c>
      <c r="V74" s="41">
        <v>334.20000000000005</v>
      </c>
      <c r="W74" s="41">
        <v>2839200</v>
      </c>
      <c r="X74" s="41">
        <v>2839200</v>
      </c>
      <c r="Y74" s="41">
        <v>45900</v>
      </c>
      <c r="Z74" s="41">
        <v>511326</v>
      </c>
      <c r="AA74" s="41">
        <v>2793300</v>
      </c>
      <c r="AB74" s="41">
        <v>31117362</v>
      </c>
      <c r="AC74" s="41"/>
      <c r="AD74" s="41"/>
      <c r="AE74" s="41">
        <v>0</v>
      </c>
      <c r="AF74" s="41"/>
      <c r="AG74" s="41">
        <v>0</v>
      </c>
      <c r="AH74" s="41"/>
      <c r="AI74" s="41"/>
      <c r="AJ74" s="41">
        <v>0</v>
      </c>
      <c r="AK74" s="41"/>
      <c r="AL74" s="41">
        <v>0</v>
      </c>
      <c r="AM74" s="41">
        <v>511326</v>
      </c>
      <c r="AN74" s="41">
        <v>94640</v>
      </c>
      <c r="AO74" s="41">
        <v>94640</v>
      </c>
      <c r="AP74" s="40"/>
      <c r="AQ74" s="36">
        <v>44958</v>
      </c>
      <c r="AR74" s="36"/>
      <c r="AS74" s="36"/>
      <c r="AT74" s="36">
        <v>44972</v>
      </c>
      <c r="AU74" s="36"/>
      <c r="AV74" s="38"/>
      <c r="AW74" s="40" t="s">
        <v>87</v>
      </c>
    </row>
    <row r="75" spans="1:49" s="34" customFormat="1" ht="31.5" customHeight="1" x14ac:dyDescent="0.3">
      <c r="A75" s="39" t="s">
        <v>720</v>
      </c>
      <c r="B75" s="36">
        <v>44693</v>
      </c>
      <c r="C75" s="37">
        <v>1416</v>
      </c>
      <c r="D75" s="39" t="s">
        <v>721</v>
      </c>
      <c r="E75" s="1" t="s">
        <v>722</v>
      </c>
      <c r="F75" s="36">
        <v>44718</v>
      </c>
      <c r="G75" s="39" t="s">
        <v>723</v>
      </c>
      <c r="H75" s="69" t="s">
        <v>571</v>
      </c>
      <c r="I75" s="40" t="s">
        <v>724</v>
      </c>
      <c r="J75" s="70">
        <v>9148533.9000000004</v>
      </c>
      <c r="K75" s="41">
        <v>9148533.9000000004</v>
      </c>
      <c r="L75" s="30">
        <v>9148533.9000000004</v>
      </c>
      <c r="M75" s="30">
        <v>9148533.9000000004</v>
      </c>
      <c r="N75" s="40" t="s">
        <v>709</v>
      </c>
      <c r="O75" s="40" t="s">
        <v>725</v>
      </c>
      <c r="P75" s="40" t="s">
        <v>47</v>
      </c>
      <c r="Q75" s="37">
        <v>100</v>
      </c>
      <c r="R75" s="37">
        <v>0</v>
      </c>
      <c r="S75" s="37" t="s">
        <v>200</v>
      </c>
      <c r="T75" s="48">
        <v>50</v>
      </c>
      <c r="U75" s="30">
        <v>41.910000000000004</v>
      </c>
      <c r="V75" s="41">
        <v>2095.5</v>
      </c>
      <c r="W75" s="41">
        <v>218290</v>
      </c>
      <c r="X75" s="41">
        <v>218290</v>
      </c>
      <c r="Y75" s="41"/>
      <c r="Z75" s="41"/>
      <c r="AA75" s="41"/>
      <c r="AB75" s="41"/>
      <c r="AC75" s="41"/>
      <c r="AD75" s="41"/>
      <c r="AE75" s="41"/>
      <c r="AF75" s="41"/>
      <c r="AG75" s="41"/>
      <c r="AH75" s="41"/>
      <c r="AI75" s="41"/>
      <c r="AJ75" s="41"/>
      <c r="AK75" s="41"/>
      <c r="AL75" s="41"/>
      <c r="AM75" s="41">
        <v>0</v>
      </c>
      <c r="AN75" s="41">
        <v>4365.8</v>
      </c>
      <c r="AO75" s="41">
        <v>4366</v>
      </c>
      <c r="AP75" s="40"/>
      <c r="AQ75" s="36">
        <v>44958</v>
      </c>
      <c r="AR75" s="36"/>
      <c r="AS75" s="36"/>
      <c r="AT75" s="36">
        <v>44972</v>
      </c>
      <c r="AU75" s="36"/>
      <c r="AV75" s="38"/>
      <c r="AW75" s="40" t="s">
        <v>87</v>
      </c>
    </row>
    <row r="76" spans="1:49" s="34" customFormat="1" ht="72" x14ac:dyDescent="0.3">
      <c r="A76" s="39" t="s">
        <v>726</v>
      </c>
      <c r="B76" s="36">
        <v>44693</v>
      </c>
      <c r="C76" s="37">
        <v>1416</v>
      </c>
      <c r="D76" s="39" t="s">
        <v>727</v>
      </c>
      <c r="E76" s="1" t="s">
        <v>728</v>
      </c>
      <c r="F76" s="36">
        <v>44728</v>
      </c>
      <c r="G76" s="39" t="s">
        <v>729</v>
      </c>
      <c r="H76" s="69" t="s">
        <v>224</v>
      </c>
      <c r="I76" s="40" t="s">
        <v>730</v>
      </c>
      <c r="J76" s="70">
        <v>1762304788.53</v>
      </c>
      <c r="K76" s="41">
        <v>1762304788.53</v>
      </c>
      <c r="L76" s="30">
        <v>1762304788.53</v>
      </c>
      <c r="M76" s="30">
        <v>1762304788.53</v>
      </c>
      <c r="N76" s="40" t="s">
        <v>731</v>
      </c>
      <c r="O76" s="40" t="s">
        <v>732</v>
      </c>
      <c r="P76" s="40" t="s">
        <v>733</v>
      </c>
      <c r="Q76" s="44">
        <v>0</v>
      </c>
      <c r="R76" s="37">
        <v>100</v>
      </c>
      <c r="S76" s="37" t="s">
        <v>219</v>
      </c>
      <c r="T76" s="48">
        <v>3</v>
      </c>
      <c r="U76" s="30">
        <v>63582.09</v>
      </c>
      <c r="V76" s="41">
        <v>190746.27</v>
      </c>
      <c r="W76" s="41">
        <v>27717</v>
      </c>
      <c r="X76" s="41">
        <v>27717</v>
      </c>
      <c r="Y76" s="41">
        <v>20703</v>
      </c>
      <c r="Z76" s="41">
        <v>1316340009.27</v>
      </c>
      <c r="AA76" s="41">
        <v>7014</v>
      </c>
      <c r="AB76" s="41">
        <v>445964779.25999999</v>
      </c>
      <c r="AC76" s="41"/>
      <c r="AD76" s="41"/>
      <c r="AE76" s="41">
        <v>0</v>
      </c>
      <c r="AF76" s="41"/>
      <c r="AG76" s="41">
        <v>0</v>
      </c>
      <c r="AH76" s="41"/>
      <c r="AI76" s="41"/>
      <c r="AJ76" s="41">
        <v>0</v>
      </c>
      <c r="AK76" s="41"/>
      <c r="AL76" s="41">
        <v>0</v>
      </c>
      <c r="AM76" s="41">
        <v>1316340009.27</v>
      </c>
      <c r="AN76" s="41">
        <v>9239</v>
      </c>
      <c r="AO76" s="41">
        <v>9239</v>
      </c>
      <c r="AP76" s="40"/>
      <c r="AQ76" s="36">
        <v>44986</v>
      </c>
      <c r="AR76" s="36"/>
      <c r="AS76" s="36"/>
      <c r="AT76" s="36">
        <v>45000</v>
      </c>
      <c r="AU76" s="36"/>
      <c r="AV76" s="38"/>
      <c r="AW76" s="40" t="s">
        <v>87</v>
      </c>
    </row>
    <row r="77" spans="1:49" s="34" customFormat="1" ht="139.19999999999999" customHeight="1" x14ac:dyDescent="0.3">
      <c r="A77" s="39" t="s">
        <v>734</v>
      </c>
      <c r="B77" s="36">
        <v>44693</v>
      </c>
      <c r="C77" s="37">
        <v>1416</v>
      </c>
      <c r="D77" s="39" t="s">
        <v>735</v>
      </c>
      <c r="E77" s="1" t="s">
        <v>736</v>
      </c>
      <c r="F77" s="36">
        <v>44718</v>
      </c>
      <c r="G77" s="39" t="s">
        <v>737</v>
      </c>
      <c r="H77" s="40" t="s">
        <v>571</v>
      </c>
      <c r="I77" s="40" t="s">
        <v>738</v>
      </c>
      <c r="J77" s="41">
        <v>15747334.199999999</v>
      </c>
      <c r="K77" s="41">
        <v>13696462.800000001</v>
      </c>
      <c r="L77" s="30">
        <v>13696462.800000001</v>
      </c>
      <c r="M77" s="30">
        <v>13696462.800000001</v>
      </c>
      <c r="N77" s="40" t="s">
        <v>739</v>
      </c>
      <c r="O77" s="40" t="s">
        <v>740</v>
      </c>
      <c r="P77" s="40" t="s">
        <v>47</v>
      </c>
      <c r="Q77" s="44">
        <v>100</v>
      </c>
      <c r="R77" s="37">
        <v>0</v>
      </c>
      <c r="S77" s="37" t="s">
        <v>200</v>
      </c>
      <c r="T77" s="54">
        <v>50</v>
      </c>
      <c r="U77" s="30">
        <v>22.84</v>
      </c>
      <c r="V77" s="41">
        <v>1142</v>
      </c>
      <c r="W77" s="41">
        <v>599670</v>
      </c>
      <c r="X77" s="41">
        <v>599670</v>
      </c>
      <c r="Y77" s="41">
        <v>10850</v>
      </c>
      <c r="Z77" s="41">
        <v>247814</v>
      </c>
      <c r="AA77" s="41">
        <v>588820</v>
      </c>
      <c r="AB77" s="41">
        <v>13448648.800000001</v>
      </c>
      <c r="AC77" s="41"/>
      <c r="AD77" s="41"/>
      <c r="AE77" s="41">
        <v>0</v>
      </c>
      <c r="AF77" s="41"/>
      <c r="AG77" s="41">
        <v>0</v>
      </c>
      <c r="AH77" s="41"/>
      <c r="AI77" s="41"/>
      <c r="AJ77" s="41">
        <v>0</v>
      </c>
      <c r="AK77" s="41"/>
      <c r="AL77" s="41">
        <v>0</v>
      </c>
      <c r="AM77" s="41">
        <v>247814</v>
      </c>
      <c r="AN77" s="41">
        <v>11993.4</v>
      </c>
      <c r="AO77" s="41">
        <v>11994</v>
      </c>
      <c r="AP77" s="40"/>
      <c r="AQ77" s="36">
        <v>44958</v>
      </c>
      <c r="AR77" s="36"/>
      <c r="AS77" s="36"/>
      <c r="AT77" s="36">
        <v>44972</v>
      </c>
      <c r="AU77" s="36"/>
      <c r="AV77" s="38"/>
      <c r="AW77" s="40" t="s">
        <v>87</v>
      </c>
    </row>
    <row r="78" spans="1:49" s="34" customFormat="1" ht="78.75" customHeight="1" x14ac:dyDescent="0.3">
      <c r="A78" s="39" t="s">
        <v>741</v>
      </c>
      <c r="B78" s="36">
        <v>44697</v>
      </c>
      <c r="C78" s="37">
        <v>1416</v>
      </c>
      <c r="D78" s="39" t="s">
        <v>742</v>
      </c>
      <c r="E78" s="1" t="s">
        <v>743</v>
      </c>
      <c r="F78" s="36">
        <v>44718</v>
      </c>
      <c r="G78" s="39" t="s">
        <v>744</v>
      </c>
      <c r="H78" s="40" t="s">
        <v>745</v>
      </c>
      <c r="I78" s="40" t="s">
        <v>746</v>
      </c>
      <c r="J78" s="41">
        <v>1790550.6</v>
      </c>
      <c r="K78" s="41">
        <v>1781435.6</v>
      </c>
      <c r="L78" s="30">
        <v>1781435.6</v>
      </c>
      <c r="M78" s="30">
        <v>1781435.6</v>
      </c>
      <c r="N78" s="40" t="s">
        <v>747</v>
      </c>
      <c r="O78" s="40" t="s">
        <v>748</v>
      </c>
      <c r="P78" s="40" t="s">
        <v>47</v>
      </c>
      <c r="Q78" s="37">
        <v>100</v>
      </c>
      <c r="R78" s="37">
        <v>0</v>
      </c>
      <c r="S78" s="37" t="s">
        <v>200</v>
      </c>
      <c r="T78" s="54" t="s">
        <v>749</v>
      </c>
      <c r="U78" s="30">
        <v>97.72</v>
      </c>
      <c r="V78" s="57" t="s">
        <v>750</v>
      </c>
      <c r="W78" s="41">
        <v>18230</v>
      </c>
      <c r="X78" s="41">
        <v>18230</v>
      </c>
      <c r="Y78" s="41">
        <v>1597</v>
      </c>
      <c r="Z78" s="41">
        <v>156058.84</v>
      </c>
      <c r="AA78" s="41">
        <v>16633</v>
      </c>
      <c r="AB78" s="41">
        <v>1625376.76</v>
      </c>
      <c r="AC78" s="41"/>
      <c r="AD78" s="41"/>
      <c r="AE78" s="41"/>
      <c r="AF78" s="41"/>
      <c r="AG78" s="41"/>
      <c r="AH78" s="41"/>
      <c r="AI78" s="41"/>
      <c r="AJ78" s="41"/>
      <c r="AK78" s="41"/>
      <c r="AL78" s="41"/>
      <c r="AM78" s="41">
        <v>156058.84</v>
      </c>
      <c r="AN78" s="41">
        <v>454.6</v>
      </c>
      <c r="AO78" s="41">
        <v>455</v>
      </c>
      <c r="AP78" s="40"/>
      <c r="AQ78" s="36">
        <v>44986</v>
      </c>
      <c r="AR78" s="36"/>
      <c r="AS78" s="36"/>
      <c r="AT78" s="36">
        <v>45000</v>
      </c>
      <c r="AU78" s="36"/>
      <c r="AV78" s="38"/>
      <c r="AW78" s="40" t="s">
        <v>87</v>
      </c>
    </row>
    <row r="79" spans="1:49" s="34" customFormat="1" ht="63" customHeight="1" x14ac:dyDescent="0.3">
      <c r="A79" s="39" t="s">
        <v>751</v>
      </c>
      <c r="B79" s="36">
        <v>44697</v>
      </c>
      <c r="C79" s="37">
        <v>1416</v>
      </c>
      <c r="D79" s="39" t="s">
        <v>752</v>
      </c>
      <c r="E79" s="1" t="s">
        <v>753</v>
      </c>
      <c r="F79" s="36">
        <v>44719</v>
      </c>
      <c r="G79" s="39" t="s">
        <v>754</v>
      </c>
      <c r="H79" s="40" t="s">
        <v>571</v>
      </c>
      <c r="I79" s="40" t="s">
        <v>755</v>
      </c>
      <c r="J79" s="72">
        <v>13968994.4</v>
      </c>
      <c r="K79" s="41">
        <v>13895140.199999999</v>
      </c>
      <c r="L79" s="30">
        <v>13895140.199999999</v>
      </c>
      <c r="M79" s="30">
        <v>13895140.199999999</v>
      </c>
      <c r="N79" s="40" t="s">
        <v>739</v>
      </c>
      <c r="O79" s="40" t="s">
        <v>756</v>
      </c>
      <c r="P79" s="40" t="s">
        <v>47</v>
      </c>
      <c r="Q79" s="44">
        <v>100</v>
      </c>
      <c r="R79" s="37">
        <v>0</v>
      </c>
      <c r="S79" s="37" t="s">
        <v>200</v>
      </c>
      <c r="T79" s="48">
        <v>100</v>
      </c>
      <c r="U79" s="30">
        <v>13.17</v>
      </c>
      <c r="V79" s="41">
        <v>1317</v>
      </c>
      <c r="W79" s="41">
        <v>1055060</v>
      </c>
      <c r="X79" s="41">
        <v>1055060</v>
      </c>
      <c r="Y79" s="41">
        <v>58400</v>
      </c>
      <c r="Z79" s="41">
        <v>769128</v>
      </c>
      <c r="AA79" s="41">
        <v>996660</v>
      </c>
      <c r="AB79" s="41">
        <v>13126012.199999999</v>
      </c>
      <c r="AC79" s="41"/>
      <c r="AD79" s="41"/>
      <c r="AE79" s="41">
        <v>0</v>
      </c>
      <c r="AF79" s="41"/>
      <c r="AG79" s="41">
        <v>0</v>
      </c>
      <c r="AH79" s="41"/>
      <c r="AI79" s="41"/>
      <c r="AJ79" s="41">
        <v>0</v>
      </c>
      <c r="AK79" s="41"/>
      <c r="AL79" s="41">
        <v>0</v>
      </c>
      <c r="AM79" s="41">
        <v>769128</v>
      </c>
      <c r="AN79" s="41">
        <v>10550.6</v>
      </c>
      <c r="AO79" s="41">
        <v>10551</v>
      </c>
      <c r="AP79" s="40"/>
      <c r="AQ79" s="36">
        <v>44958</v>
      </c>
      <c r="AR79" s="36"/>
      <c r="AS79" s="36"/>
      <c r="AT79" s="36">
        <v>44972</v>
      </c>
      <c r="AU79" s="36"/>
      <c r="AV79" s="38"/>
      <c r="AW79" s="40" t="s">
        <v>87</v>
      </c>
    </row>
    <row r="80" spans="1:49" s="34" customFormat="1" ht="129" customHeight="1" x14ac:dyDescent="0.3">
      <c r="A80" s="39" t="s">
        <v>757</v>
      </c>
      <c r="B80" s="36">
        <v>44699</v>
      </c>
      <c r="C80" s="37">
        <v>1416</v>
      </c>
      <c r="D80" s="39" t="s">
        <v>758</v>
      </c>
      <c r="E80" s="1" t="s">
        <v>759</v>
      </c>
      <c r="F80" s="36">
        <v>44722</v>
      </c>
      <c r="G80" s="39" t="s">
        <v>760</v>
      </c>
      <c r="H80" s="40" t="s">
        <v>685</v>
      </c>
      <c r="I80" s="40" t="s">
        <v>761</v>
      </c>
      <c r="J80" s="41">
        <v>35398163.700000003</v>
      </c>
      <c r="K80" s="41">
        <v>35208615.299999997</v>
      </c>
      <c r="L80" s="30">
        <v>35208615.299999997</v>
      </c>
      <c r="M80" s="30">
        <v>35208615.299999997</v>
      </c>
      <c r="N80" s="40" t="s">
        <v>762</v>
      </c>
      <c r="O80" s="40" t="s">
        <v>763</v>
      </c>
      <c r="P80" s="40" t="s">
        <v>47</v>
      </c>
      <c r="Q80" s="44">
        <v>100</v>
      </c>
      <c r="R80" s="37">
        <v>0</v>
      </c>
      <c r="S80" s="37" t="s">
        <v>200</v>
      </c>
      <c r="T80" s="54" t="s">
        <v>764</v>
      </c>
      <c r="U80" s="30">
        <v>22.29</v>
      </c>
      <c r="V80" s="57" t="s">
        <v>765</v>
      </c>
      <c r="W80" s="41">
        <v>1579570</v>
      </c>
      <c r="X80" s="41">
        <v>1579570</v>
      </c>
      <c r="Y80" s="41">
        <v>192700</v>
      </c>
      <c r="Z80" s="41">
        <v>4295283</v>
      </c>
      <c r="AA80" s="41">
        <v>1386870</v>
      </c>
      <c r="AB80" s="41">
        <v>30913332.299999997</v>
      </c>
      <c r="AC80" s="41"/>
      <c r="AD80" s="41"/>
      <c r="AE80" s="41"/>
      <c r="AF80" s="41"/>
      <c r="AG80" s="41"/>
      <c r="AH80" s="41"/>
      <c r="AI80" s="41"/>
      <c r="AJ80" s="41"/>
      <c r="AK80" s="41"/>
      <c r="AL80" s="41"/>
      <c r="AM80" s="41">
        <v>4295283</v>
      </c>
      <c r="AN80" s="41">
        <v>36859</v>
      </c>
      <c r="AO80" s="41">
        <v>36859</v>
      </c>
      <c r="AP80" s="40"/>
      <c r="AQ80" s="36">
        <v>44986</v>
      </c>
      <c r="AR80" s="36"/>
      <c r="AS80" s="36"/>
      <c r="AT80" s="36">
        <v>45000</v>
      </c>
      <c r="AU80" s="36"/>
      <c r="AV80" s="38"/>
      <c r="AW80" s="40" t="s">
        <v>87</v>
      </c>
    </row>
    <row r="81" spans="1:49" s="34" customFormat="1" ht="134.25" customHeight="1" x14ac:dyDescent="0.3">
      <c r="A81" s="39" t="s">
        <v>766</v>
      </c>
      <c r="B81" s="36">
        <v>44699</v>
      </c>
      <c r="C81" s="37">
        <v>1416</v>
      </c>
      <c r="D81" s="39" t="s">
        <v>767</v>
      </c>
      <c r="E81" s="1" t="s">
        <v>768</v>
      </c>
      <c r="F81" s="36">
        <v>44722</v>
      </c>
      <c r="G81" s="39" t="s">
        <v>769</v>
      </c>
      <c r="H81" s="40" t="s">
        <v>555</v>
      </c>
      <c r="I81" s="40" t="s">
        <v>770</v>
      </c>
      <c r="J81" s="41">
        <v>197754738.75</v>
      </c>
      <c r="K81" s="41">
        <v>196752253.5</v>
      </c>
      <c r="L81" s="30">
        <v>196752253.5</v>
      </c>
      <c r="M81" s="30">
        <v>196752253.5</v>
      </c>
      <c r="N81" s="40" t="s">
        <v>771</v>
      </c>
      <c r="O81" s="40" t="s">
        <v>772</v>
      </c>
      <c r="P81" s="40" t="s">
        <v>47</v>
      </c>
      <c r="Q81" s="44">
        <v>100</v>
      </c>
      <c r="R81" s="37">
        <v>0</v>
      </c>
      <c r="S81" s="37" t="s">
        <v>200</v>
      </c>
      <c r="T81" s="48">
        <v>1</v>
      </c>
      <c r="U81" s="30">
        <v>4105.42</v>
      </c>
      <c r="V81" s="41">
        <v>4105.42</v>
      </c>
      <c r="W81" s="41">
        <v>47925</v>
      </c>
      <c r="X81" s="41">
        <v>47925</v>
      </c>
      <c r="Y81" s="41">
        <v>26</v>
      </c>
      <c r="Z81" s="41">
        <v>106740.92</v>
      </c>
      <c r="AA81" s="41">
        <v>47899</v>
      </c>
      <c r="AB81" s="41">
        <v>196645512.58000001</v>
      </c>
      <c r="AC81" s="41"/>
      <c r="AD81" s="41"/>
      <c r="AE81" s="41"/>
      <c r="AF81" s="41"/>
      <c r="AG81" s="41"/>
      <c r="AH81" s="41"/>
      <c r="AI81" s="41"/>
      <c r="AJ81" s="41"/>
      <c r="AK81" s="41"/>
      <c r="AL81" s="41"/>
      <c r="AM81" s="41">
        <v>106740.92</v>
      </c>
      <c r="AN81" s="41">
        <v>47925</v>
      </c>
      <c r="AO81" s="41">
        <v>47925</v>
      </c>
      <c r="AP81" s="40"/>
      <c r="AQ81" s="36">
        <v>44986</v>
      </c>
      <c r="AR81" s="36"/>
      <c r="AS81" s="36"/>
      <c r="AT81" s="36">
        <v>45000</v>
      </c>
      <c r="AU81" s="36"/>
      <c r="AV81" s="38"/>
      <c r="AW81" s="40" t="s">
        <v>87</v>
      </c>
    </row>
    <row r="82" spans="1:49" s="34" customFormat="1" ht="93.6" x14ac:dyDescent="0.3">
      <c r="A82" s="39" t="s">
        <v>773</v>
      </c>
      <c r="B82" s="36">
        <v>44699</v>
      </c>
      <c r="C82" s="37">
        <v>1416</v>
      </c>
      <c r="D82" s="39" t="s">
        <v>459</v>
      </c>
      <c r="E82" s="1" t="s">
        <v>459</v>
      </c>
      <c r="F82" s="36" t="s">
        <v>459</v>
      </c>
      <c r="G82" s="37" t="s">
        <v>459</v>
      </c>
      <c r="H82" s="40" t="s">
        <v>459</v>
      </c>
      <c r="I82" s="65" t="s">
        <v>774</v>
      </c>
      <c r="J82" s="57">
        <v>166227600</v>
      </c>
      <c r="K82" s="41">
        <v>0</v>
      </c>
      <c r="L82" s="30">
        <v>0</v>
      </c>
      <c r="M82" s="30">
        <v>0</v>
      </c>
      <c r="N82" s="40"/>
      <c r="O82" s="40"/>
      <c r="P82" s="40"/>
      <c r="Q82" s="44"/>
      <c r="R82" s="37"/>
      <c r="S82" s="37"/>
      <c r="T82" s="48"/>
      <c r="U82" s="30" t="e">
        <v>#DIV/0!</v>
      </c>
      <c r="V82" s="41" t="e">
        <v>#DIV/0!</v>
      </c>
      <c r="W82" s="41">
        <v>0</v>
      </c>
      <c r="X82" s="41"/>
      <c r="Y82" s="41"/>
      <c r="Z82" s="41"/>
      <c r="AA82" s="41"/>
      <c r="AB82" s="41"/>
      <c r="AC82" s="41"/>
      <c r="AD82" s="41"/>
      <c r="AE82" s="41"/>
      <c r="AF82" s="41"/>
      <c r="AG82" s="41"/>
      <c r="AH82" s="41"/>
      <c r="AI82" s="41"/>
      <c r="AJ82" s="41"/>
      <c r="AK82" s="41"/>
      <c r="AL82" s="41"/>
      <c r="AM82" s="41"/>
      <c r="AN82" s="41" t="e">
        <v>#DIV/0!</v>
      </c>
      <c r="AO82" s="41" t="e">
        <v>#DIV/0!</v>
      </c>
      <c r="AP82" s="40"/>
      <c r="AQ82" s="36"/>
      <c r="AR82" s="36"/>
      <c r="AS82" s="36"/>
      <c r="AT82" s="36"/>
      <c r="AU82" s="36"/>
      <c r="AV82" s="38"/>
      <c r="AW82" s="40"/>
    </row>
    <row r="83" spans="1:49" s="34" customFormat="1" ht="150.6" customHeight="1" x14ac:dyDescent="0.3">
      <c r="A83" s="39" t="s">
        <v>775</v>
      </c>
      <c r="B83" s="36">
        <v>44704</v>
      </c>
      <c r="C83" s="37">
        <v>1416</v>
      </c>
      <c r="D83" s="39" t="s">
        <v>776</v>
      </c>
      <c r="E83" s="1" t="s">
        <v>777</v>
      </c>
      <c r="F83" s="36">
        <v>44729</v>
      </c>
      <c r="G83" s="39" t="s">
        <v>778</v>
      </c>
      <c r="H83" s="40" t="s">
        <v>224</v>
      </c>
      <c r="I83" s="40" t="s">
        <v>779</v>
      </c>
      <c r="J83" s="41">
        <v>44051310</v>
      </c>
      <c r="K83" s="41">
        <v>44051310</v>
      </c>
      <c r="L83" s="30">
        <v>44051310</v>
      </c>
      <c r="M83" s="30">
        <v>44051310</v>
      </c>
      <c r="N83" s="40" t="s">
        <v>780</v>
      </c>
      <c r="O83" s="40" t="s">
        <v>781</v>
      </c>
      <c r="P83" s="40" t="s">
        <v>218</v>
      </c>
      <c r="Q83" s="44">
        <v>0</v>
      </c>
      <c r="R83" s="37">
        <v>100</v>
      </c>
      <c r="S83" s="37" t="s">
        <v>229</v>
      </c>
      <c r="T83" s="48">
        <v>600</v>
      </c>
      <c r="U83" s="30">
        <v>24.93</v>
      </c>
      <c r="V83" s="41">
        <v>14958</v>
      </c>
      <c r="W83" s="41">
        <v>1767000</v>
      </c>
      <c r="X83" s="41">
        <v>1767000</v>
      </c>
      <c r="Y83" s="41">
        <v>1657200</v>
      </c>
      <c r="Z83" s="41">
        <v>41313996</v>
      </c>
      <c r="AA83" s="41">
        <v>109800</v>
      </c>
      <c r="AB83" s="41">
        <v>2737314</v>
      </c>
      <c r="AC83" s="41"/>
      <c r="AD83" s="41"/>
      <c r="AE83" s="41">
        <v>0</v>
      </c>
      <c r="AF83" s="41"/>
      <c r="AG83" s="41">
        <v>0</v>
      </c>
      <c r="AH83" s="41"/>
      <c r="AI83" s="41"/>
      <c r="AJ83" s="41">
        <v>0</v>
      </c>
      <c r="AK83" s="41"/>
      <c r="AL83" s="41">
        <v>0</v>
      </c>
      <c r="AM83" s="41">
        <v>41313996</v>
      </c>
      <c r="AN83" s="41">
        <v>2945</v>
      </c>
      <c r="AO83" s="41">
        <v>2945</v>
      </c>
      <c r="AP83" s="40"/>
      <c r="AQ83" s="36">
        <v>44986</v>
      </c>
      <c r="AR83" s="36"/>
      <c r="AS83" s="36"/>
      <c r="AT83" s="36">
        <v>45000</v>
      </c>
      <c r="AU83" s="36"/>
      <c r="AV83" s="38"/>
      <c r="AW83" s="40" t="s">
        <v>87</v>
      </c>
    </row>
    <row r="84" spans="1:49" s="34" customFormat="1" ht="160.19999999999999" customHeight="1" x14ac:dyDescent="0.3">
      <c r="A84" s="39" t="s">
        <v>782</v>
      </c>
      <c r="B84" s="36">
        <v>44704</v>
      </c>
      <c r="C84" s="37">
        <v>1416</v>
      </c>
      <c r="D84" s="39" t="s">
        <v>783</v>
      </c>
      <c r="E84" s="1" t="s">
        <v>784</v>
      </c>
      <c r="F84" s="36">
        <v>44729</v>
      </c>
      <c r="G84" s="39" t="s">
        <v>785</v>
      </c>
      <c r="H84" s="40" t="s">
        <v>685</v>
      </c>
      <c r="I84" s="65" t="s">
        <v>786</v>
      </c>
      <c r="J84" s="41">
        <v>33217626</v>
      </c>
      <c r="K84" s="41">
        <v>33043654.800000001</v>
      </c>
      <c r="L84" s="30">
        <v>33043654.800000001</v>
      </c>
      <c r="M84" s="30">
        <v>33043654.800000001</v>
      </c>
      <c r="N84" s="40" t="s">
        <v>787</v>
      </c>
      <c r="O84" s="40" t="s">
        <v>788</v>
      </c>
      <c r="P84" s="40" t="s">
        <v>47</v>
      </c>
      <c r="Q84" s="44">
        <v>100</v>
      </c>
      <c r="R84" s="37">
        <v>0</v>
      </c>
      <c r="S84" s="37" t="s">
        <v>200</v>
      </c>
      <c r="T84" s="54" t="s">
        <v>789</v>
      </c>
      <c r="U84" s="30">
        <v>30.39</v>
      </c>
      <c r="V84" s="57" t="s">
        <v>790</v>
      </c>
      <c r="W84" s="41">
        <v>1087320</v>
      </c>
      <c r="X84" s="41">
        <v>1087320</v>
      </c>
      <c r="Y84" s="41">
        <v>125400</v>
      </c>
      <c r="Z84" s="41">
        <v>3810906</v>
      </c>
      <c r="AA84" s="41">
        <v>961920</v>
      </c>
      <c r="AB84" s="41">
        <v>29232748.800000001</v>
      </c>
      <c r="AC84" s="41"/>
      <c r="AD84" s="41"/>
      <c r="AE84" s="41">
        <v>0</v>
      </c>
      <c r="AF84" s="41"/>
      <c r="AG84" s="41">
        <v>0</v>
      </c>
      <c r="AH84" s="41"/>
      <c r="AI84" s="41"/>
      <c r="AJ84" s="41">
        <v>0</v>
      </c>
      <c r="AK84" s="41"/>
      <c r="AL84" s="41">
        <v>0</v>
      </c>
      <c r="AM84" s="41">
        <v>3810906</v>
      </c>
      <c r="AN84" s="41">
        <v>10269</v>
      </c>
      <c r="AO84" s="41">
        <v>10269</v>
      </c>
      <c r="AP84" s="40"/>
      <c r="AQ84" s="36">
        <v>44986</v>
      </c>
      <c r="AR84" s="36"/>
      <c r="AS84" s="36"/>
      <c r="AT84" s="36">
        <v>45000</v>
      </c>
      <c r="AU84" s="36"/>
      <c r="AV84" s="38"/>
      <c r="AW84" s="40" t="s">
        <v>87</v>
      </c>
    </row>
    <row r="85" spans="1:49" s="34" customFormat="1" ht="72" x14ac:dyDescent="0.3">
      <c r="A85" s="39" t="s">
        <v>791</v>
      </c>
      <c r="B85" s="36">
        <v>44704</v>
      </c>
      <c r="C85" s="37">
        <v>1416</v>
      </c>
      <c r="D85" s="39" t="s">
        <v>792</v>
      </c>
      <c r="E85" s="1" t="s">
        <v>793</v>
      </c>
      <c r="F85" s="36">
        <v>44734</v>
      </c>
      <c r="G85" s="39" t="s">
        <v>794</v>
      </c>
      <c r="H85" s="40" t="s">
        <v>186</v>
      </c>
      <c r="I85" s="40" t="s">
        <v>795</v>
      </c>
      <c r="J85" s="41">
        <v>764891376</v>
      </c>
      <c r="K85" s="41">
        <v>764891376</v>
      </c>
      <c r="L85" s="30">
        <v>764891376</v>
      </c>
      <c r="M85" s="30">
        <v>764891376</v>
      </c>
      <c r="N85" s="40" t="s">
        <v>796</v>
      </c>
      <c r="O85" s="40" t="s">
        <v>797</v>
      </c>
      <c r="P85" s="40" t="s">
        <v>47</v>
      </c>
      <c r="Q85" s="44">
        <v>100</v>
      </c>
      <c r="R85" s="37">
        <v>0</v>
      </c>
      <c r="S85" s="37" t="s">
        <v>219</v>
      </c>
      <c r="T85" s="48">
        <v>15</v>
      </c>
      <c r="U85" s="30">
        <v>401.6</v>
      </c>
      <c r="V85" s="41">
        <v>6024</v>
      </c>
      <c r="W85" s="41">
        <v>1904610</v>
      </c>
      <c r="X85" s="41">
        <v>975000</v>
      </c>
      <c r="Y85" s="41">
        <v>724320</v>
      </c>
      <c r="Z85" s="41">
        <v>290886912</v>
      </c>
      <c r="AA85" s="41">
        <v>250680</v>
      </c>
      <c r="AB85" s="41">
        <v>100673088</v>
      </c>
      <c r="AC85" s="41">
        <v>929610</v>
      </c>
      <c r="AD85" s="41">
        <v>238995</v>
      </c>
      <c r="AE85" s="41">
        <v>95980392</v>
      </c>
      <c r="AF85" s="41">
        <v>690615</v>
      </c>
      <c r="AG85" s="41">
        <v>277350984</v>
      </c>
      <c r="AH85" s="41"/>
      <c r="AI85" s="41"/>
      <c r="AJ85" s="41">
        <v>0</v>
      </c>
      <c r="AK85" s="41"/>
      <c r="AL85" s="41">
        <v>0</v>
      </c>
      <c r="AM85" s="41">
        <v>386867304</v>
      </c>
      <c r="AN85" s="41">
        <v>126974</v>
      </c>
      <c r="AO85" s="41">
        <v>126974</v>
      </c>
      <c r="AP85" s="40"/>
      <c r="AQ85" s="36">
        <v>44986</v>
      </c>
      <c r="AR85" s="36"/>
      <c r="AS85" s="36"/>
      <c r="AT85" s="36">
        <v>45000</v>
      </c>
      <c r="AU85" s="36"/>
      <c r="AV85" s="38"/>
      <c r="AW85" s="40" t="s">
        <v>87</v>
      </c>
    </row>
    <row r="86" spans="1:49" s="34" customFormat="1" ht="72" x14ac:dyDescent="0.3">
      <c r="A86" s="39" t="s">
        <v>798</v>
      </c>
      <c r="B86" s="36">
        <v>44704</v>
      </c>
      <c r="C86" s="37">
        <v>1416</v>
      </c>
      <c r="D86" s="39" t="s">
        <v>799</v>
      </c>
      <c r="E86" s="1" t="s">
        <v>800</v>
      </c>
      <c r="F86" s="36">
        <v>44733</v>
      </c>
      <c r="G86" s="39" t="s">
        <v>801</v>
      </c>
      <c r="H86" s="40" t="s">
        <v>802</v>
      </c>
      <c r="I86" s="40" t="s">
        <v>803</v>
      </c>
      <c r="J86" s="41">
        <v>346948473.60000002</v>
      </c>
      <c r="K86" s="41">
        <v>346948473.60000002</v>
      </c>
      <c r="L86" s="30">
        <v>346948473.60000002</v>
      </c>
      <c r="M86" s="30">
        <v>346948473.60000002</v>
      </c>
      <c r="N86" s="40" t="s">
        <v>804</v>
      </c>
      <c r="O86" s="40" t="s">
        <v>805</v>
      </c>
      <c r="P86" s="40" t="s">
        <v>218</v>
      </c>
      <c r="Q86" s="44">
        <v>0</v>
      </c>
      <c r="R86" s="37">
        <v>100</v>
      </c>
      <c r="S86" s="37" t="s">
        <v>219</v>
      </c>
      <c r="T86" s="48">
        <v>5</v>
      </c>
      <c r="U86" s="30">
        <v>7950.2400000000007</v>
      </c>
      <c r="V86" s="41">
        <v>39751.200000000004</v>
      </c>
      <c r="W86" s="41">
        <v>43640</v>
      </c>
      <c r="X86" s="41">
        <v>43640</v>
      </c>
      <c r="Y86" s="41">
        <v>24300</v>
      </c>
      <c r="Z86" s="41">
        <v>193190832.00000003</v>
      </c>
      <c r="AA86" s="41">
        <v>19340</v>
      </c>
      <c r="AB86" s="41">
        <v>153757641.60000002</v>
      </c>
      <c r="AC86" s="41"/>
      <c r="AD86" s="41"/>
      <c r="AE86" s="41">
        <v>0</v>
      </c>
      <c r="AF86" s="41"/>
      <c r="AG86" s="41">
        <v>0</v>
      </c>
      <c r="AH86" s="41"/>
      <c r="AI86" s="41"/>
      <c r="AJ86" s="41">
        <v>0</v>
      </c>
      <c r="AK86" s="41"/>
      <c r="AL86" s="41">
        <v>0</v>
      </c>
      <c r="AM86" s="41">
        <v>193190832.00000003</v>
      </c>
      <c r="AN86" s="41">
        <v>8728</v>
      </c>
      <c r="AO86" s="41">
        <v>8728</v>
      </c>
      <c r="AP86" s="40"/>
      <c r="AQ86" s="36">
        <v>44986</v>
      </c>
      <c r="AR86" s="36"/>
      <c r="AS86" s="36"/>
      <c r="AT86" s="36"/>
      <c r="AU86" s="36"/>
      <c r="AV86" s="38"/>
      <c r="AW86" s="40" t="s">
        <v>87</v>
      </c>
    </row>
    <row r="87" spans="1:49" ht="72" x14ac:dyDescent="0.3">
      <c r="A87" s="39" t="s">
        <v>806</v>
      </c>
      <c r="B87" s="36">
        <v>44704</v>
      </c>
      <c r="C87" s="37">
        <v>1416</v>
      </c>
      <c r="D87" s="39" t="s">
        <v>807</v>
      </c>
      <c r="E87" s="1" t="s">
        <v>808</v>
      </c>
      <c r="F87" s="36">
        <v>44739</v>
      </c>
      <c r="G87" s="39" t="s">
        <v>809</v>
      </c>
      <c r="H87" s="40" t="s">
        <v>810</v>
      </c>
      <c r="I87" s="40" t="s">
        <v>811</v>
      </c>
      <c r="J87" s="62">
        <v>2853730935</v>
      </c>
      <c r="K87" s="41">
        <v>2853730935</v>
      </c>
      <c r="L87" s="30">
        <v>2853730935</v>
      </c>
      <c r="M87" s="30">
        <v>2853730935</v>
      </c>
      <c r="N87" s="40" t="s">
        <v>812</v>
      </c>
      <c r="O87" s="40" t="s">
        <v>813</v>
      </c>
      <c r="P87" s="40" t="s">
        <v>47</v>
      </c>
      <c r="Q87" s="44">
        <v>100</v>
      </c>
      <c r="R87" s="37">
        <v>0</v>
      </c>
      <c r="S87" s="37" t="s">
        <v>219</v>
      </c>
      <c r="T87" s="48">
        <v>30</v>
      </c>
      <c r="U87" s="30">
        <v>9102.81</v>
      </c>
      <c r="V87" s="41">
        <v>273084.3</v>
      </c>
      <c r="W87" s="41">
        <v>313500</v>
      </c>
      <c r="X87" s="41">
        <v>313500</v>
      </c>
      <c r="Y87" s="41">
        <v>125490</v>
      </c>
      <c r="Z87" s="41">
        <v>1142311626.8999999</v>
      </c>
      <c r="AA87" s="41">
        <v>188010</v>
      </c>
      <c r="AB87" s="41">
        <v>1711419308.0999999</v>
      </c>
      <c r="AC87" s="41"/>
      <c r="AD87" s="41"/>
      <c r="AE87" s="41"/>
      <c r="AF87" s="41"/>
      <c r="AG87" s="41"/>
      <c r="AH87" s="41"/>
      <c r="AI87" s="41"/>
      <c r="AJ87" s="41"/>
      <c r="AK87" s="41"/>
      <c r="AL87" s="41"/>
      <c r="AM87" s="41">
        <v>1142311626.8999999</v>
      </c>
      <c r="AN87" s="41">
        <v>10450</v>
      </c>
      <c r="AO87" s="41">
        <v>10450</v>
      </c>
      <c r="AP87" s="40"/>
      <c r="AQ87" s="36">
        <v>44986</v>
      </c>
      <c r="AR87" s="36"/>
      <c r="AS87" s="36"/>
      <c r="AT87" s="36">
        <v>45000</v>
      </c>
      <c r="AU87" s="36"/>
      <c r="AV87" s="38"/>
      <c r="AW87" s="40" t="s">
        <v>87</v>
      </c>
    </row>
    <row r="88" spans="1:49" ht="93.6" x14ac:dyDescent="0.3">
      <c r="A88" s="39" t="s">
        <v>814</v>
      </c>
      <c r="B88" s="36">
        <v>44704</v>
      </c>
      <c r="C88" s="37">
        <v>1416</v>
      </c>
      <c r="D88" s="39" t="s">
        <v>815</v>
      </c>
      <c r="E88" s="1" t="s">
        <v>816</v>
      </c>
      <c r="F88" s="36">
        <v>44729</v>
      </c>
      <c r="G88" s="37" t="s">
        <v>817</v>
      </c>
      <c r="H88" s="40" t="s">
        <v>186</v>
      </c>
      <c r="I88" s="40" t="s">
        <v>818</v>
      </c>
      <c r="J88" s="41">
        <v>94399395</v>
      </c>
      <c r="K88" s="41">
        <v>94399395</v>
      </c>
      <c r="L88" s="30">
        <v>94399395</v>
      </c>
      <c r="M88" s="30">
        <v>94399395</v>
      </c>
      <c r="N88" s="40" t="s">
        <v>819</v>
      </c>
      <c r="O88" s="40" t="s">
        <v>820</v>
      </c>
      <c r="P88" s="40" t="s">
        <v>47</v>
      </c>
      <c r="Q88" s="44">
        <v>100</v>
      </c>
      <c r="R88" s="37">
        <v>0</v>
      </c>
      <c r="S88" s="37" t="s">
        <v>584</v>
      </c>
      <c r="T88" s="48">
        <v>15</v>
      </c>
      <c r="U88" s="30">
        <v>136.9</v>
      </c>
      <c r="V88" s="41">
        <v>2053.5</v>
      </c>
      <c r="W88" s="41">
        <v>689550</v>
      </c>
      <c r="X88" s="41">
        <v>689550</v>
      </c>
      <c r="Y88" s="41">
        <v>673448</v>
      </c>
      <c r="Z88" s="41">
        <v>92195031.200000003</v>
      </c>
      <c r="AA88" s="41">
        <v>16102</v>
      </c>
      <c r="AB88" s="41">
        <v>2204363.8000000003</v>
      </c>
      <c r="AC88" s="41"/>
      <c r="AD88" s="41"/>
      <c r="AE88" s="41"/>
      <c r="AF88" s="41"/>
      <c r="AG88" s="41"/>
      <c r="AH88" s="41"/>
      <c r="AI88" s="41"/>
      <c r="AJ88" s="41"/>
      <c r="AK88" s="41"/>
      <c r="AL88" s="41"/>
      <c r="AM88" s="41">
        <v>92195031.200000003</v>
      </c>
      <c r="AN88" s="41">
        <v>45970</v>
      </c>
      <c r="AO88" s="41">
        <v>45970</v>
      </c>
      <c r="AP88" s="40"/>
      <c r="AQ88" s="36">
        <v>44986</v>
      </c>
      <c r="AR88" s="36"/>
      <c r="AS88" s="36"/>
      <c r="AT88" s="36">
        <v>45000</v>
      </c>
      <c r="AU88" s="36"/>
      <c r="AV88" s="38"/>
      <c r="AW88" s="40" t="s">
        <v>87</v>
      </c>
    </row>
    <row r="89" spans="1:49" ht="134.25" customHeight="1" x14ac:dyDescent="0.3">
      <c r="A89" s="39" t="s">
        <v>821</v>
      </c>
      <c r="B89" s="36">
        <v>44705</v>
      </c>
      <c r="C89" s="37">
        <v>1416</v>
      </c>
      <c r="D89" s="39" t="s">
        <v>822</v>
      </c>
      <c r="E89" s="1" t="s">
        <v>728</v>
      </c>
      <c r="F89" s="36">
        <v>44727</v>
      </c>
      <c r="G89" s="39" t="s">
        <v>823</v>
      </c>
      <c r="H89" s="40" t="s">
        <v>186</v>
      </c>
      <c r="I89" s="40" t="s">
        <v>824</v>
      </c>
      <c r="J89" s="41">
        <v>11908450</v>
      </c>
      <c r="K89" s="41">
        <v>11908450</v>
      </c>
      <c r="L89" s="30">
        <v>11908450</v>
      </c>
      <c r="M89" s="30">
        <v>11908450</v>
      </c>
      <c r="N89" s="40" t="s">
        <v>671</v>
      </c>
      <c r="O89" s="40" t="s">
        <v>825</v>
      </c>
      <c r="P89" s="40" t="s">
        <v>47</v>
      </c>
      <c r="Q89" s="44">
        <v>100</v>
      </c>
      <c r="R89" s="37">
        <v>0</v>
      </c>
      <c r="S89" s="37" t="s">
        <v>229</v>
      </c>
      <c r="T89" s="48">
        <v>500</v>
      </c>
      <c r="U89" s="30">
        <v>7.85</v>
      </c>
      <c r="V89" s="41">
        <v>3925</v>
      </c>
      <c r="W89" s="41">
        <v>1517000</v>
      </c>
      <c r="X89" s="41">
        <v>1517000</v>
      </c>
      <c r="Y89" s="41">
        <v>165000</v>
      </c>
      <c r="Z89" s="41">
        <v>1295250</v>
      </c>
      <c r="AA89" s="41">
        <v>1352000</v>
      </c>
      <c r="AB89" s="41">
        <v>10613200</v>
      </c>
      <c r="AC89" s="41">
        <v>0</v>
      </c>
      <c r="AD89" s="41">
        <v>0</v>
      </c>
      <c r="AE89" s="41">
        <v>0</v>
      </c>
      <c r="AF89" s="41">
        <v>0</v>
      </c>
      <c r="AG89" s="41">
        <v>0</v>
      </c>
      <c r="AH89" s="41">
        <v>0</v>
      </c>
      <c r="AI89" s="41">
        <v>0</v>
      </c>
      <c r="AJ89" s="41">
        <v>0</v>
      </c>
      <c r="AK89" s="41">
        <v>0</v>
      </c>
      <c r="AL89" s="41">
        <v>0</v>
      </c>
      <c r="AM89" s="41">
        <v>1295250</v>
      </c>
      <c r="AN89" s="41">
        <v>3034</v>
      </c>
      <c r="AO89" s="41">
        <v>3034</v>
      </c>
      <c r="AP89" s="40"/>
      <c r="AQ89" s="36">
        <v>44986</v>
      </c>
      <c r="AR89" s="36"/>
      <c r="AS89" s="36"/>
      <c r="AT89" s="36">
        <v>45000</v>
      </c>
      <c r="AU89" s="36"/>
      <c r="AV89" s="38"/>
      <c r="AW89" s="40" t="s">
        <v>87</v>
      </c>
    </row>
    <row r="90" spans="1:49" ht="150" customHeight="1" x14ac:dyDescent="0.3">
      <c r="A90" s="39" t="s">
        <v>826</v>
      </c>
      <c r="B90" s="36">
        <v>44705</v>
      </c>
      <c r="C90" s="37">
        <v>1416</v>
      </c>
      <c r="D90" s="39" t="s">
        <v>827</v>
      </c>
      <c r="E90" s="1" t="s">
        <v>828</v>
      </c>
      <c r="F90" s="36">
        <v>44726</v>
      </c>
      <c r="G90" s="39" t="s">
        <v>829</v>
      </c>
      <c r="H90" s="40" t="s">
        <v>224</v>
      </c>
      <c r="I90" s="40" t="s">
        <v>830</v>
      </c>
      <c r="J90" s="41">
        <v>130502064</v>
      </c>
      <c r="K90" s="41">
        <v>130502064</v>
      </c>
      <c r="L90" s="30">
        <v>130502064</v>
      </c>
      <c r="M90" s="30">
        <v>130502064</v>
      </c>
      <c r="N90" s="40" t="s">
        <v>831</v>
      </c>
      <c r="O90" s="40" t="s">
        <v>832</v>
      </c>
      <c r="P90" s="40" t="s">
        <v>263</v>
      </c>
      <c r="Q90" s="44">
        <v>0</v>
      </c>
      <c r="R90" s="37">
        <v>100</v>
      </c>
      <c r="S90" s="37" t="s">
        <v>229</v>
      </c>
      <c r="T90" s="48">
        <v>400</v>
      </c>
      <c r="U90" s="30">
        <v>29.48</v>
      </c>
      <c r="V90" s="41">
        <v>11792</v>
      </c>
      <c r="W90" s="41">
        <v>4426800</v>
      </c>
      <c r="X90" s="41">
        <v>4426800</v>
      </c>
      <c r="Y90" s="41"/>
      <c r="Z90" s="41"/>
      <c r="AA90" s="41"/>
      <c r="AB90" s="41"/>
      <c r="AC90" s="41"/>
      <c r="AD90" s="41"/>
      <c r="AE90" s="41"/>
      <c r="AF90" s="41"/>
      <c r="AG90" s="41"/>
      <c r="AH90" s="41"/>
      <c r="AI90" s="41"/>
      <c r="AJ90" s="41"/>
      <c r="AK90" s="41"/>
      <c r="AL90" s="41"/>
      <c r="AM90" s="41">
        <v>0</v>
      </c>
      <c r="AN90" s="41">
        <v>11067</v>
      </c>
      <c r="AO90" s="41">
        <v>11067</v>
      </c>
      <c r="AP90" s="40"/>
      <c r="AQ90" s="36">
        <v>44986</v>
      </c>
      <c r="AR90" s="36"/>
      <c r="AS90" s="36"/>
      <c r="AT90" s="36">
        <v>45000</v>
      </c>
      <c r="AU90" s="36"/>
      <c r="AV90" s="38"/>
      <c r="AW90" s="40" t="s">
        <v>87</v>
      </c>
    </row>
    <row r="91" spans="1:49" ht="125.25" customHeight="1" x14ac:dyDescent="0.3">
      <c r="A91" s="39" t="s">
        <v>833</v>
      </c>
      <c r="B91" s="36">
        <v>44705</v>
      </c>
      <c r="C91" s="37">
        <v>1416</v>
      </c>
      <c r="D91" s="39" t="s">
        <v>834</v>
      </c>
      <c r="E91" s="1" t="s">
        <v>835</v>
      </c>
      <c r="F91" s="36">
        <v>44727</v>
      </c>
      <c r="G91" s="39" t="s">
        <v>836</v>
      </c>
      <c r="H91" s="40" t="s">
        <v>224</v>
      </c>
      <c r="I91" s="40" t="s">
        <v>837</v>
      </c>
      <c r="J91" s="57">
        <v>266280000</v>
      </c>
      <c r="K91" s="41">
        <v>266280000</v>
      </c>
      <c r="L91" s="30">
        <v>266280000</v>
      </c>
      <c r="M91" s="30">
        <v>266280000</v>
      </c>
      <c r="N91" s="40" t="s">
        <v>780</v>
      </c>
      <c r="O91" s="40" t="s">
        <v>838</v>
      </c>
      <c r="P91" s="40" t="s">
        <v>218</v>
      </c>
      <c r="Q91" s="44">
        <v>0</v>
      </c>
      <c r="R91" s="37">
        <v>100</v>
      </c>
      <c r="S91" s="37" t="s">
        <v>229</v>
      </c>
      <c r="T91" s="48">
        <v>1200</v>
      </c>
      <c r="U91" s="30">
        <v>12.68</v>
      </c>
      <c r="V91" s="41">
        <v>15216</v>
      </c>
      <c r="W91" s="41">
        <v>21000000</v>
      </c>
      <c r="X91" s="41">
        <v>21000000</v>
      </c>
      <c r="Y91" s="41">
        <v>7490400</v>
      </c>
      <c r="Z91" s="41">
        <v>94978272</v>
      </c>
      <c r="AA91" s="41">
        <v>13509600</v>
      </c>
      <c r="AB91" s="41">
        <v>171301728</v>
      </c>
      <c r="AC91" s="41"/>
      <c r="AD91" s="41"/>
      <c r="AE91" s="41"/>
      <c r="AF91" s="41"/>
      <c r="AG91" s="41"/>
      <c r="AH91" s="41"/>
      <c r="AI91" s="41"/>
      <c r="AJ91" s="41"/>
      <c r="AK91" s="41"/>
      <c r="AL91" s="41"/>
      <c r="AM91" s="41">
        <v>94978272</v>
      </c>
      <c r="AN91" s="41">
        <v>17500</v>
      </c>
      <c r="AO91" s="41">
        <v>17500</v>
      </c>
      <c r="AP91" s="40"/>
      <c r="AQ91" s="36">
        <v>44986</v>
      </c>
      <c r="AR91" s="36"/>
      <c r="AS91" s="36"/>
      <c r="AT91" s="36">
        <v>44986</v>
      </c>
      <c r="AU91" s="36"/>
      <c r="AV91" s="38"/>
      <c r="AW91" s="40" t="s">
        <v>87</v>
      </c>
    </row>
    <row r="92" spans="1:49" ht="197.25" customHeight="1" x14ac:dyDescent="0.3">
      <c r="A92" s="39" t="s">
        <v>839</v>
      </c>
      <c r="B92" s="36">
        <v>44705</v>
      </c>
      <c r="C92" s="37">
        <v>1416</v>
      </c>
      <c r="D92" s="39" t="s">
        <v>840</v>
      </c>
      <c r="E92" s="1" t="s">
        <v>841</v>
      </c>
      <c r="F92" s="36">
        <v>44733</v>
      </c>
      <c r="G92" s="39" t="s">
        <v>842</v>
      </c>
      <c r="H92" s="40" t="s">
        <v>224</v>
      </c>
      <c r="I92" s="40" t="s">
        <v>843</v>
      </c>
      <c r="J92" s="41">
        <v>514563752</v>
      </c>
      <c r="K92" s="41">
        <v>514563752</v>
      </c>
      <c r="L92" s="30">
        <v>514563752</v>
      </c>
      <c r="M92" s="30">
        <v>514563752</v>
      </c>
      <c r="N92" s="40" t="s">
        <v>831</v>
      </c>
      <c r="O92" s="40" t="s">
        <v>844</v>
      </c>
      <c r="P92" s="40" t="s">
        <v>263</v>
      </c>
      <c r="Q92" s="44">
        <v>0</v>
      </c>
      <c r="R92" s="37">
        <v>100</v>
      </c>
      <c r="S92" s="37" t="s">
        <v>229</v>
      </c>
      <c r="T92" s="48">
        <v>800</v>
      </c>
      <c r="U92" s="30">
        <v>25.33</v>
      </c>
      <c r="V92" s="41">
        <v>20264</v>
      </c>
      <c r="W92" s="41">
        <v>20314400</v>
      </c>
      <c r="X92" s="41">
        <v>20314400</v>
      </c>
      <c r="Y92" s="41">
        <v>8611200</v>
      </c>
      <c r="Z92" s="41">
        <v>218121696</v>
      </c>
      <c r="AA92" s="41">
        <v>11703200</v>
      </c>
      <c r="AB92" s="41">
        <v>296442056</v>
      </c>
      <c r="AC92" s="41"/>
      <c r="AD92" s="41"/>
      <c r="AE92" s="41"/>
      <c r="AF92" s="41"/>
      <c r="AG92" s="41"/>
      <c r="AH92" s="41"/>
      <c r="AI92" s="41"/>
      <c r="AJ92" s="41"/>
      <c r="AK92" s="41"/>
      <c r="AL92" s="41"/>
      <c r="AM92" s="41">
        <v>218121696</v>
      </c>
      <c r="AN92" s="41">
        <v>25393</v>
      </c>
      <c r="AO92" s="41">
        <v>25393</v>
      </c>
      <c r="AP92" s="40"/>
      <c r="AQ92" s="36">
        <v>44986</v>
      </c>
      <c r="AR92" s="36"/>
      <c r="AS92" s="36"/>
      <c r="AT92" s="36">
        <v>45000</v>
      </c>
      <c r="AU92" s="36"/>
      <c r="AV92" s="38"/>
      <c r="AW92" s="40" t="s">
        <v>87</v>
      </c>
    </row>
    <row r="93" spans="1:49" ht="78" x14ac:dyDescent="0.3">
      <c r="A93" s="39" t="s">
        <v>845</v>
      </c>
      <c r="B93" s="36">
        <v>44705</v>
      </c>
      <c r="C93" s="37">
        <v>1416</v>
      </c>
      <c r="D93" s="39" t="s">
        <v>459</v>
      </c>
      <c r="E93" s="1" t="s">
        <v>459</v>
      </c>
      <c r="F93" s="36" t="s">
        <v>459</v>
      </c>
      <c r="G93" s="37" t="s">
        <v>459</v>
      </c>
      <c r="H93" s="40" t="s">
        <v>459</v>
      </c>
      <c r="I93" s="40" t="s">
        <v>846</v>
      </c>
      <c r="J93" s="41">
        <v>123166056</v>
      </c>
      <c r="K93" s="41">
        <v>0</v>
      </c>
      <c r="L93" s="30">
        <v>0</v>
      </c>
      <c r="M93" s="30">
        <v>0</v>
      </c>
      <c r="N93" s="40"/>
      <c r="O93" s="40"/>
      <c r="P93" s="40"/>
      <c r="Q93" s="44"/>
      <c r="R93" s="37"/>
      <c r="S93" s="37"/>
      <c r="T93" s="48"/>
      <c r="U93" s="30" t="e">
        <v>#DIV/0!</v>
      </c>
      <c r="V93" s="41" t="e">
        <v>#DIV/0!</v>
      </c>
      <c r="W93" s="41">
        <v>0</v>
      </c>
      <c r="X93" s="41"/>
      <c r="Y93" s="41"/>
      <c r="Z93" s="41"/>
      <c r="AA93" s="41"/>
      <c r="AB93" s="41"/>
      <c r="AC93" s="41"/>
      <c r="AD93" s="41"/>
      <c r="AE93" s="41"/>
      <c r="AF93" s="41"/>
      <c r="AG93" s="41"/>
      <c r="AH93" s="41"/>
      <c r="AI93" s="41"/>
      <c r="AJ93" s="41"/>
      <c r="AK93" s="41"/>
      <c r="AL93" s="41"/>
      <c r="AM93" s="41"/>
      <c r="AN93" s="41" t="e">
        <v>#DIV/0!</v>
      </c>
      <c r="AO93" s="41" t="e">
        <v>#DIV/0!</v>
      </c>
      <c r="AP93" s="40"/>
      <c r="AQ93" s="36"/>
      <c r="AR93" s="36"/>
      <c r="AS93" s="36"/>
      <c r="AT93" s="36"/>
      <c r="AU93" s="36"/>
      <c r="AV93" s="38"/>
      <c r="AW93" s="40"/>
    </row>
    <row r="94" spans="1:49" ht="179.25" customHeight="1" x14ac:dyDescent="0.3">
      <c r="A94" s="73" t="s">
        <v>847</v>
      </c>
      <c r="B94" s="74">
        <v>44708</v>
      </c>
      <c r="C94" s="75">
        <v>1416</v>
      </c>
      <c r="D94" s="73" t="s">
        <v>848</v>
      </c>
      <c r="E94" s="1" t="s">
        <v>849</v>
      </c>
      <c r="F94" s="74">
        <v>44729</v>
      </c>
      <c r="G94" s="73" t="s">
        <v>850</v>
      </c>
      <c r="H94" s="33" t="s">
        <v>571</v>
      </c>
      <c r="I94" s="33" t="s">
        <v>851</v>
      </c>
      <c r="J94" s="76">
        <v>35425048</v>
      </c>
      <c r="K94" s="41">
        <v>35425048</v>
      </c>
      <c r="L94" s="30">
        <v>35425048</v>
      </c>
      <c r="M94" s="30">
        <v>35425048</v>
      </c>
      <c r="N94" s="33" t="s">
        <v>852</v>
      </c>
      <c r="O94" s="33" t="s">
        <v>853</v>
      </c>
      <c r="P94" s="33" t="s">
        <v>47</v>
      </c>
      <c r="Q94" s="77">
        <v>100</v>
      </c>
      <c r="R94" s="75">
        <v>0</v>
      </c>
      <c r="S94" s="75" t="s">
        <v>200</v>
      </c>
      <c r="T94" s="78">
        <v>20</v>
      </c>
      <c r="U94" s="30">
        <v>594.38</v>
      </c>
      <c r="V94" s="41">
        <v>11887.6</v>
      </c>
      <c r="W94" s="41">
        <v>59600</v>
      </c>
      <c r="X94" s="76">
        <v>59600</v>
      </c>
      <c r="Y94" s="76"/>
      <c r="Z94" s="76"/>
      <c r="AA94" s="76"/>
      <c r="AB94" s="76"/>
      <c r="AC94" s="76"/>
      <c r="AD94" s="76"/>
      <c r="AE94" s="76"/>
      <c r="AF94" s="76"/>
      <c r="AG94" s="76"/>
      <c r="AH94" s="76"/>
      <c r="AI94" s="76"/>
      <c r="AJ94" s="76"/>
      <c r="AK94" s="76"/>
      <c r="AL94" s="76"/>
      <c r="AM94" s="41">
        <v>0</v>
      </c>
      <c r="AN94" s="41">
        <v>2980</v>
      </c>
      <c r="AO94" s="41">
        <v>2980</v>
      </c>
      <c r="AP94" s="33"/>
      <c r="AQ94" s="74">
        <v>44986</v>
      </c>
      <c r="AR94" s="74"/>
      <c r="AS94" s="74"/>
      <c r="AT94" s="74">
        <v>45000</v>
      </c>
      <c r="AU94" s="74"/>
      <c r="AV94" s="32"/>
      <c r="AW94" s="40" t="s">
        <v>87</v>
      </c>
    </row>
    <row r="95" spans="1:49" ht="141.75" customHeight="1" x14ac:dyDescent="0.3">
      <c r="A95" s="39" t="s">
        <v>854</v>
      </c>
      <c r="B95" s="36">
        <v>44708</v>
      </c>
      <c r="C95" s="37">
        <v>1416</v>
      </c>
      <c r="D95" s="39" t="s">
        <v>855</v>
      </c>
      <c r="E95" s="1" t="s">
        <v>856</v>
      </c>
      <c r="F95" s="36">
        <v>44739</v>
      </c>
      <c r="G95" s="37" t="s">
        <v>857</v>
      </c>
      <c r="H95" s="40" t="s">
        <v>858</v>
      </c>
      <c r="I95" s="40" t="s">
        <v>460</v>
      </c>
      <c r="J95" s="41">
        <v>761721856</v>
      </c>
      <c r="K95" s="41">
        <v>380860928</v>
      </c>
      <c r="L95" s="30">
        <v>380860928</v>
      </c>
      <c r="M95" s="30">
        <v>761721856</v>
      </c>
      <c r="N95" s="40" t="s">
        <v>389</v>
      </c>
      <c r="O95" s="40" t="s">
        <v>859</v>
      </c>
      <c r="P95" s="40" t="s">
        <v>47</v>
      </c>
      <c r="Q95" s="37">
        <v>100</v>
      </c>
      <c r="R95" s="37">
        <v>0</v>
      </c>
      <c r="S95" s="37" t="s">
        <v>219</v>
      </c>
      <c r="T95" s="48">
        <v>28</v>
      </c>
      <c r="U95" s="30">
        <v>258.39999999999998</v>
      </c>
      <c r="V95" s="41">
        <v>7235.1999999999989</v>
      </c>
      <c r="W95" s="41">
        <v>2947840</v>
      </c>
      <c r="X95" s="41">
        <v>1473920</v>
      </c>
      <c r="Y95" s="41">
        <v>1232</v>
      </c>
      <c r="Z95" s="41">
        <v>318348.79999999999</v>
      </c>
      <c r="AA95" s="41">
        <v>1472688</v>
      </c>
      <c r="AB95" s="41">
        <v>380542579.19999999</v>
      </c>
      <c r="AC95" s="41">
        <v>1473920</v>
      </c>
      <c r="AD95" s="41"/>
      <c r="AE95" s="41"/>
      <c r="AF95" s="41"/>
      <c r="AG95" s="41"/>
      <c r="AH95" s="41"/>
      <c r="AI95" s="41"/>
      <c r="AJ95" s="41"/>
      <c r="AK95" s="41"/>
      <c r="AL95" s="41"/>
      <c r="AM95" s="41">
        <v>318348.79999999999</v>
      </c>
      <c r="AN95" s="41">
        <v>105280</v>
      </c>
      <c r="AO95" s="41">
        <v>105280</v>
      </c>
      <c r="AP95" s="40"/>
      <c r="AQ95" s="36">
        <v>44958</v>
      </c>
      <c r="AR95" s="36">
        <v>45323</v>
      </c>
      <c r="AS95" s="36"/>
      <c r="AT95" s="36">
        <v>44972</v>
      </c>
      <c r="AU95" s="36">
        <v>45337</v>
      </c>
      <c r="AV95" s="38"/>
      <c r="AW95" s="40" t="s">
        <v>302</v>
      </c>
    </row>
    <row r="96" spans="1:49" ht="72" x14ac:dyDescent="0.3">
      <c r="A96" s="39" t="s">
        <v>860</v>
      </c>
      <c r="B96" s="36">
        <v>44706</v>
      </c>
      <c r="C96" s="37">
        <v>1416</v>
      </c>
      <c r="D96" s="39" t="s">
        <v>861</v>
      </c>
      <c r="E96" s="1" t="s">
        <v>862</v>
      </c>
      <c r="F96" s="36">
        <v>44729</v>
      </c>
      <c r="G96" s="37" t="s">
        <v>863</v>
      </c>
      <c r="H96" s="40" t="s">
        <v>186</v>
      </c>
      <c r="I96" s="40" t="s">
        <v>864</v>
      </c>
      <c r="J96" s="41">
        <v>274032460.80000001</v>
      </c>
      <c r="K96" s="41">
        <v>137016230.40000001</v>
      </c>
      <c r="L96" s="30">
        <v>137016230.40000001</v>
      </c>
      <c r="M96" s="30">
        <v>274032460.80000001</v>
      </c>
      <c r="N96" s="40" t="s">
        <v>865</v>
      </c>
      <c r="O96" s="40" t="s">
        <v>866</v>
      </c>
      <c r="P96" s="40" t="s">
        <v>357</v>
      </c>
      <c r="Q96" s="44">
        <v>0</v>
      </c>
      <c r="R96" s="37">
        <v>100</v>
      </c>
      <c r="S96" s="37" t="s">
        <v>219</v>
      </c>
      <c r="T96" s="48">
        <v>10</v>
      </c>
      <c r="U96" s="30">
        <v>2013.76</v>
      </c>
      <c r="V96" s="41">
        <v>20137.599999999999</v>
      </c>
      <c r="W96" s="41">
        <v>136080</v>
      </c>
      <c r="X96" s="41">
        <v>68040</v>
      </c>
      <c r="Y96" s="41">
        <v>47280</v>
      </c>
      <c r="Z96" s="41">
        <v>95210572.799999997</v>
      </c>
      <c r="AA96" s="41">
        <v>20760</v>
      </c>
      <c r="AB96" s="41">
        <v>41805657.600000001</v>
      </c>
      <c r="AC96" s="41">
        <v>68040</v>
      </c>
      <c r="AD96" s="41"/>
      <c r="AE96" s="41">
        <v>0</v>
      </c>
      <c r="AF96" s="41"/>
      <c r="AG96" s="41">
        <v>0</v>
      </c>
      <c r="AH96" s="41"/>
      <c r="AI96" s="41"/>
      <c r="AJ96" s="41">
        <v>0</v>
      </c>
      <c r="AK96" s="41"/>
      <c r="AL96" s="41">
        <v>0</v>
      </c>
      <c r="AM96" s="41">
        <v>95210572.799999997</v>
      </c>
      <c r="AN96" s="41">
        <v>13608</v>
      </c>
      <c r="AO96" s="41">
        <v>13608</v>
      </c>
      <c r="AP96" s="40"/>
      <c r="AQ96" s="36">
        <v>45031</v>
      </c>
      <c r="AR96" s="36">
        <v>45397</v>
      </c>
      <c r="AS96" s="36"/>
      <c r="AT96" s="36">
        <v>44681</v>
      </c>
      <c r="AU96" s="36">
        <v>45412</v>
      </c>
      <c r="AV96" s="38"/>
      <c r="AW96" s="40" t="s">
        <v>302</v>
      </c>
    </row>
    <row r="97" spans="1:50" ht="116.4" customHeight="1" x14ac:dyDescent="0.3">
      <c r="A97" s="39" t="s">
        <v>867</v>
      </c>
      <c r="B97" s="36">
        <v>44708</v>
      </c>
      <c r="C97" s="37">
        <v>1416</v>
      </c>
      <c r="D97" s="39" t="s">
        <v>868</v>
      </c>
      <c r="E97" s="1" t="s">
        <v>869</v>
      </c>
      <c r="F97" s="36">
        <v>44732</v>
      </c>
      <c r="G97" s="39" t="s">
        <v>870</v>
      </c>
      <c r="H97" s="40" t="s">
        <v>685</v>
      </c>
      <c r="I97" s="40" t="s">
        <v>871</v>
      </c>
      <c r="J97" s="41">
        <v>207458329</v>
      </c>
      <c r="K97" s="41">
        <v>207458313.91999999</v>
      </c>
      <c r="L97" s="30">
        <v>207458313.91999999</v>
      </c>
      <c r="M97" s="30">
        <v>207458313.91999999</v>
      </c>
      <c r="N97" s="40" t="s">
        <v>872</v>
      </c>
      <c r="O97" s="40" t="s">
        <v>873</v>
      </c>
      <c r="P97" s="40" t="s">
        <v>47</v>
      </c>
      <c r="Q97" s="44">
        <v>100</v>
      </c>
      <c r="R97" s="37">
        <v>0</v>
      </c>
      <c r="S97" s="37" t="s">
        <v>200</v>
      </c>
      <c r="T97" s="48">
        <v>120</v>
      </c>
      <c r="U97" s="30">
        <v>31.459999999999997</v>
      </c>
      <c r="V97" s="41">
        <v>3775.2</v>
      </c>
      <c r="W97" s="41">
        <v>6594352</v>
      </c>
      <c r="X97" s="41">
        <v>6594352</v>
      </c>
      <c r="Y97" s="41">
        <v>136080</v>
      </c>
      <c r="Z97" s="41">
        <v>4281076.8</v>
      </c>
      <c r="AA97" s="41">
        <v>6458272</v>
      </c>
      <c r="AB97" s="41">
        <v>203177237.11999997</v>
      </c>
      <c r="AC97" s="41"/>
      <c r="AD97" s="41"/>
      <c r="AE97" s="41">
        <v>0</v>
      </c>
      <c r="AF97" s="41"/>
      <c r="AG97" s="41">
        <v>0</v>
      </c>
      <c r="AH97" s="41"/>
      <c r="AI97" s="41"/>
      <c r="AJ97" s="41">
        <v>0</v>
      </c>
      <c r="AK97" s="41"/>
      <c r="AL97" s="41">
        <v>0</v>
      </c>
      <c r="AM97" s="41">
        <v>4281076.8</v>
      </c>
      <c r="AN97" s="41">
        <v>54952.933333333334</v>
      </c>
      <c r="AO97" s="41">
        <v>54953</v>
      </c>
      <c r="AP97" s="40"/>
      <c r="AQ97" s="36">
        <v>44986</v>
      </c>
      <c r="AR97" s="36"/>
      <c r="AS97" s="36"/>
      <c r="AT97" s="36">
        <v>44635</v>
      </c>
      <c r="AU97" s="36"/>
      <c r="AV97" s="38"/>
      <c r="AW97" s="40" t="s">
        <v>87</v>
      </c>
    </row>
    <row r="98" spans="1:50" ht="142.19999999999999" customHeight="1" x14ac:dyDescent="0.3">
      <c r="A98" s="39" t="s">
        <v>874</v>
      </c>
      <c r="B98" s="36">
        <v>44715</v>
      </c>
      <c r="C98" s="37">
        <v>1416</v>
      </c>
      <c r="D98" s="39" t="s">
        <v>875</v>
      </c>
      <c r="E98" s="1" t="s">
        <v>876</v>
      </c>
      <c r="F98" s="36">
        <v>44746</v>
      </c>
      <c r="G98" s="37" t="s">
        <v>877</v>
      </c>
      <c r="H98" s="40" t="s">
        <v>878</v>
      </c>
      <c r="I98" s="40" t="s">
        <v>879</v>
      </c>
      <c r="J98" s="41">
        <v>1240064812.8</v>
      </c>
      <c r="K98" s="41">
        <v>620032406.39999998</v>
      </c>
      <c r="L98" s="30">
        <v>620032406.39999998</v>
      </c>
      <c r="M98" s="30">
        <v>1240064812.8</v>
      </c>
      <c r="N98" s="40" t="s">
        <v>880</v>
      </c>
      <c r="O98" s="40" t="s">
        <v>881</v>
      </c>
      <c r="P98" s="40" t="s">
        <v>583</v>
      </c>
      <c r="Q98" s="44">
        <v>0</v>
      </c>
      <c r="R98" s="37">
        <v>100</v>
      </c>
      <c r="S98" s="37" t="s">
        <v>882</v>
      </c>
      <c r="T98" s="48">
        <v>120</v>
      </c>
      <c r="U98" s="30">
        <v>142.66999999999999</v>
      </c>
      <c r="V98" s="41">
        <v>17120.399999999998</v>
      </c>
      <c r="W98" s="41">
        <v>8691840</v>
      </c>
      <c r="X98" s="41">
        <v>4345920</v>
      </c>
      <c r="Y98" s="41">
        <v>26760</v>
      </c>
      <c r="Z98" s="41">
        <v>3817849.1999999997</v>
      </c>
      <c r="AA98" s="41">
        <v>4319160</v>
      </c>
      <c r="AB98" s="41">
        <v>616214557.19999993</v>
      </c>
      <c r="AC98" s="41">
        <v>4345920</v>
      </c>
      <c r="AD98" s="41"/>
      <c r="AE98" s="41"/>
      <c r="AF98" s="41"/>
      <c r="AG98" s="41"/>
      <c r="AH98" s="41"/>
      <c r="AI98" s="41"/>
      <c r="AJ98" s="41"/>
      <c r="AK98" s="41"/>
      <c r="AL98" s="41"/>
      <c r="AM98" s="41">
        <v>3817849.1999999997</v>
      </c>
      <c r="AN98" s="41">
        <v>72432</v>
      </c>
      <c r="AO98" s="41">
        <v>72432</v>
      </c>
      <c r="AP98" s="40"/>
      <c r="AQ98" s="36">
        <v>44986</v>
      </c>
      <c r="AR98" s="36">
        <v>45352</v>
      </c>
      <c r="AS98" s="36"/>
      <c r="AT98" s="36">
        <v>45000</v>
      </c>
      <c r="AU98" s="36">
        <v>45366</v>
      </c>
      <c r="AV98" s="38"/>
      <c r="AW98" s="40" t="s">
        <v>302</v>
      </c>
    </row>
    <row r="99" spans="1:50" ht="141.6" customHeight="1" x14ac:dyDescent="0.3">
      <c r="A99" s="39" t="s">
        <v>883</v>
      </c>
      <c r="B99" s="36">
        <v>44715</v>
      </c>
      <c r="C99" s="37">
        <v>1416</v>
      </c>
      <c r="D99" s="39" t="s">
        <v>884</v>
      </c>
      <c r="E99" s="1" t="s">
        <v>885</v>
      </c>
      <c r="F99" s="36">
        <v>44750</v>
      </c>
      <c r="G99" s="39" t="s">
        <v>886</v>
      </c>
      <c r="H99" s="40" t="s">
        <v>887</v>
      </c>
      <c r="I99" s="40" t="s">
        <v>888</v>
      </c>
      <c r="J99" s="41">
        <v>1340305164.6600001</v>
      </c>
      <c r="K99" s="41">
        <v>1340305164.6600001</v>
      </c>
      <c r="L99" s="30">
        <v>1340305164.6600001</v>
      </c>
      <c r="M99" s="30">
        <v>1340305164.6600001</v>
      </c>
      <c r="N99" s="40" t="s">
        <v>889</v>
      </c>
      <c r="O99" s="40" t="s">
        <v>890</v>
      </c>
      <c r="P99" s="40" t="s">
        <v>891</v>
      </c>
      <c r="Q99" s="44">
        <v>100</v>
      </c>
      <c r="R99" s="37">
        <v>0</v>
      </c>
      <c r="S99" s="48" t="s">
        <v>200</v>
      </c>
      <c r="T99" s="54" t="s">
        <v>892</v>
      </c>
      <c r="U99" s="30">
        <v>1212.97</v>
      </c>
      <c r="V99" s="57" t="s">
        <v>893</v>
      </c>
      <c r="W99" s="41">
        <v>1104978</v>
      </c>
      <c r="X99" s="41">
        <v>717981</v>
      </c>
      <c r="Y99" s="41">
        <v>0</v>
      </c>
      <c r="Z99" s="41">
        <v>0</v>
      </c>
      <c r="AA99" s="41">
        <v>0</v>
      </c>
      <c r="AB99" s="41">
        <v>0</v>
      </c>
      <c r="AC99" s="41">
        <v>386997</v>
      </c>
      <c r="AD99" s="41">
        <v>1770</v>
      </c>
      <c r="AE99" s="41">
        <v>2146956.9</v>
      </c>
      <c r="AF99" s="41">
        <v>385227</v>
      </c>
      <c r="AG99" s="41">
        <v>1338158207.76</v>
      </c>
      <c r="AH99" s="41">
        <v>0</v>
      </c>
      <c r="AI99" s="41">
        <v>0</v>
      </c>
      <c r="AJ99" s="41">
        <v>0</v>
      </c>
      <c r="AK99" s="41">
        <v>0</v>
      </c>
      <c r="AL99" s="41">
        <v>0</v>
      </c>
      <c r="AM99" s="41">
        <v>2146956.9</v>
      </c>
      <c r="AN99" s="57" t="s">
        <v>894</v>
      </c>
      <c r="AO99" s="57" t="s">
        <v>895</v>
      </c>
      <c r="AP99" s="40"/>
      <c r="AQ99" s="36">
        <v>44958</v>
      </c>
      <c r="AR99" s="36">
        <v>45047</v>
      </c>
      <c r="AS99" s="36"/>
      <c r="AT99" s="36">
        <v>44972</v>
      </c>
      <c r="AU99" s="36">
        <v>45061</v>
      </c>
      <c r="AV99" s="38"/>
      <c r="AW99" s="40" t="s">
        <v>87</v>
      </c>
    </row>
    <row r="100" spans="1:50" ht="93.6" x14ac:dyDescent="0.3">
      <c r="A100" s="39" t="s">
        <v>896</v>
      </c>
      <c r="B100" s="36">
        <v>44715</v>
      </c>
      <c r="C100" s="37">
        <v>1416</v>
      </c>
      <c r="D100" s="39" t="s">
        <v>897</v>
      </c>
      <c r="E100" s="1" t="s">
        <v>898</v>
      </c>
      <c r="F100" s="36">
        <v>44746</v>
      </c>
      <c r="G100" s="37" t="s">
        <v>899</v>
      </c>
      <c r="H100" s="40" t="s">
        <v>186</v>
      </c>
      <c r="I100" s="40" t="s">
        <v>900</v>
      </c>
      <c r="J100" s="41">
        <v>1028244621.25</v>
      </c>
      <c r="K100" s="41">
        <v>1028244621.25</v>
      </c>
      <c r="L100" s="30">
        <v>1028244621.25</v>
      </c>
      <c r="M100" s="30">
        <v>1028244621.25</v>
      </c>
      <c r="N100" s="40" t="s">
        <v>901</v>
      </c>
      <c r="O100" s="40" t="s">
        <v>902</v>
      </c>
      <c r="P100" s="40" t="s">
        <v>218</v>
      </c>
      <c r="Q100" s="37">
        <v>0</v>
      </c>
      <c r="R100" s="37">
        <v>100</v>
      </c>
      <c r="S100" s="37" t="s">
        <v>219</v>
      </c>
      <c r="T100" s="48">
        <v>1</v>
      </c>
      <c r="U100" s="30">
        <v>23003.75</v>
      </c>
      <c r="V100" s="41">
        <v>23003.75</v>
      </c>
      <c r="W100" s="41">
        <v>44699</v>
      </c>
      <c r="X100" s="41">
        <v>33532</v>
      </c>
      <c r="Y100" s="41">
        <v>168</v>
      </c>
      <c r="Z100" s="41">
        <v>3864630</v>
      </c>
      <c r="AA100" s="41">
        <v>33364</v>
      </c>
      <c r="AB100" s="41">
        <v>767497115</v>
      </c>
      <c r="AC100" s="41">
        <v>11167</v>
      </c>
      <c r="AD100" s="41">
        <v>0</v>
      </c>
      <c r="AE100" s="41">
        <v>0</v>
      </c>
      <c r="AF100" s="41">
        <v>11167</v>
      </c>
      <c r="AG100" s="41">
        <v>256882876.25</v>
      </c>
      <c r="AH100" s="41"/>
      <c r="AI100" s="41"/>
      <c r="AJ100" s="41"/>
      <c r="AK100" s="41"/>
      <c r="AL100" s="41"/>
      <c r="AM100" s="41">
        <v>3864630</v>
      </c>
      <c r="AN100" s="41">
        <v>44699</v>
      </c>
      <c r="AO100" s="41">
        <v>44699</v>
      </c>
      <c r="AP100" s="40"/>
      <c r="AQ100" s="36">
        <v>45031</v>
      </c>
      <c r="AR100" s="36">
        <v>45108</v>
      </c>
      <c r="AS100" s="36"/>
      <c r="AT100" s="36">
        <v>45047</v>
      </c>
      <c r="AU100" s="36">
        <v>45122</v>
      </c>
      <c r="AV100" s="38"/>
      <c r="AW100" s="40" t="s">
        <v>49</v>
      </c>
    </row>
    <row r="101" spans="1:50" ht="160.19999999999999" customHeight="1" x14ac:dyDescent="0.3">
      <c r="A101" s="39" t="s">
        <v>925</v>
      </c>
      <c r="B101" s="36">
        <v>44719</v>
      </c>
      <c r="C101" s="37">
        <v>1416</v>
      </c>
      <c r="D101" s="39" t="s">
        <v>926</v>
      </c>
      <c r="E101" s="1" t="s">
        <v>927</v>
      </c>
      <c r="F101" s="36">
        <v>44746</v>
      </c>
      <c r="G101" s="39" t="s">
        <v>928</v>
      </c>
      <c r="H101" s="40" t="s">
        <v>224</v>
      </c>
      <c r="I101" s="40" t="s">
        <v>929</v>
      </c>
      <c r="J101" s="41">
        <v>117119160</v>
      </c>
      <c r="K101" s="41">
        <v>58559580</v>
      </c>
      <c r="L101" s="30">
        <v>58559580</v>
      </c>
      <c r="M101" s="30">
        <v>117119160</v>
      </c>
      <c r="N101" s="40" t="s">
        <v>369</v>
      </c>
      <c r="O101" s="40" t="s">
        <v>930</v>
      </c>
      <c r="P101" s="40" t="s">
        <v>218</v>
      </c>
      <c r="Q101" s="44">
        <v>0</v>
      </c>
      <c r="R101" s="37">
        <v>100</v>
      </c>
      <c r="S101" s="37" t="s">
        <v>229</v>
      </c>
      <c r="T101" s="48">
        <v>3000</v>
      </c>
      <c r="U101" s="30">
        <v>12.37</v>
      </c>
      <c r="V101" s="41">
        <v>37110</v>
      </c>
      <c r="W101" s="41">
        <v>9468000</v>
      </c>
      <c r="X101" s="41">
        <v>4734000</v>
      </c>
      <c r="Y101" s="41"/>
      <c r="Z101" s="41"/>
      <c r="AA101" s="41"/>
      <c r="AB101" s="41"/>
      <c r="AC101" s="41">
        <v>4734000</v>
      </c>
      <c r="AD101" s="41"/>
      <c r="AE101" s="41"/>
      <c r="AF101" s="41"/>
      <c r="AG101" s="41"/>
      <c r="AH101" s="41"/>
      <c r="AI101" s="41"/>
      <c r="AJ101" s="41"/>
      <c r="AK101" s="41"/>
      <c r="AL101" s="41"/>
      <c r="AM101" s="41">
        <v>0</v>
      </c>
      <c r="AN101" s="41">
        <v>3156</v>
      </c>
      <c r="AO101" s="41">
        <v>3156</v>
      </c>
      <c r="AP101" s="40"/>
      <c r="AQ101" s="36">
        <v>44986</v>
      </c>
      <c r="AR101" s="36">
        <v>45352</v>
      </c>
      <c r="AS101" s="36"/>
      <c r="AT101" s="36">
        <v>45000</v>
      </c>
      <c r="AU101" s="36">
        <v>45366</v>
      </c>
      <c r="AV101" s="38"/>
      <c r="AW101" s="40" t="s">
        <v>302</v>
      </c>
    </row>
    <row r="102" spans="1:50" ht="78" x14ac:dyDescent="0.3">
      <c r="A102" s="39" t="s">
        <v>931</v>
      </c>
      <c r="B102" s="36">
        <v>44719</v>
      </c>
      <c r="C102" s="37">
        <v>1416</v>
      </c>
      <c r="D102" s="39" t="s">
        <v>932</v>
      </c>
      <c r="E102" s="1" t="s">
        <v>933</v>
      </c>
      <c r="F102" s="36">
        <v>44750</v>
      </c>
      <c r="G102" s="39" t="s">
        <v>934</v>
      </c>
      <c r="H102" s="40" t="s">
        <v>224</v>
      </c>
      <c r="I102" s="40" t="s">
        <v>935</v>
      </c>
      <c r="J102" s="41">
        <v>1322673000</v>
      </c>
      <c r="K102" s="41">
        <v>661336500</v>
      </c>
      <c r="L102" s="30">
        <v>661336500</v>
      </c>
      <c r="M102" s="41">
        <v>1322673000</v>
      </c>
      <c r="N102" s="40" t="s">
        <v>936</v>
      </c>
      <c r="O102" s="40" t="s">
        <v>937</v>
      </c>
      <c r="P102" s="40" t="s">
        <v>348</v>
      </c>
      <c r="Q102" s="44">
        <v>0</v>
      </c>
      <c r="R102" s="37">
        <v>100</v>
      </c>
      <c r="S102" s="40" t="s">
        <v>938</v>
      </c>
      <c r="T102" s="48">
        <v>1</v>
      </c>
      <c r="U102" s="30" t="s">
        <v>939</v>
      </c>
      <c r="V102" s="30" t="s">
        <v>939</v>
      </c>
      <c r="W102" s="41">
        <v>357600</v>
      </c>
      <c r="X102" s="41">
        <v>178800</v>
      </c>
      <c r="Y102" s="41">
        <v>131400</v>
      </c>
      <c r="Z102" s="41">
        <v>486015750</v>
      </c>
      <c r="AA102" s="41">
        <v>47400</v>
      </c>
      <c r="AB102" s="41">
        <v>175320750</v>
      </c>
      <c r="AC102" s="41">
        <v>178800</v>
      </c>
      <c r="AD102" s="41"/>
      <c r="AE102" s="41">
        <v>0</v>
      </c>
      <c r="AF102" s="41"/>
      <c r="AG102" s="41">
        <v>0</v>
      </c>
      <c r="AH102" s="41"/>
      <c r="AI102" s="41"/>
      <c r="AJ102" s="41">
        <v>0</v>
      </c>
      <c r="AK102" s="41"/>
      <c r="AL102" s="41">
        <v>0</v>
      </c>
      <c r="AM102" s="41">
        <v>486015750</v>
      </c>
      <c r="AN102" s="41">
        <v>357600</v>
      </c>
      <c r="AO102" s="41">
        <v>357600</v>
      </c>
      <c r="AP102" s="40"/>
      <c r="AQ102" s="36">
        <v>44986</v>
      </c>
      <c r="AR102" s="36">
        <v>45352</v>
      </c>
      <c r="AS102" s="36"/>
      <c r="AT102" s="36">
        <v>45000</v>
      </c>
      <c r="AU102" s="36">
        <v>45366</v>
      </c>
      <c r="AV102" s="38"/>
      <c r="AW102" s="40" t="s">
        <v>302</v>
      </c>
      <c r="AX102" s="40"/>
    </row>
    <row r="103" spans="1:50" ht="109.2" x14ac:dyDescent="0.3">
      <c r="A103" s="39" t="s">
        <v>940</v>
      </c>
      <c r="B103" s="36">
        <v>44719</v>
      </c>
      <c r="C103" s="37">
        <v>1416</v>
      </c>
      <c r="D103" s="39" t="s">
        <v>941</v>
      </c>
      <c r="E103" s="1" t="s">
        <v>942</v>
      </c>
      <c r="F103" s="36">
        <v>44746</v>
      </c>
      <c r="G103" s="37" t="s">
        <v>943</v>
      </c>
      <c r="H103" s="40" t="s">
        <v>944</v>
      </c>
      <c r="I103" s="40" t="s">
        <v>945</v>
      </c>
      <c r="J103" s="41">
        <v>223738702.88</v>
      </c>
      <c r="K103" s="41">
        <v>223738702.88</v>
      </c>
      <c r="L103" s="30">
        <v>223738702.88</v>
      </c>
      <c r="M103" s="30">
        <v>223738702.88</v>
      </c>
      <c r="N103" s="40" t="s">
        <v>355</v>
      </c>
      <c r="O103" s="40" t="s">
        <v>946</v>
      </c>
      <c r="P103" s="40" t="s">
        <v>357</v>
      </c>
      <c r="Q103" s="44">
        <v>0</v>
      </c>
      <c r="R103" s="37">
        <v>100</v>
      </c>
      <c r="S103" s="37" t="s">
        <v>219</v>
      </c>
      <c r="T103" s="48">
        <v>1</v>
      </c>
      <c r="U103" s="30">
        <v>263842.81</v>
      </c>
      <c r="V103" s="41">
        <v>263842.81</v>
      </c>
      <c r="W103" s="41">
        <v>848</v>
      </c>
      <c r="X103" s="41">
        <v>848</v>
      </c>
      <c r="Y103" s="41">
        <v>198</v>
      </c>
      <c r="Z103" s="41">
        <v>52240876.380000003</v>
      </c>
      <c r="AA103" s="41">
        <v>650</v>
      </c>
      <c r="AB103" s="41">
        <v>171497826.5</v>
      </c>
      <c r="AC103" s="41"/>
      <c r="AD103" s="41"/>
      <c r="AE103" s="41"/>
      <c r="AF103" s="41"/>
      <c r="AG103" s="41"/>
      <c r="AH103" s="41"/>
      <c r="AI103" s="41"/>
      <c r="AJ103" s="41"/>
      <c r="AK103" s="41"/>
      <c r="AL103" s="41"/>
      <c r="AM103" s="41">
        <v>52240876.380000003</v>
      </c>
      <c r="AN103" s="41">
        <v>848</v>
      </c>
      <c r="AO103" s="41">
        <v>848</v>
      </c>
      <c r="AP103" s="40"/>
      <c r="AQ103" s="36">
        <v>44986</v>
      </c>
      <c r="AR103" s="36"/>
      <c r="AS103" s="36"/>
      <c r="AT103" s="36">
        <v>45000</v>
      </c>
      <c r="AU103" s="36"/>
      <c r="AV103" s="38"/>
      <c r="AW103" s="40" t="s">
        <v>87</v>
      </c>
      <c r="AX103" s="40"/>
    </row>
    <row r="104" spans="1:50" ht="72" x14ac:dyDescent="0.3">
      <c r="A104" s="39" t="s">
        <v>947</v>
      </c>
      <c r="B104" s="36">
        <v>44719</v>
      </c>
      <c r="C104" s="37">
        <v>1416</v>
      </c>
      <c r="D104" s="39" t="s">
        <v>948</v>
      </c>
      <c r="E104" s="1" t="s">
        <v>949</v>
      </c>
      <c r="F104" s="36">
        <v>44746</v>
      </c>
      <c r="G104" s="37" t="s">
        <v>950</v>
      </c>
      <c r="H104" s="40" t="s">
        <v>944</v>
      </c>
      <c r="I104" s="40" t="s">
        <v>951</v>
      </c>
      <c r="J104" s="41">
        <v>282522763.16000003</v>
      </c>
      <c r="K104" s="41">
        <v>282522763.16000003</v>
      </c>
      <c r="L104" s="30">
        <v>282522763.16000003</v>
      </c>
      <c r="M104" s="30">
        <v>282522763.16000003</v>
      </c>
      <c r="N104" s="40" t="s">
        <v>355</v>
      </c>
      <c r="O104" s="40" t="s">
        <v>952</v>
      </c>
      <c r="P104" s="40" t="s">
        <v>357</v>
      </c>
      <c r="Q104" s="44">
        <v>0</v>
      </c>
      <c r="R104" s="37">
        <v>100</v>
      </c>
      <c r="S104" s="37" t="s">
        <v>219</v>
      </c>
      <c r="T104" s="48">
        <v>1</v>
      </c>
      <c r="U104" s="30">
        <v>52768.540000000008</v>
      </c>
      <c r="V104" s="41">
        <v>52768.540000000008</v>
      </c>
      <c r="W104" s="41">
        <v>5354</v>
      </c>
      <c r="X104" s="41">
        <v>5354</v>
      </c>
      <c r="Y104" s="41">
        <v>5076</v>
      </c>
      <c r="Z104" s="41">
        <v>267853109.04000005</v>
      </c>
      <c r="AA104" s="41">
        <v>278</v>
      </c>
      <c r="AB104" s="41">
        <v>14669654.120000003</v>
      </c>
      <c r="AC104" s="41"/>
      <c r="AD104" s="41"/>
      <c r="AE104" s="41"/>
      <c r="AF104" s="41"/>
      <c r="AG104" s="41"/>
      <c r="AH104" s="41"/>
      <c r="AI104" s="41"/>
      <c r="AJ104" s="41"/>
      <c r="AK104" s="41"/>
      <c r="AL104" s="41"/>
      <c r="AM104" s="41">
        <v>267853109.04000005</v>
      </c>
      <c r="AN104" s="41">
        <v>5354</v>
      </c>
      <c r="AO104" s="41">
        <v>5354</v>
      </c>
      <c r="AP104" s="40"/>
      <c r="AQ104" s="36">
        <v>44986</v>
      </c>
      <c r="AR104" s="36"/>
      <c r="AS104" s="36"/>
      <c r="AT104" s="36">
        <v>45000</v>
      </c>
      <c r="AU104" s="36"/>
      <c r="AV104" s="38"/>
      <c r="AW104" s="40" t="s">
        <v>87</v>
      </c>
    </row>
    <row r="105" spans="1:50" ht="156" x14ac:dyDescent="0.3">
      <c r="A105" s="39" t="s">
        <v>960</v>
      </c>
      <c r="B105" s="36">
        <v>44721</v>
      </c>
      <c r="C105" s="37">
        <v>1416</v>
      </c>
      <c r="D105" s="39" t="s">
        <v>961</v>
      </c>
      <c r="E105" s="1" t="s">
        <v>962</v>
      </c>
      <c r="F105" s="36">
        <v>44747</v>
      </c>
      <c r="G105" s="37" t="s">
        <v>963</v>
      </c>
      <c r="H105" s="40" t="s">
        <v>186</v>
      </c>
      <c r="I105" s="40" t="s">
        <v>964</v>
      </c>
      <c r="J105" s="41">
        <v>10545799</v>
      </c>
      <c r="K105" s="41">
        <v>10545799</v>
      </c>
      <c r="L105" s="30">
        <v>10545799</v>
      </c>
      <c r="M105" s="30">
        <v>10545799</v>
      </c>
      <c r="N105" s="40" t="s">
        <v>965</v>
      </c>
      <c r="O105" s="40" t="s">
        <v>966</v>
      </c>
      <c r="P105" s="40" t="s">
        <v>218</v>
      </c>
      <c r="Q105" s="44">
        <v>0</v>
      </c>
      <c r="R105" s="37">
        <v>100</v>
      </c>
      <c r="S105" s="48" t="s">
        <v>200</v>
      </c>
      <c r="T105" s="54">
        <v>1</v>
      </c>
      <c r="U105" s="30">
        <v>14446.3</v>
      </c>
      <c r="V105" s="41">
        <v>14446.3</v>
      </c>
      <c r="W105" s="41">
        <v>730</v>
      </c>
      <c r="X105" s="41">
        <v>555</v>
      </c>
      <c r="Y105" s="41">
        <v>1</v>
      </c>
      <c r="Z105" s="41">
        <v>14446.3</v>
      </c>
      <c r="AA105" s="41">
        <v>554</v>
      </c>
      <c r="AB105" s="41">
        <v>8003250.1999999993</v>
      </c>
      <c r="AC105" s="41">
        <v>175</v>
      </c>
      <c r="AD105" s="41">
        <v>0</v>
      </c>
      <c r="AE105" s="41">
        <v>0</v>
      </c>
      <c r="AF105" s="41">
        <v>175</v>
      </c>
      <c r="AG105" s="41">
        <v>2528102.5</v>
      </c>
      <c r="AH105" s="41"/>
      <c r="AI105" s="41"/>
      <c r="AJ105" s="41"/>
      <c r="AK105" s="41"/>
      <c r="AL105" s="41"/>
      <c r="AM105" s="41">
        <v>14446.3</v>
      </c>
      <c r="AN105" s="41">
        <v>730</v>
      </c>
      <c r="AO105" s="41">
        <v>730</v>
      </c>
      <c r="AP105" s="40"/>
      <c r="AQ105" s="36">
        <v>45031</v>
      </c>
      <c r="AR105" s="36">
        <v>45108</v>
      </c>
      <c r="AS105" s="36"/>
      <c r="AT105" s="36">
        <v>45047</v>
      </c>
      <c r="AU105" s="36">
        <v>45122</v>
      </c>
      <c r="AV105" s="38"/>
      <c r="AW105" s="40" t="s">
        <v>87</v>
      </c>
    </row>
    <row r="106" spans="1:50" ht="72" x14ac:dyDescent="0.3">
      <c r="A106" s="39" t="s">
        <v>1000</v>
      </c>
      <c r="B106" s="36">
        <v>44721</v>
      </c>
      <c r="C106" s="37">
        <v>1416</v>
      </c>
      <c r="D106" s="39" t="s">
        <v>1001</v>
      </c>
      <c r="E106" s="1" t="s">
        <v>1002</v>
      </c>
      <c r="F106" s="36">
        <v>44750</v>
      </c>
      <c r="G106" s="39" t="s">
        <v>1003</v>
      </c>
      <c r="H106" s="40" t="s">
        <v>944</v>
      </c>
      <c r="I106" s="40" t="s">
        <v>1004</v>
      </c>
      <c r="J106" s="41">
        <v>1349397104.8800001</v>
      </c>
      <c r="K106" s="41">
        <v>1349397104.8800001</v>
      </c>
      <c r="L106" s="30">
        <v>1349397104.8800001</v>
      </c>
      <c r="M106" s="30">
        <v>1349397104.8800001</v>
      </c>
      <c r="N106" s="40" t="s">
        <v>355</v>
      </c>
      <c r="O106" s="40" t="s">
        <v>1005</v>
      </c>
      <c r="P106" s="40" t="s">
        <v>357</v>
      </c>
      <c r="Q106" s="44">
        <v>0</v>
      </c>
      <c r="R106" s="37">
        <v>100</v>
      </c>
      <c r="S106" s="37" t="s">
        <v>219</v>
      </c>
      <c r="T106" s="67">
        <v>0.4</v>
      </c>
      <c r="U106" s="30">
        <v>263842.70000000007</v>
      </c>
      <c r="V106" s="41">
        <v>105537.08000000003</v>
      </c>
      <c r="W106" s="41">
        <v>5114.3999999999996</v>
      </c>
      <c r="X106" s="41">
        <v>5114.3999999999996</v>
      </c>
      <c r="Y106" s="41">
        <v>2525.1999999999998</v>
      </c>
      <c r="Z106" s="41">
        <v>666255586.04000008</v>
      </c>
      <c r="AA106" s="41">
        <v>2589.1999999999998</v>
      </c>
      <c r="AB106" s="41">
        <v>683141518.84000015</v>
      </c>
      <c r="AC106" s="41"/>
      <c r="AD106" s="41"/>
      <c r="AE106" s="41"/>
      <c r="AF106" s="41"/>
      <c r="AG106" s="41"/>
      <c r="AH106" s="41"/>
      <c r="AI106" s="41"/>
      <c r="AJ106" s="41"/>
      <c r="AK106" s="41"/>
      <c r="AL106" s="41"/>
      <c r="AM106" s="41">
        <v>666255586.04000008</v>
      </c>
      <c r="AN106" s="41">
        <v>12785.999999999998</v>
      </c>
      <c r="AO106" s="41">
        <v>12786</v>
      </c>
      <c r="AP106" s="40"/>
      <c r="AQ106" s="36">
        <v>44958</v>
      </c>
      <c r="AR106" s="36"/>
      <c r="AS106" s="36"/>
      <c r="AT106" s="36">
        <v>45061</v>
      </c>
      <c r="AU106" s="36"/>
      <c r="AV106" s="38"/>
      <c r="AW106" s="40" t="s">
        <v>87</v>
      </c>
    </row>
    <row r="107" spans="1:50" ht="116.4" customHeight="1" x14ac:dyDescent="0.3">
      <c r="A107" s="39" t="s">
        <v>1006</v>
      </c>
      <c r="B107" s="36">
        <v>44721</v>
      </c>
      <c r="C107" s="37">
        <v>1416</v>
      </c>
      <c r="D107" s="39" t="s">
        <v>1007</v>
      </c>
      <c r="E107" s="1" t="s">
        <v>1008</v>
      </c>
      <c r="F107" s="36">
        <v>44746</v>
      </c>
      <c r="G107" s="37" t="s">
        <v>1009</v>
      </c>
      <c r="H107" s="40" t="s">
        <v>186</v>
      </c>
      <c r="I107" s="40" t="s">
        <v>1010</v>
      </c>
      <c r="J107" s="41">
        <v>132241909.8</v>
      </c>
      <c r="K107" s="41">
        <v>83393186.799999997</v>
      </c>
      <c r="L107" s="30">
        <v>83393186.799999997</v>
      </c>
      <c r="M107" s="30">
        <v>132241909.8</v>
      </c>
      <c r="N107" s="40" t="s">
        <v>865</v>
      </c>
      <c r="O107" s="40" t="s">
        <v>1011</v>
      </c>
      <c r="P107" s="40" t="s">
        <v>357</v>
      </c>
      <c r="Q107" s="44">
        <v>0</v>
      </c>
      <c r="R107" s="37">
        <v>100</v>
      </c>
      <c r="S107" s="37" t="s">
        <v>219</v>
      </c>
      <c r="T107" s="48">
        <v>4</v>
      </c>
      <c r="U107" s="30">
        <v>2013.55</v>
      </c>
      <c r="V107" s="41">
        <v>8054.2</v>
      </c>
      <c r="W107" s="41">
        <v>65676</v>
      </c>
      <c r="X107" s="41">
        <v>41416</v>
      </c>
      <c r="Y107" s="41">
        <v>18880</v>
      </c>
      <c r="Z107" s="41">
        <v>38015824</v>
      </c>
      <c r="AA107" s="41">
        <v>22536</v>
      </c>
      <c r="AB107" s="41">
        <v>45377362.799999997</v>
      </c>
      <c r="AC107" s="41">
        <v>24260</v>
      </c>
      <c r="AD107" s="41"/>
      <c r="AE107" s="41">
        <v>0</v>
      </c>
      <c r="AF107" s="41"/>
      <c r="AG107" s="41">
        <v>0</v>
      </c>
      <c r="AH107" s="41"/>
      <c r="AI107" s="41"/>
      <c r="AJ107" s="41">
        <v>0</v>
      </c>
      <c r="AK107" s="41"/>
      <c r="AL107" s="41">
        <v>0</v>
      </c>
      <c r="AM107" s="41">
        <v>38015824</v>
      </c>
      <c r="AN107" s="41">
        <v>16419</v>
      </c>
      <c r="AO107" s="41">
        <v>16419</v>
      </c>
      <c r="AP107" s="40"/>
      <c r="AQ107" s="36">
        <v>44986</v>
      </c>
      <c r="AR107" s="36">
        <v>45352</v>
      </c>
      <c r="AS107" s="36"/>
      <c r="AT107" s="36">
        <v>45000</v>
      </c>
      <c r="AU107" s="36">
        <v>45366</v>
      </c>
      <c r="AV107" s="38"/>
      <c r="AW107" s="40" t="s">
        <v>302</v>
      </c>
    </row>
    <row r="108" spans="1:50" s="34" customFormat="1" ht="46.8" x14ac:dyDescent="0.3">
      <c r="A108" s="39" t="s">
        <v>1040</v>
      </c>
      <c r="B108" s="36">
        <v>44722</v>
      </c>
      <c r="C108" s="37">
        <v>1416</v>
      </c>
      <c r="D108" s="39" t="s">
        <v>459</v>
      </c>
      <c r="E108" s="40" t="s">
        <v>459</v>
      </c>
      <c r="F108" s="36" t="s">
        <v>459</v>
      </c>
      <c r="G108" s="37" t="s">
        <v>459</v>
      </c>
      <c r="H108" s="40" t="s">
        <v>459</v>
      </c>
      <c r="I108" s="40" t="s">
        <v>1041</v>
      </c>
      <c r="J108" s="41">
        <v>34790520</v>
      </c>
      <c r="K108" s="41">
        <v>0</v>
      </c>
      <c r="L108" s="30">
        <v>0</v>
      </c>
      <c r="M108" s="30">
        <v>0</v>
      </c>
      <c r="N108" s="40"/>
      <c r="O108" s="40"/>
      <c r="P108" s="40"/>
      <c r="Q108" s="44"/>
      <c r="R108" s="37"/>
      <c r="S108" s="37"/>
      <c r="T108" s="48"/>
      <c r="U108" s="30" t="e">
        <v>#DIV/0!</v>
      </c>
      <c r="V108" s="41" t="e">
        <v>#DIV/0!</v>
      </c>
      <c r="W108" s="41">
        <v>0</v>
      </c>
      <c r="X108" s="41"/>
      <c r="Y108" s="41"/>
      <c r="Z108" s="41"/>
      <c r="AA108" s="41"/>
      <c r="AB108" s="41"/>
      <c r="AC108" s="41"/>
      <c r="AD108" s="41"/>
      <c r="AE108" s="41"/>
      <c r="AF108" s="41"/>
      <c r="AG108" s="41"/>
      <c r="AH108" s="41"/>
      <c r="AI108" s="41"/>
      <c r="AJ108" s="41"/>
      <c r="AK108" s="41"/>
      <c r="AL108" s="41"/>
      <c r="AM108" s="41"/>
      <c r="AN108" s="41" t="e">
        <v>#DIV/0!</v>
      </c>
      <c r="AO108" s="41" t="e">
        <v>#DIV/0!</v>
      </c>
      <c r="AP108" s="40"/>
      <c r="AQ108" s="36"/>
      <c r="AR108" s="36"/>
      <c r="AS108" s="36"/>
      <c r="AT108" s="36"/>
      <c r="AU108" s="36"/>
      <c r="AV108" s="38"/>
      <c r="AW108" s="40"/>
    </row>
    <row r="109" spans="1:50" s="34" customFormat="1" ht="109.2" x14ac:dyDescent="0.3">
      <c r="A109" s="39" t="s">
        <v>1206</v>
      </c>
      <c r="B109" s="36">
        <v>44733</v>
      </c>
      <c r="C109" s="37">
        <v>1416</v>
      </c>
      <c r="D109" s="39" t="s">
        <v>1207</v>
      </c>
      <c r="E109" s="1" t="s">
        <v>1208</v>
      </c>
      <c r="F109" s="36">
        <v>44760</v>
      </c>
      <c r="G109" s="39" t="s">
        <v>1209</v>
      </c>
      <c r="H109" s="40" t="s">
        <v>177</v>
      </c>
      <c r="I109" s="40" t="s">
        <v>1210</v>
      </c>
      <c r="J109" s="41">
        <v>61583028</v>
      </c>
      <c r="K109" s="41">
        <v>61583028</v>
      </c>
      <c r="L109" s="30">
        <v>61583028</v>
      </c>
      <c r="M109" s="30">
        <v>61583028</v>
      </c>
      <c r="N109" s="40" t="s">
        <v>1211</v>
      </c>
      <c r="O109" s="40" t="s">
        <v>1212</v>
      </c>
      <c r="P109" s="40" t="s">
        <v>1213</v>
      </c>
      <c r="Q109" s="44">
        <v>0</v>
      </c>
      <c r="R109" s="37">
        <v>100</v>
      </c>
      <c r="S109" s="37" t="s">
        <v>229</v>
      </c>
      <c r="T109" s="48">
        <v>1200</v>
      </c>
      <c r="U109" s="30">
        <v>15.01</v>
      </c>
      <c r="V109" s="41">
        <v>18012</v>
      </c>
      <c r="W109" s="41">
        <v>4102800</v>
      </c>
      <c r="X109" s="41">
        <v>4102800</v>
      </c>
      <c r="Y109" s="41"/>
      <c r="Z109" s="41"/>
      <c r="AA109" s="41"/>
      <c r="AB109" s="41"/>
      <c r="AC109" s="41"/>
      <c r="AD109" s="41"/>
      <c r="AE109" s="41"/>
      <c r="AF109" s="41"/>
      <c r="AG109" s="41"/>
      <c r="AH109" s="41"/>
      <c r="AI109" s="41"/>
      <c r="AJ109" s="41"/>
      <c r="AK109" s="41"/>
      <c r="AL109" s="41"/>
      <c r="AM109" s="41"/>
      <c r="AN109" s="41">
        <v>3419</v>
      </c>
      <c r="AO109" s="41">
        <v>3419</v>
      </c>
      <c r="AP109" s="40"/>
      <c r="AQ109" s="36">
        <v>44936</v>
      </c>
      <c r="AR109" s="36"/>
      <c r="AS109" s="36"/>
      <c r="AT109" s="36">
        <v>44962</v>
      </c>
      <c r="AU109" s="36"/>
      <c r="AV109" s="38"/>
      <c r="AW109" s="40" t="s">
        <v>87</v>
      </c>
    </row>
    <row r="110" spans="1:50" ht="128.25" customHeight="1" x14ac:dyDescent="0.3">
      <c r="A110" s="39" t="s">
        <v>1238</v>
      </c>
      <c r="B110" s="36">
        <v>44735</v>
      </c>
      <c r="C110" s="37">
        <v>1416</v>
      </c>
      <c r="D110" s="39" t="s">
        <v>1239</v>
      </c>
      <c r="E110" s="1" t="s">
        <v>1240</v>
      </c>
      <c r="F110" s="36">
        <v>44754</v>
      </c>
      <c r="G110" s="39" t="s">
        <v>1241</v>
      </c>
      <c r="H110" s="40" t="s">
        <v>224</v>
      </c>
      <c r="I110" s="40" t="s">
        <v>1242</v>
      </c>
      <c r="J110" s="41">
        <v>58559580</v>
      </c>
      <c r="K110" s="41">
        <v>58559580</v>
      </c>
      <c r="L110" s="30">
        <v>58559580</v>
      </c>
      <c r="M110" s="30">
        <v>58559580</v>
      </c>
      <c r="N110" s="40" t="s">
        <v>369</v>
      </c>
      <c r="O110" s="40" t="s">
        <v>1243</v>
      </c>
      <c r="P110" s="40" t="s">
        <v>218</v>
      </c>
      <c r="Q110" s="44">
        <v>0</v>
      </c>
      <c r="R110" s="37">
        <v>100</v>
      </c>
      <c r="S110" s="37" t="s">
        <v>229</v>
      </c>
      <c r="T110" s="48">
        <v>1500</v>
      </c>
      <c r="U110" s="30">
        <v>12.37</v>
      </c>
      <c r="V110" s="41">
        <v>18555</v>
      </c>
      <c r="W110" s="41">
        <v>4734000</v>
      </c>
      <c r="X110" s="41">
        <v>4734000</v>
      </c>
      <c r="Y110" s="41"/>
      <c r="Z110" s="41"/>
      <c r="AA110" s="41"/>
      <c r="AB110" s="41"/>
      <c r="AC110" s="41"/>
      <c r="AD110" s="41"/>
      <c r="AE110" s="41"/>
      <c r="AF110" s="41"/>
      <c r="AG110" s="41"/>
      <c r="AH110" s="41"/>
      <c r="AI110" s="41"/>
      <c r="AJ110" s="41"/>
      <c r="AK110" s="41"/>
      <c r="AL110" s="41"/>
      <c r="AM110" s="41"/>
      <c r="AN110" s="41">
        <v>3156</v>
      </c>
      <c r="AO110" s="41">
        <v>3156</v>
      </c>
      <c r="AP110" s="40"/>
      <c r="AQ110" s="36">
        <v>44958</v>
      </c>
      <c r="AR110" s="36"/>
      <c r="AS110" s="36"/>
      <c r="AT110" s="36">
        <v>44972</v>
      </c>
      <c r="AU110" s="36"/>
      <c r="AV110" s="38"/>
      <c r="AW110" s="40" t="s">
        <v>87</v>
      </c>
    </row>
    <row r="111" spans="1:50" ht="127.2" customHeight="1" x14ac:dyDescent="0.3">
      <c r="A111" s="35" t="s">
        <v>2674</v>
      </c>
      <c r="B111" s="38">
        <v>45012</v>
      </c>
      <c r="C111" s="40">
        <v>1416</v>
      </c>
      <c r="D111" s="39" t="s">
        <v>2675</v>
      </c>
      <c r="E111" s="1" t="s">
        <v>2676</v>
      </c>
      <c r="F111" s="36">
        <v>45033</v>
      </c>
      <c r="G111" s="37" t="s">
        <v>2677</v>
      </c>
      <c r="H111" s="40" t="s">
        <v>224</v>
      </c>
      <c r="I111" s="40" t="s">
        <v>2678</v>
      </c>
      <c r="J111" s="57">
        <v>13261200</v>
      </c>
      <c r="K111" s="41">
        <v>13261200</v>
      </c>
      <c r="L111" s="30">
        <v>17239560</v>
      </c>
      <c r="M111" s="30">
        <v>17239560</v>
      </c>
      <c r="N111" s="40" t="s">
        <v>780</v>
      </c>
      <c r="O111" s="40" t="s">
        <v>2679</v>
      </c>
      <c r="P111" s="40" t="s">
        <v>218</v>
      </c>
      <c r="Q111" s="44">
        <v>0</v>
      </c>
      <c r="R111" s="37">
        <v>100</v>
      </c>
      <c r="S111" s="37" t="s">
        <v>229</v>
      </c>
      <c r="T111" s="48">
        <v>2400</v>
      </c>
      <c r="U111" s="30">
        <v>12.85</v>
      </c>
      <c r="V111" s="41">
        <v>30840</v>
      </c>
      <c r="W111" s="41">
        <v>1341600</v>
      </c>
      <c r="X111" s="41">
        <v>1341600</v>
      </c>
      <c r="Y111" s="41">
        <v>228000</v>
      </c>
      <c r="Z111" s="41">
        <v>2929800</v>
      </c>
      <c r="AA111" s="41">
        <v>1113600</v>
      </c>
      <c r="AB111" s="41">
        <v>14309760</v>
      </c>
      <c r="AC111" s="41">
        <v>0</v>
      </c>
      <c r="AD111" s="41">
        <v>0</v>
      </c>
      <c r="AE111" s="41">
        <v>0</v>
      </c>
      <c r="AF111" s="41">
        <v>0</v>
      </c>
      <c r="AG111" s="41">
        <v>0</v>
      </c>
      <c r="AH111" s="41">
        <v>0</v>
      </c>
      <c r="AI111" s="41">
        <v>0</v>
      </c>
      <c r="AJ111" s="41">
        <v>0</v>
      </c>
      <c r="AK111" s="41">
        <v>0</v>
      </c>
      <c r="AL111" s="41">
        <v>0</v>
      </c>
      <c r="AM111" s="41">
        <v>2929800</v>
      </c>
      <c r="AN111" s="41">
        <v>559</v>
      </c>
      <c r="AO111" s="41">
        <v>559</v>
      </c>
      <c r="AP111" s="40"/>
      <c r="AQ111" s="36">
        <v>45047</v>
      </c>
      <c r="AR111" s="36"/>
      <c r="AS111" s="36"/>
      <c r="AT111" s="36">
        <v>45031</v>
      </c>
      <c r="AU111" s="36"/>
      <c r="AV111" s="38"/>
      <c r="AW111" s="40" t="s">
        <v>87</v>
      </c>
    </row>
    <row r="112" spans="1:50" ht="187.95" customHeight="1" x14ac:dyDescent="0.3">
      <c r="A112" s="35" t="s">
        <v>2683</v>
      </c>
      <c r="B112" s="38">
        <v>45012</v>
      </c>
      <c r="C112" s="40">
        <v>1416</v>
      </c>
      <c r="D112" s="39" t="s">
        <v>2684</v>
      </c>
      <c r="E112" s="1" t="s">
        <v>2685</v>
      </c>
      <c r="F112" s="36">
        <v>45044</v>
      </c>
      <c r="G112" s="37" t="s">
        <v>2686</v>
      </c>
      <c r="H112" s="40" t="s">
        <v>1971</v>
      </c>
      <c r="I112" s="40" t="s">
        <v>2687</v>
      </c>
      <c r="J112" s="57">
        <v>619913760</v>
      </c>
      <c r="K112" s="41">
        <v>619913760</v>
      </c>
      <c r="L112" s="30">
        <v>619913760</v>
      </c>
      <c r="M112" s="30">
        <v>619913760</v>
      </c>
      <c r="N112" s="40" t="s">
        <v>2688</v>
      </c>
      <c r="O112" s="40" t="s">
        <v>2689</v>
      </c>
      <c r="P112" s="40" t="s">
        <v>2690</v>
      </c>
      <c r="Q112" s="44">
        <v>0</v>
      </c>
      <c r="R112" s="37">
        <v>100</v>
      </c>
      <c r="S112" s="37" t="s">
        <v>229</v>
      </c>
      <c r="T112" s="48">
        <v>2000</v>
      </c>
      <c r="U112" s="30">
        <v>12.12</v>
      </c>
      <c r="V112" s="41">
        <v>24240</v>
      </c>
      <c r="W112" s="41">
        <v>51148000</v>
      </c>
      <c r="X112" s="41">
        <v>17900000</v>
      </c>
      <c r="Y112" s="41">
        <v>10260000</v>
      </c>
      <c r="Z112" s="41">
        <v>124351199.99999999</v>
      </c>
      <c r="AA112" s="41">
        <v>7640000</v>
      </c>
      <c r="AB112" s="41">
        <v>92596800</v>
      </c>
      <c r="AC112" s="41">
        <v>33248000</v>
      </c>
      <c r="AD112" s="41">
        <v>0</v>
      </c>
      <c r="AE112" s="41">
        <v>0</v>
      </c>
      <c r="AF112" s="41">
        <v>33248000</v>
      </c>
      <c r="AG112" s="41">
        <v>402965760</v>
      </c>
      <c r="AH112" s="41">
        <v>0</v>
      </c>
      <c r="AI112" s="41">
        <v>0</v>
      </c>
      <c r="AJ112" s="41">
        <v>0</v>
      </c>
      <c r="AK112" s="41">
        <v>0</v>
      </c>
      <c r="AL112" s="41">
        <v>0</v>
      </c>
      <c r="AM112" s="41">
        <v>124351199.99999999</v>
      </c>
      <c r="AN112" s="41">
        <v>25574</v>
      </c>
      <c r="AO112" s="41">
        <v>25574</v>
      </c>
      <c r="AP112" s="40"/>
      <c r="AQ112" s="36">
        <v>45047</v>
      </c>
      <c r="AR112" s="36">
        <v>45139</v>
      </c>
      <c r="AS112" s="36"/>
      <c r="AT112" s="36">
        <v>45061</v>
      </c>
      <c r="AU112" s="36">
        <v>45153</v>
      </c>
      <c r="AV112" s="38"/>
      <c r="AW112" s="40" t="s">
        <v>75</v>
      </c>
    </row>
    <row r="113" spans="1:49" ht="66" customHeight="1" x14ac:dyDescent="0.3">
      <c r="A113" s="35" t="s">
        <v>2697</v>
      </c>
      <c r="B113" s="38">
        <v>45013</v>
      </c>
      <c r="C113" s="40">
        <v>1416</v>
      </c>
      <c r="D113" s="39" t="s">
        <v>2698</v>
      </c>
      <c r="E113" s="1" t="s">
        <v>2699</v>
      </c>
      <c r="F113" s="36">
        <v>45041</v>
      </c>
      <c r="G113" s="37" t="s">
        <v>2700</v>
      </c>
      <c r="H113" s="40" t="s">
        <v>224</v>
      </c>
      <c r="I113" s="40" t="s">
        <v>2701</v>
      </c>
      <c r="J113" s="57">
        <v>407271456</v>
      </c>
      <c r="K113" s="41">
        <v>407271456</v>
      </c>
      <c r="L113" s="30">
        <v>452889024</v>
      </c>
      <c r="M113" s="30">
        <v>452889024</v>
      </c>
      <c r="N113" s="40" t="s">
        <v>780</v>
      </c>
      <c r="O113" s="40" t="s">
        <v>838</v>
      </c>
      <c r="P113" s="40" t="s">
        <v>218</v>
      </c>
      <c r="Q113" s="44">
        <v>0</v>
      </c>
      <c r="R113" s="37">
        <v>100</v>
      </c>
      <c r="S113" s="37" t="s">
        <v>229</v>
      </c>
      <c r="T113" s="48">
        <v>1200</v>
      </c>
      <c r="U113" s="30">
        <v>12.68</v>
      </c>
      <c r="V113" s="41">
        <v>15216</v>
      </c>
      <c r="W113" s="41">
        <v>35716800</v>
      </c>
      <c r="X113" s="41">
        <v>18000000</v>
      </c>
      <c r="Y113" s="41">
        <v>6592800</v>
      </c>
      <c r="Z113" s="41">
        <v>83596704</v>
      </c>
      <c r="AA113" s="41">
        <v>11407200</v>
      </c>
      <c r="AB113" s="41">
        <v>144643296</v>
      </c>
      <c r="AC113" s="41">
        <v>17716800</v>
      </c>
      <c r="AD113" s="41">
        <v>8767200</v>
      </c>
      <c r="AE113" s="41">
        <v>111168096</v>
      </c>
      <c r="AF113" s="41">
        <v>8949600</v>
      </c>
      <c r="AG113" s="41">
        <v>113480928</v>
      </c>
      <c r="AH113" s="41">
        <v>0</v>
      </c>
      <c r="AI113" s="41">
        <v>0</v>
      </c>
      <c r="AJ113" s="41">
        <v>0</v>
      </c>
      <c r="AK113" s="41">
        <v>0</v>
      </c>
      <c r="AL113" s="41">
        <v>0</v>
      </c>
      <c r="AM113" s="41">
        <v>194764800</v>
      </c>
      <c r="AN113" s="41">
        <v>29764</v>
      </c>
      <c r="AO113" s="41">
        <v>29764</v>
      </c>
      <c r="AP113" s="40"/>
      <c r="AQ113" s="36">
        <v>45108</v>
      </c>
      <c r="AR113" s="36">
        <v>45200</v>
      </c>
      <c r="AS113" s="36"/>
      <c r="AT113" s="36">
        <v>45122</v>
      </c>
      <c r="AU113" s="36">
        <v>45214</v>
      </c>
      <c r="AV113" s="38"/>
      <c r="AW113" s="40" t="s">
        <v>75</v>
      </c>
    </row>
    <row r="114" spans="1:49" ht="66" customHeight="1" x14ac:dyDescent="0.3">
      <c r="A114" s="35" t="s">
        <v>2702</v>
      </c>
      <c r="B114" s="38">
        <v>45013</v>
      </c>
      <c r="C114" s="40">
        <v>1416</v>
      </c>
      <c r="D114" s="39" t="s">
        <v>2703</v>
      </c>
      <c r="E114" s="1" t="s">
        <v>2704</v>
      </c>
      <c r="F114" s="36">
        <v>45044</v>
      </c>
      <c r="G114" s="35" t="s">
        <v>2705</v>
      </c>
      <c r="H114" s="40" t="s">
        <v>224</v>
      </c>
      <c r="I114" s="40" t="s">
        <v>843</v>
      </c>
      <c r="J114" s="57">
        <v>863590888</v>
      </c>
      <c r="K114" s="41">
        <v>863590888</v>
      </c>
      <c r="L114" s="30">
        <v>863590888</v>
      </c>
      <c r="M114" s="30">
        <v>863590888</v>
      </c>
      <c r="N114" s="40" t="s">
        <v>831</v>
      </c>
      <c r="O114" s="40" t="s">
        <v>2706</v>
      </c>
      <c r="P114" s="40" t="s">
        <v>263</v>
      </c>
      <c r="Q114" s="44">
        <v>0</v>
      </c>
      <c r="R114" s="37">
        <v>100</v>
      </c>
      <c r="S114" s="37" t="s">
        <v>229</v>
      </c>
      <c r="T114" s="48">
        <v>800</v>
      </c>
      <c r="U114" s="30">
        <v>25.33</v>
      </c>
      <c r="V114" s="41">
        <v>20264</v>
      </c>
      <c r="W114" s="41">
        <v>34093600</v>
      </c>
      <c r="X114" s="41">
        <v>34093600</v>
      </c>
      <c r="Y114" s="41">
        <v>17577600</v>
      </c>
      <c r="Z114" s="41">
        <v>445240607.99999994</v>
      </c>
      <c r="AA114" s="41">
        <v>16516000</v>
      </c>
      <c r="AB114" s="41">
        <v>418350280</v>
      </c>
      <c r="AC114" s="41">
        <v>0</v>
      </c>
      <c r="AD114" s="41">
        <v>0</v>
      </c>
      <c r="AE114" s="41">
        <v>0</v>
      </c>
      <c r="AF114" s="41">
        <v>0</v>
      </c>
      <c r="AG114" s="41">
        <v>0</v>
      </c>
      <c r="AH114" s="41">
        <v>0</v>
      </c>
      <c r="AI114" s="41">
        <v>0</v>
      </c>
      <c r="AJ114" s="41">
        <v>0</v>
      </c>
      <c r="AK114" s="41">
        <v>0</v>
      </c>
      <c r="AL114" s="41">
        <v>0</v>
      </c>
      <c r="AM114" s="41">
        <v>445240607.99999994</v>
      </c>
      <c r="AN114" s="41">
        <v>42617</v>
      </c>
      <c r="AO114" s="41">
        <v>42617</v>
      </c>
      <c r="AP114" s="40"/>
      <c r="AQ114" s="36">
        <v>45078</v>
      </c>
      <c r="AR114" s="36"/>
      <c r="AS114" s="36"/>
      <c r="AT114" s="36">
        <v>45092</v>
      </c>
      <c r="AU114" s="36"/>
      <c r="AV114" s="38"/>
      <c r="AW114" s="40" t="s">
        <v>49</v>
      </c>
    </row>
    <row r="115" spans="1:49" ht="66" customHeight="1" x14ac:dyDescent="0.3">
      <c r="A115" s="35" t="s">
        <v>2707</v>
      </c>
      <c r="B115" s="38">
        <v>45013</v>
      </c>
      <c r="C115" s="40">
        <v>1416</v>
      </c>
      <c r="D115" s="39" t="s">
        <v>2708</v>
      </c>
      <c r="E115" s="1" t="s">
        <v>2709</v>
      </c>
      <c r="F115" s="36">
        <v>45048</v>
      </c>
      <c r="G115" s="37" t="s">
        <v>2710</v>
      </c>
      <c r="H115" s="40" t="s">
        <v>1971</v>
      </c>
      <c r="I115" s="40" t="s">
        <v>2711</v>
      </c>
      <c r="J115" s="57">
        <v>396112140</v>
      </c>
      <c r="K115" s="41">
        <v>396112140</v>
      </c>
      <c r="L115" s="30">
        <v>396112140</v>
      </c>
      <c r="M115" s="30">
        <v>396112140</v>
      </c>
      <c r="N115" s="40" t="s">
        <v>2712</v>
      </c>
      <c r="O115" s="40" t="s">
        <v>2713</v>
      </c>
      <c r="P115" s="40" t="s">
        <v>2690</v>
      </c>
      <c r="Q115" s="44">
        <v>0</v>
      </c>
      <c r="R115" s="37">
        <v>100</v>
      </c>
      <c r="S115" s="37" t="s">
        <v>229</v>
      </c>
      <c r="T115" s="48">
        <v>3000</v>
      </c>
      <c r="U115" s="30">
        <v>12.37</v>
      </c>
      <c r="V115" s="41">
        <v>37110</v>
      </c>
      <c r="W115" s="41">
        <v>32022000</v>
      </c>
      <c r="X115" s="41">
        <v>13707000</v>
      </c>
      <c r="Y115" s="41">
        <v>6135000</v>
      </c>
      <c r="Z115" s="41">
        <v>75889950</v>
      </c>
      <c r="AA115" s="41">
        <v>7572000</v>
      </c>
      <c r="AB115" s="41">
        <v>93665640</v>
      </c>
      <c r="AC115" s="41">
        <v>18315000</v>
      </c>
      <c r="AD115" s="41">
        <v>0</v>
      </c>
      <c r="AE115" s="41">
        <v>0</v>
      </c>
      <c r="AF115" s="41">
        <v>18315000</v>
      </c>
      <c r="AG115" s="41">
        <v>226556550</v>
      </c>
      <c r="AH115" s="41">
        <v>0</v>
      </c>
      <c r="AI115" s="41">
        <v>0</v>
      </c>
      <c r="AJ115" s="41">
        <v>0</v>
      </c>
      <c r="AK115" s="41">
        <v>0</v>
      </c>
      <c r="AL115" s="41">
        <v>0</v>
      </c>
      <c r="AM115" s="41">
        <v>75889950</v>
      </c>
      <c r="AN115" s="41">
        <v>10674</v>
      </c>
      <c r="AO115" s="41">
        <v>10674</v>
      </c>
      <c r="AP115" s="40"/>
      <c r="AQ115" s="36">
        <v>45061</v>
      </c>
      <c r="AR115" s="36">
        <v>45139</v>
      </c>
      <c r="AS115" s="36"/>
      <c r="AT115" s="36">
        <v>45078</v>
      </c>
      <c r="AU115" s="36">
        <v>45153</v>
      </c>
      <c r="AV115" s="38"/>
      <c r="AW115" s="40" t="s">
        <v>75</v>
      </c>
    </row>
    <row r="116" spans="1:49" ht="66" customHeight="1" x14ac:dyDescent="0.3">
      <c r="A116" s="35" t="s">
        <v>2714</v>
      </c>
      <c r="B116" s="38">
        <v>45013</v>
      </c>
      <c r="C116" s="40">
        <v>1416</v>
      </c>
      <c r="D116" s="39" t="s">
        <v>459</v>
      </c>
      <c r="E116" s="1" t="s">
        <v>2715</v>
      </c>
      <c r="F116" s="36" t="s">
        <v>459</v>
      </c>
      <c r="G116" s="37" t="s">
        <v>459</v>
      </c>
      <c r="H116" s="40" t="s">
        <v>459</v>
      </c>
      <c r="I116" s="40" t="s">
        <v>2716</v>
      </c>
      <c r="J116" s="57">
        <v>10034359.5</v>
      </c>
      <c r="K116" s="41">
        <v>0</v>
      </c>
      <c r="L116" s="30">
        <v>0</v>
      </c>
      <c r="M116" s="30">
        <v>0</v>
      </c>
      <c r="N116" s="40"/>
      <c r="O116" s="40"/>
      <c r="P116" s="40"/>
      <c r="Q116" s="44"/>
      <c r="R116" s="37"/>
      <c r="S116" s="37"/>
      <c r="T116" s="48"/>
      <c r="U116" s="30" t="e">
        <v>#DIV/0!</v>
      </c>
      <c r="V116" s="41" t="e">
        <v>#DIV/0!</v>
      </c>
      <c r="W116" s="41">
        <v>0</v>
      </c>
      <c r="X116" s="41">
        <v>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c r="AN116" s="41" t="e">
        <v>#DIV/0!</v>
      </c>
      <c r="AO116" s="41" t="e">
        <v>#DIV/0!</v>
      </c>
      <c r="AP116" s="40"/>
      <c r="AQ116" s="36">
        <v>45061</v>
      </c>
      <c r="AR116" s="36">
        <v>45139</v>
      </c>
      <c r="AS116" s="36"/>
      <c r="AT116" s="36"/>
      <c r="AU116" s="36"/>
      <c r="AV116" s="38"/>
      <c r="AW116" s="40"/>
    </row>
    <row r="117" spans="1:49" ht="66" customHeight="1" x14ac:dyDescent="0.3">
      <c r="A117" s="35" t="s">
        <v>2717</v>
      </c>
      <c r="B117" s="38">
        <v>45013</v>
      </c>
      <c r="C117" s="40">
        <v>1416</v>
      </c>
      <c r="D117" s="39" t="s">
        <v>2718</v>
      </c>
      <c r="E117" s="1" t="s">
        <v>2719</v>
      </c>
      <c r="F117" s="36">
        <v>45041</v>
      </c>
      <c r="G117" s="37" t="s">
        <v>2720</v>
      </c>
      <c r="H117" s="40" t="s">
        <v>1971</v>
      </c>
      <c r="I117" s="40" t="s">
        <v>2721</v>
      </c>
      <c r="J117" s="57">
        <v>652381430</v>
      </c>
      <c r="K117" s="41">
        <v>652381430</v>
      </c>
      <c r="L117" s="30">
        <v>652381430</v>
      </c>
      <c r="M117" s="30">
        <v>652381430</v>
      </c>
      <c r="N117" s="40" t="s">
        <v>2712</v>
      </c>
      <c r="O117" s="40" t="s">
        <v>2722</v>
      </c>
      <c r="P117" s="40" t="s">
        <v>2690</v>
      </c>
      <c r="Q117" s="44">
        <v>0</v>
      </c>
      <c r="R117" s="37">
        <v>100</v>
      </c>
      <c r="S117" s="37" t="s">
        <v>229</v>
      </c>
      <c r="T117" s="48">
        <v>1000</v>
      </c>
      <c r="U117" s="30">
        <v>12.37</v>
      </c>
      <c r="V117" s="41">
        <v>12370</v>
      </c>
      <c r="W117" s="41">
        <v>52739000</v>
      </c>
      <c r="X117" s="41">
        <v>36916000</v>
      </c>
      <c r="Y117" s="41">
        <v>13965000</v>
      </c>
      <c r="Z117" s="41">
        <v>172747050</v>
      </c>
      <c r="AA117" s="41">
        <v>22951000</v>
      </c>
      <c r="AB117" s="41">
        <v>283903870</v>
      </c>
      <c r="AC117" s="41">
        <v>15823000</v>
      </c>
      <c r="AD117" s="41">
        <v>0</v>
      </c>
      <c r="AE117" s="41">
        <v>0</v>
      </c>
      <c r="AF117" s="41">
        <v>15823000</v>
      </c>
      <c r="AG117" s="41">
        <v>195730510</v>
      </c>
      <c r="AH117" s="41">
        <v>0</v>
      </c>
      <c r="AI117" s="41">
        <v>0</v>
      </c>
      <c r="AJ117" s="41">
        <v>0</v>
      </c>
      <c r="AK117" s="41">
        <v>0</v>
      </c>
      <c r="AL117" s="41">
        <v>0</v>
      </c>
      <c r="AM117" s="41">
        <v>172747050</v>
      </c>
      <c r="AN117" s="41">
        <v>52739</v>
      </c>
      <c r="AO117" s="41">
        <v>52739</v>
      </c>
      <c r="AP117" s="40"/>
      <c r="AQ117" s="36">
        <v>45061</v>
      </c>
      <c r="AR117" s="36">
        <v>45139</v>
      </c>
      <c r="AS117" s="36"/>
      <c r="AT117" s="36">
        <v>45078</v>
      </c>
      <c r="AU117" s="36">
        <v>45153</v>
      </c>
      <c r="AV117" s="38"/>
      <c r="AW117" s="40" t="s">
        <v>75</v>
      </c>
    </row>
    <row r="118" spans="1:49" s="34" customFormat="1" ht="66" customHeight="1" x14ac:dyDescent="0.3">
      <c r="A118" s="35" t="s">
        <v>2723</v>
      </c>
      <c r="B118" s="38">
        <v>45013</v>
      </c>
      <c r="C118" s="40">
        <v>1416</v>
      </c>
      <c r="D118" s="39" t="s">
        <v>2724</v>
      </c>
      <c r="E118" s="1" t="s">
        <v>2725</v>
      </c>
      <c r="F118" s="36">
        <v>45033</v>
      </c>
      <c r="G118" s="37" t="s">
        <v>2726</v>
      </c>
      <c r="H118" s="40" t="s">
        <v>186</v>
      </c>
      <c r="I118" s="40" t="s">
        <v>2727</v>
      </c>
      <c r="J118" s="57">
        <v>189444050</v>
      </c>
      <c r="K118" s="41">
        <v>189444050</v>
      </c>
      <c r="L118" s="30">
        <v>189444050</v>
      </c>
      <c r="M118" s="30">
        <v>189444050</v>
      </c>
      <c r="N118" s="40" t="s">
        <v>671</v>
      </c>
      <c r="O118" s="40" t="s">
        <v>2728</v>
      </c>
      <c r="P118" s="40" t="s">
        <v>47</v>
      </c>
      <c r="Q118" s="44">
        <v>100</v>
      </c>
      <c r="R118" s="37">
        <v>0</v>
      </c>
      <c r="S118" s="37" t="s">
        <v>229</v>
      </c>
      <c r="T118" s="48">
        <v>1000</v>
      </c>
      <c r="U118" s="30">
        <v>7.85</v>
      </c>
      <c r="V118" s="41">
        <v>7850</v>
      </c>
      <c r="W118" s="41">
        <v>24133000</v>
      </c>
      <c r="X118" s="41">
        <v>24133000</v>
      </c>
      <c r="Y118" s="41">
        <v>3546000</v>
      </c>
      <c r="Z118" s="41">
        <v>27836100</v>
      </c>
      <c r="AA118" s="41">
        <v>20587000</v>
      </c>
      <c r="AB118" s="41">
        <v>161607950</v>
      </c>
      <c r="AC118" s="41">
        <v>0</v>
      </c>
      <c r="AD118" s="41">
        <v>0</v>
      </c>
      <c r="AE118" s="41">
        <v>0</v>
      </c>
      <c r="AF118" s="41">
        <v>0</v>
      </c>
      <c r="AG118" s="41">
        <v>0</v>
      </c>
      <c r="AH118" s="41">
        <v>0</v>
      </c>
      <c r="AI118" s="41">
        <v>0</v>
      </c>
      <c r="AJ118" s="41">
        <v>0</v>
      </c>
      <c r="AK118" s="41">
        <v>0</v>
      </c>
      <c r="AL118" s="41">
        <v>0</v>
      </c>
      <c r="AM118" s="41">
        <v>27836100</v>
      </c>
      <c r="AN118" s="41">
        <v>24133</v>
      </c>
      <c r="AO118" s="41">
        <v>24133</v>
      </c>
      <c r="AP118" s="40"/>
      <c r="AQ118" s="36">
        <v>45066</v>
      </c>
      <c r="AR118" s="36"/>
      <c r="AS118" s="36"/>
      <c r="AT118" s="36">
        <v>45082</v>
      </c>
      <c r="AU118" s="36"/>
      <c r="AV118" s="38"/>
      <c r="AW118" s="40" t="s">
        <v>87</v>
      </c>
    </row>
    <row r="119" spans="1:49" s="34" customFormat="1" ht="66" customHeight="1" x14ac:dyDescent="0.3">
      <c r="A119" s="35" t="s">
        <v>2729</v>
      </c>
      <c r="B119" s="38">
        <v>45013</v>
      </c>
      <c r="C119" s="40">
        <v>1416</v>
      </c>
      <c r="D119" s="39" t="s">
        <v>2730</v>
      </c>
      <c r="E119" s="1" t="s">
        <v>2731</v>
      </c>
      <c r="F119" s="36">
        <v>45033</v>
      </c>
      <c r="G119" s="37" t="s">
        <v>2732</v>
      </c>
      <c r="H119" s="40" t="s">
        <v>1971</v>
      </c>
      <c r="I119" s="40" t="s">
        <v>2733</v>
      </c>
      <c r="J119" s="57">
        <v>263233600</v>
      </c>
      <c r="K119" s="41">
        <v>263233600</v>
      </c>
      <c r="L119" s="30">
        <v>263233600</v>
      </c>
      <c r="M119" s="30">
        <v>263233600</v>
      </c>
      <c r="N119" s="40" t="s">
        <v>2688</v>
      </c>
      <c r="O119" s="40" t="s">
        <v>2734</v>
      </c>
      <c r="P119" s="40" t="s">
        <v>2690</v>
      </c>
      <c r="Q119" s="44">
        <v>0</v>
      </c>
      <c r="R119" s="37">
        <v>100</v>
      </c>
      <c r="S119" s="37" t="s">
        <v>229</v>
      </c>
      <c r="T119" s="48">
        <v>1500</v>
      </c>
      <c r="U119" s="30">
        <v>12.37</v>
      </c>
      <c r="V119" s="41">
        <v>18555</v>
      </c>
      <c r="W119" s="41">
        <v>21280000</v>
      </c>
      <c r="X119" s="41">
        <v>12420000</v>
      </c>
      <c r="Y119" s="41">
        <v>5211000</v>
      </c>
      <c r="Z119" s="41">
        <v>64460069.999999993</v>
      </c>
      <c r="AA119" s="41">
        <v>7209000</v>
      </c>
      <c r="AB119" s="41">
        <v>89175330</v>
      </c>
      <c r="AC119" s="41">
        <v>8860000</v>
      </c>
      <c r="AD119" s="41">
        <v>0</v>
      </c>
      <c r="AE119" s="41">
        <v>0</v>
      </c>
      <c r="AF119" s="41">
        <v>8860000</v>
      </c>
      <c r="AG119" s="41">
        <v>109598200</v>
      </c>
      <c r="AH119" s="41">
        <v>0</v>
      </c>
      <c r="AI119" s="41">
        <v>0</v>
      </c>
      <c r="AJ119" s="41">
        <v>0</v>
      </c>
      <c r="AK119" s="41">
        <v>0</v>
      </c>
      <c r="AL119" s="41">
        <v>0</v>
      </c>
      <c r="AM119" s="41">
        <v>64460069.999999993</v>
      </c>
      <c r="AN119" s="41">
        <v>14186.666666666666</v>
      </c>
      <c r="AO119" s="41">
        <v>14187</v>
      </c>
      <c r="AP119" s="40"/>
      <c r="AQ119" s="36">
        <v>45047</v>
      </c>
      <c r="AR119" s="36">
        <v>45139</v>
      </c>
      <c r="AS119" s="36"/>
      <c r="AT119" s="36">
        <v>45061</v>
      </c>
      <c r="AU119" s="36">
        <v>45153</v>
      </c>
      <c r="AV119" s="38"/>
      <c r="AW119" s="40" t="s">
        <v>75</v>
      </c>
    </row>
    <row r="120" spans="1:49" s="34" customFormat="1" ht="66" customHeight="1" x14ac:dyDescent="0.3">
      <c r="A120" s="35" t="s">
        <v>2742</v>
      </c>
      <c r="B120" s="38">
        <v>45014</v>
      </c>
      <c r="C120" s="40">
        <v>1416</v>
      </c>
      <c r="D120" s="39" t="s">
        <v>2743</v>
      </c>
      <c r="E120" s="1" t="s">
        <v>2744</v>
      </c>
      <c r="F120" s="36">
        <v>45034</v>
      </c>
      <c r="G120" s="37" t="s">
        <v>2745</v>
      </c>
      <c r="H120" s="40" t="s">
        <v>1971</v>
      </c>
      <c r="I120" s="40" t="s">
        <v>2746</v>
      </c>
      <c r="J120" s="57">
        <v>52485910</v>
      </c>
      <c r="K120" s="41">
        <v>52485910</v>
      </c>
      <c r="L120" s="30">
        <v>52485910</v>
      </c>
      <c r="M120" s="30">
        <v>52485910</v>
      </c>
      <c r="N120" s="40" t="s">
        <v>369</v>
      </c>
      <c r="O120" s="40" t="s">
        <v>2747</v>
      </c>
      <c r="P120" s="40" t="s">
        <v>190</v>
      </c>
      <c r="Q120" s="44">
        <v>0</v>
      </c>
      <c r="R120" s="37">
        <v>100</v>
      </c>
      <c r="S120" s="37" t="s">
        <v>229</v>
      </c>
      <c r="T120" s="48">
        <v>500</v>
      </c>
      <c r="U120" s="30">
        <v>12.37</v>
      </c>
      <c r="V120" s="41">
        <v>6185</v>
      </c>
      <c r="W120" s="41">
        <v>4243000</v>
      </c>
      <c r="X120" s="41">
        <v>2620000</v>
      </c>
      <c r="Y120" s="41">
        <v>2620000</v>
      </c>
      <c r="Z120" s="41">
        <v>32409399.999999996</v>
      </c>
      <c r="AA120" s="41">
        <v>0</v>
      </c>
      <c r="AB120" s="41">
        <v>0</v>
      </c>
      <c r="AC120" s="41">
        <v>1623000</v>
      </c>
      <c r="AD120" s="41">
        <v>0</v>
      </c>
      <c r="AE120" s="41">
        <v>0</v>
      </c>
      <c r="AF120" s="41">
        <v>1623000</v>
      </c>
      <c r="AG120" s="41">
        <v>20076510</v>
      </c>
      <c r="AH120" s="41">
        <v>0</v>
      </c>
      <c r="AI120" s="41">
        <v>0</v>
      </c>
      <c r="AJ120" s="41">
        <v>0</v>
      </c>
      <c r="AK120" s="41">
        <v>0</v>
      </c>
      <c r="AL120" s="41">
        <v>0</v>
      </c>
      <c r="AM120" s="41">
        <v>32409399.999999996</v>
      </c>
      <c r="AN120" s="41">
        <v>8486</v>
      </c>
      <c r="AO120" s="41">
        <v>8486</v>
      </c>
      <c r="AP120" s="40"/>
      <c r="AQ120" s="36">
        <v>45061</v>
      </c>
      <c r="AR120" s="36">
        <v>45139</v>
      </c>
      <c r="AS120" s="36"/>
      <c r="AT120" s="36">
        <v>45076</v>
      </c>
      <c r="AU120" s="36">
        <v>45153</v>
      </c>
      <c r="AV120" s="38"/>
      <c r="AW120" s="40" t="s">
        <v>75</v>
      </c>
    </row>
    <row r="121" spans="1:49" s="34" customFormat="1" ht="66" customHeight="1" x14ac:dyDescent="0.3">
      <c r="A121" s="35" t="s">
        <v>2755</v>
      </c>
      <c r="B121" s="38">
        <v>45015</v>
      </c>
      <c r="C121" s="40">
        <v>1416</v>
      </c>
      <c r="D121" s="39" t="s">
        <v>2756</v>
      </c>
      <c r="E121" s="1" t="s">
        <v>2757</v>
      </c>
      <c r="F121" s="36">
        <v>45037</v>
      </c>
      <c r="G121" s="37" t="s">
        <v>2758</v>
      </c>
      <c r="H121" s="40" t="s">
        <v>186</v>
      </c>
      <c r="I121" s="40" t="s">
        <v>2759</v>
      </c>
      <c r="J121" s="57">
        <v>20021425</v>
      </c>
      <c r="K121" s="41">
        <v>20021425</v>
      </c>
      <c r="L121" s="30">
        <v>20021425</v>
      </c>
      <c r="M121" s="30">
        <v>20021425</v>
      </c>
      <c r="N121" s="40" t="s">
        <v>671</v>
      </c>
      <c r="O121" s="40" t="s">
        <v>2760</v>
      </c>
      <c r="P121" s="40" t="s">
        <v>47</v>
      </c>
      <c r="Q121" s="44">
        <v>100</v>
      </c>
      <c r="R121" s="37">
        <v>0</v>
      </c>
      <c r="S121" s="37" t="s">
        <v>229</v>
      </c>
      <c r="T121" s="48">
        <v>500</v>
      </c>
      <c r="U121" s="30">
        <v>7.85</v>
      </c>
      <c r="V121" s="41">
        <v>3925</v>
      </c>
      <c r="W121" s="41">
        <v>2550500</v>
      </c>
      <c r="X121" s="41">
        <v>2550500</v>
      </c>
      <c r="Y121" s="41">
        <v>461000</v>
      </c>
      <c r="Z121" s="41">
        <v>3618850</v>
      </c>
      <c r="AA121" s="41">
        <v>2089500</v>
      </c>
      <c r="AB121" s="41">
        <v>16402575</v>
      </c>
      <c r="AC121" s="41">
        <v>0</v>
      </c>
      <c r="AD121" s="41">
        <v>0</v>
      </c>
      <c r="AE121" s="41">
        <v>0</v>
      </c>
      <c r="AF121" s="41">
        <v>0</v>
      </c>
      <c r="AG121" s="41">
        <v>0</v>
      </c>
      <c r="AH121" s="41">
        <v>0</v>
      </c>
      <c r="AI121" s="41">
        <v>0</v>
      </c>
      <c r="AJ121" s="41">
        <v>0</v>
      </c>
      <c r="AK121" s="41">
        <v>0</v>
      </c>
      <c r="AL121" s="41">
        <v>0</v>
      </c>
      <c r="AM121" s="41">
        <v>3618850</v>
      </c>
      <c r="AN121" s="41">
        <v>5101</v>
      </c>
      <c r="AO121" s="41">
        <v>5101</v>
      </c>
      <c r="AP121" s="40"/>
      <c r="AQ121" s="36">
        <v>45097</v>
      </c>
      <c r="AR121" s="36"/>
      <c r="AS121" s="36"/>
      <c r="AT121" s="36">
        <v>45112</v>
      </c>
      <c r="AU121" s="36"/>
      <c r="AV121" s="38"/>
      <c r="AW121" s="40" t="s">
        <v>87</v>
      </c>
    </row>
    <row r="122" spans="1:49" s="34" customFormat="1" ht="66" customHeight="1" x14ac:dyDescent="0.3">
      <c r="A122" s="35" t="s">
        <v>2761</v>
      </c>
      <c r="B122" s="38">
        <v>45015</v>
      </c>
      <c r="C122" s="40">
        <v>1416</v>
      </c>
      <c r="D122" s="39" t="s">
        <v>2762</v>
      </c>
      <c r="E122" s="1" t="s">
        <v>2763</v>
      </c>
      <c r="F122" s="36">
        <v>45048</v>
      </c>
      <c r="G122" s="35" t="s">
        <v>2764</v>
      </c>
      <c r="H122" s="40" t="s">
        <v>802</v>
      </c>
      <c r="I122" s="40" t="s">
        <v>2765</v>
      </c>
      <c r="J122" s="57">
        <v>390714544.80000001</v>
      </c>
      <c r="K122" s="41">
        <v>390714544.80000001</v>
      </c>
      <c r="L122" s="30">
        <v>390714544.80000001</v>
      </c>
      <c r="M122" s="30">
        <v>390714544.80000001</v>
      </c>
      <c r="N122" s="40" t="s">
        <v>804</v>
      </c>
      <c r="O122" s="40" t="s">
        <v>805</v>
      </c>
      <c r="P122" s="40" t="s">
        <v>218</v>
      </c>
      <c r="Q122" s="44">
        <v>100</v>
      </c>
      <c r="R122" s="37">
        <v>0</v>
      </c>
      <c r="S122" s="37" t="s">
        <v>219</v>
      </c>
      <c r="T122" s="48">
        <v>5</v>
      </c>
      <c r="U122" s="30">
        <v>7950.2400000000007</v>
      </c>
      <c r="V122" s="41">
        <v>39751.200000000004</v>
      </c>
      <c r="W122" s="41">
        <v>49145</v>
      </c>
      <c r="X122" s="41">
        <v>46585</v>
      </c>
      <c r="Y122" s="41">
        <v>26440</v>
      </c>
      <c r="Z122" s="41">
        <v>210204345.60000002</v>
      </c>
      <c r="AA122" s="41">
        <v>20145</v>
      </c>
      <c r="AB122" s="41">
        <v>160157584.80000001</v>
      </c>
      <c r="AC122" s="41">
        <v>2560</v>
      </c>
      <c r="AD122" s="41">
        <v>1445</v>
      </c>
      <c r="AE122" s="41">
        <v>11488096.800000001</v>
      </c>
      <c r="AF122" s="41">
        <v>1115</v>
      </c>
      <c r="AG122" s="41">
        <v>8864517.6000000015</v>
      </c>
      <c r="AH122" s="41">
        <v>0</v>
      </c>
      <c r="AI122" s="41">
        <v>0</v>
      </c>
      <c r="AJ122" s="41">
        <v>0</v>
      </c>
      <c r="AK122" s="41">
        <v>0</v>
      </c>
      <c r="AL122" s="41">
        <v>0</v>
      </c>
      <c r="AM122" s="41">
        <v>221692442.40000004</v>
      </c>
      <c r="AN122" s="41">
        <v>9829</v>
      </c>
      <c r="AO122" s="41">
        <v>9829</v>
      </c>
      <c r="AP122" s="40"/>
      <c r="AQ122" s="36">
        <v>45077</v>
      </c>
      <c r="AR122" s="36">
        <v>45153</v>
      </c>
      <c r="AS122" s="36"/>
      <c r="AT122" s="36">
        <v>45092</v>
      </c>
      <c r="AU122" s="36">
        <v>45168</v>
      </c>
      <c r="AV122" s="38"/>
      <c r="AW122" s="40" t="s">
        <v>75</v>
      </c>
    </row>
    <row r="123" spans="1:49" s="34" customFormat="1" ht="66" customHeight="1" x14ac:dyDescent="0.3">
      <c r="A123" s="35" t="s">
        <v>2777</v>
      </c>
      <c r="B123" s="38">
        <v>45027</v>
      </c>
      <c r="C123" s="40">
        <v>1416</v>
      </c>
      <c r="D123" s="39" t="s">
        <v>2778</v>
      </c>
      <c r="E123" s="1" t="s">
        <v>2779</v>
      </c>
      <c r="F123" s="36">
        <v>45058</v>
      </c>
      <c r="G123" s="37" t="s">
        <v>2780</v>
      </c>
      <c r="H123" s="40" t="s">
        <v>224</v>
      </c>
      <c r="I123" s="40" t="s">
        <v>2781</v>
      </c>
      <c r="J123" s="57">
        <v>645944782.20000005</v>
      </c>
      <c r="K123" s="41">
        <v>645944782.20000005</v>
      </c>
      <c r="L123" s="30">
        <v>645944782.20000005</v>
      </c>
      <c r="M123" s="30">
        <v>645944782.20000005</v>
      </c>
      <c r="N123" s="40" t="s">
        <v>2782</v>
      </c>
      <c r="O123" s="40" t="s">
        <v>2783</v>
      </c>
      <c r="P123" s="40" t="s">
        <v>218</v>
      </c>
      <c r="Q123" s="44">
        <v>0</v>
      </c>
      <c r="R123" s="37">
        <v>100</v>
      </c>
      <c r="S123" s="37" t="s">
        <v>219</v>
      </c>
      <c r="T123" s="48">
        <v>5</v>
      </c>
      <c r="U123" s="30">
        <v>18607.080000000002</v>
      </c>
      <c r="V123" s="41">
        <v>93035.400000000009</v>
      </c>
      <c r="W123" s="41">
        <v>34715</v>
      </c>
      <c r="X123" s="41">
        <v>34715</v>
      </c>
      <c r="Y123" s="41">
        <v>12660</v>
      </c>
      <c r="Z123" s="41">
        <v>235565632.80000001</v>
      </c>
      <c r="AA123" s="41">
        <v>22055</v>
      </c>
      <c r="AB123" s="41">
        <v>410379149.40000004</v>
      </c>
      <c r="AC123" s="41">
        <v>0</v>
      </c>
      <c r="AD123" s="41">
        <v>0</v>
      </c>
      <c r="AE123" s="41">
        <v>0</v>
      </c>
      <c r="AF123" s="41">
        <v>0</v>
      </c>
      <c r="AG123" s="41">
        <v>0</v>
      </c>
      <c r="AH123" s="41">
        <v>0</v>
      </c>
      <c r="AI123" s="41">
        <v>0</v>
      </c>
      <c r="AJ123" s="41">
        <v>0</v>
      </c>
      <c r="AK123" s="41">
        <v>0</v>
      </c>
      <c r="AL123" s="41">
        <v>0</v>
      </c>
      <c r="AM123" s="41">
        <v>235565632.80000001</v>
      </c>
      <c r="AN123" s="41">
        <v>6943</v>
      </c>
      <c r="AO123" s="41">
        <v>6943</v>
      </c>
      <c r="AP123" s="40"/>
      <c r="AQ123" s="36">
        <v>45184</v>
      </c>
      <c r="AR123" s="36"/>
      <c r="AS123" s="36"/>
      <c r="AT123" s="36">
        <v>45200</v>
      </c>
      <c r="AU123" s="36"/>
      <c r="AV123" s="38"/>
      <c r="AW123" s="40" t="s">
        <v>49</v>
      </c>
    </row>
    <row r="124" spans="1:49" s="34" customFormat="1" ht="66" customHeight="1" x14ac:dyDescent="0.3">
      <c r="A124" s="35" t="s">
        <v>2795</v>
      </c>
      <c r="B124" s="38">
        <v>45028</v>
      </c>
      <c r="C124" s="40">
        <v>1416</v>
      </c>
      <c r="D124" s="39" t="s">
        <v>2796</v>
      </c>
      <c r="E124" s="1" t="s">
        <v>2797</v>
      </c>
      <c r="F124" s="36">
        <v>45049</v>
      </c>
      <c r="G124" s="37" t="s">
        <v>2798</v>
      </c>
      <c r="H124" s="40" t="s">
        <v>177</v>
      </c>
      <c r="I124" s="40" t="s">
        <v>1210</v>
      </c>
      <c r="J124" s="57">
        <v>94544988</v>
      </c>
      <c r="K124" s="41">
        <v>94544988</v>
      </c>
      <c r="L124" s="30">
        <v>94544988</v>
      </c>
      <c r="M124" s="30">
        <v>94544988</v>
      </c>
      <c r="N124" s="40" t="s">
        <v>1211</v>
      </c>
      <c r="O124" s="40" t="s">
        <v>2799</v>
      </c>
      <c r="P124" s="40" t="s">
        <v>1213</v>
      </c>
      <c r="Q124" s="44">
        <v>0</v>
      </c>
      <c r="R124" s="37">
        <v>100</v>
      </c>
      <c r="S124" s="37" t="s">
        <v>229</v>
      </c>
      <c r="T124" s="48">
        <v>1200</v>
      </c>
      <c r="U124" s="30">
        <v>15.01</v>
      </c>
      <c r="V124" s="41">
        <v>18012</v>
      </c>
      <c r="W124" s="41">
        <v>6298800</v>
      </c>
      <c r="X124" s="41">
        <v>6298800</v>
      </c>
      <c r="Y124" s="41">
        <v>1844400</v>
      </c>
      <c r="Z124" s="41">
        <v>27684444</v>
      </c>
      <c r="AA124" s="41">
        <v>4454400</v>
      </c>
      <c r="AB124" s="41">
        <v>66860544</v>
      </c>
      <c r="AC124" s="41">
        <v>0</v>
      </c>
      <c r="AD124" s="41">
        <v>0</v>
      </c>
      <c r="AE124" s="41">
        <v>0</v>
      </c>
      <c r="AF124" s="41">
        <v>0</v>
      </c>
      <c r="AG124" s="41">
        <v>0</v>
      </c>
      <c r="AH124" s="41">
        <v>0</v>
      </c>
      <c r="AI124" s="41">
        <v>0</v>
      </c>
      <c r="AJ124" s="41">
        <v>0</v>
      </c>
      <c r="AK124" s="41">
        <v>0</v>
      </c>
      <c r="AL124" s="41">
        <v>0</v>
      </c>
      <c r="AM124" s="41">
        <v>27684444</v>
      </c>
      <c r="AN124" s="41">
        <v>5249</v>
      </c>
      <c r="AO124" s="41">
        <v>5249</v>
      </c>
      <c r="AP124" s="40"/>
      <c r="AQ124" s="36">
        <v>45092</v>
      </c>
      <c r="AR124" s="36"/>
      <c r="AS124" s="36"/>
      <c r="AT124" s="36">
        <v>45107</v>
      </c>
      <c r="AU124" s="36"/>
      <c r="AV124" s="38"/>
      <c r="AW124" s="40" t="s">
        <v>87</v>
      </c>
    </row>
    <row r="125" spans="1:49" s="34" customFormat="1" ht="66" customHeight="1" x14ac:dyDescent="0.3">
      <c r="A125" s="35" t="s">
        <v>2800</v>
      </c>
      <c r="B125" s="38">
        <v>45028</v>
      </c>
      <c r="C125" s="40">
        <v>1416</v>
      </c>
      <c r="D125" s="39" t="s">
        <v>2801</v>
      </c>
      <c r="E125" s="1" t="s">
        <v>2802</v>
      </c>
      <c r="F125" s="36">
        <v>45048</v>
      </c>
      <c r="G125" s="37" t="s">
        <v>2803</v>
      </c>
      <c r="H125" s="40" t="s">
        <v>224</v>
      </c>
      <c r="I125" s="40" t="s">
        <v>2804</v>
      </c>
      <c r="J125" s="57">
        <v>4276800</v>
      </c>
      <c r="K125" s="41">
        <v>4062960</v>
      </c>
      <c r="L125" s="30">
        <v>4062960</v>
      </c>
      <c r="M125" s="30">
        <v>4062960</v>
      </c>
      <c r="N125" s="40" t="s">
        <v>2805</v>
      </c>
      <c r="O125" s="40" t="s">
        <v>2806</v>
      </c>
      <c r="P125" s="40" t="s">
        <v>1032</v>
      </c>
      <c r="Q125" s="44">
        <v>0</v>
      </c>
      <c r="R125" s="37">
        <v>100</v>
      </c>
      <c r="S125" s="37" t="s">
        <v>457</v>
      </c>
      <c r="T125" s="48">
        <v>200</v>
      </c>
      <c r="U125" s="30">
        <v>125.4</v>
      </c>
      <c r="V125" s="41">
        <v>25080</v>
      </c>
      <c r="W125" s="41">
        <v>32400</v>
      </c>
      <c r="X125" s="41">
        <v>32400</v>
      </c>
      <c r="Y125" s="41">
        <v>19200</v>
      </c>
      <c r="Z125" s="41">
        <v>2407680</v>
      </c>
      <c r="AA125" s="41">
        <v>13200</v>
      </c>
      <c r="AB125" s="41">
        <v>1655280</v>
      </c>
      <c r="AC125" s="41">
        <v>0</v>
      </c>
      <c r="AD125" s="41">
        <v>0</v>
      </c>
      <c r="AE125" s="41">
        <v>0</v>
      </c>
      <c r="AF125" s="41">
        <v>0</v>
      </c>
      <c r="AG125" s="41">
        <v>0</v>
      </c>
      <c r="AH125" s="41">
        <v>0</v>
      </c>
      <c r="AI125" s="41">
        <v>0</v>
      </c>
      <c r="AJ125" s="41">
        <v>0</v>
      </c>
      <c r="AK125" s="41">
        <v>0</v>
      </c>
      <c r="AL125" s="41">
        <v>0</v>
      </c>
      <c r="AM125" s="41">
        <v>2407680</v>
      </c>
      <c r="AN125" s="41">
        <v>162</v>
      </c>
      <c r="AO125" s="41">
        <v>162</v>
      </c>
      <c r="AP125" s="40"/>
      <c r="AQ125" s="36">
        <v>45078</v>
      </c>
      <c r="AR125" s="36"/>
      <c r="AS125" s="36"/>
      <c r="AT125" s="36">
        <v>45092</v>
      </c>
      <c r="AU125" s="36"/>
      <c r="AV125" s="38"/>
      <c r="AW125" s="40" t="s">
        <v>87</v>
      </c>
    </row>
    <row r="126" spans="1:49" s="34" customFormat="1" ht="66" customHeight="1" x14ac:dyDescent="0.3">
      <c r="A126" s="35" t="s">
        <v>2807</v>
      </c>
      <c r="B126" s="38">
        <v>45028</v>
      </c>
      <c r="C126" s="40">
        <v>1416</v>
      </c>
      <c r="D126" s="39" t="s">
        <v>2808</v>
      </c>
      <c r="E126" s="1" t="s">
        <v>2809</v>
      </c>
      <c r="F126" s="36">
        <v>45065</v>
      </c>
      <c r="G126" s="37" t="s">
        <v>2810</v>
      </c>
      <c r="H126" s="40" t="s">
        <v>186</v>
      </c>
      <c r="I126" s="40" t="s">
        <v>811</v>
      </c>
      <c r="J126" s="57">
        <v>1538921058.5999999</v>
      </c>
      <c r="K126" s="41">
        <v>1538921058.5999999</v>
      </c>
      <c r="L126" s="30">
        <v>1538921058.5999999</v>
      </c>
      <c r="M126" s="30">
        <v>1538921058.5999999</v>
      </c>
      <c r="N126" s="40" t="s">
        <v>812</v>
      </c>
      <c r="O126" s="40" t="s">
        <v>2811</v>
      </c>
      <c r="P126" s="40" t="s">
        <v>47</v>
      </c>
      <c r="Q126" s="44">
        <v>100</v>
      </c>
      <c r="R126" s="37">
        <v>0</v>
      </c>
      <c r="S126" s="37" t="s">
        <v>219</v>
      </c>
      <c r="T126" s="48">
        <v>30</v>
      </c>
      <c r="U126" s="30">
        <v>9102.81</v>
      </c>
      <c r="V126" s="41">
        <v>273084.3</v>
      </c>
      <c r="W126" s="41">
        <v>169060</v>
      </c>
      <c r="X126" s="41">
        <v>84900</v>
      </c>
      <c r="Y126" s="41">
        <v>43140</v>
      </c>
      <c r="Z126" s="41">
        <v>392695223.39999998</v>
      </c>
      <c r="AA126" s="41">
        <v>41760</v>
      </c>
      <c r="AB126" s="41">
        <v>380133345.59999996</v>
      </c>
      <c r="AC126" s="41">
        <v>84160</v>
      </c>
      <c r="AD126" s="41">
        <v>42750</v>
      </c>
      <c r="AE126" s="41">
        <v>389145127.5</v>
      </c>
      <c r="AF126" s="41">
        <v>41410</v>
      </c>
      <c r="AG126" s="41">
        <v>376947362.09999996</v>
      </c>
      <c r="AH126" s="41">
        <v>0</v>
      </c>
      <c r="AI126" s="41">
        <v>0</v>
      </c>
      <c r="AJ126" s="41">
        <v>0</v>
      </c>
      <c r="AK126" s="41">
        <v>0</v>
      </c>
      <c r="AL126" s="41">
        <v>0</v>
      </c>
      <c r="AM126" s="41">
        <v>781840350.89999998</v>
      </c>
      <c r="AN126" s="41">
        <v>5635.333333333333</v>
      </c>
      <c r="AO126" s="41">
        <v>5636</v>
      </c>
      <c r="AP126" s="40"/>
      <c r="AQ126" s="36">
        <v>45092</v>
      </c>
      <c r="AR126" s="36">
        <v>45200</v>
      </c>
      <c r="AS126" s="36"/>
      <c r="AT126" s="36">
        <v>45107</v>
      </c>
      <c r="AU126" s="36">
        <v>45214</v>
      </c>
      <c r="AV126" s="38"/>
      <c r="AW126" s="40" t="s">
        <v>75</v>
      </c>
    </row>
    <row r="127" spans="1:49" s="34" customFormat="1" ht="66" customHeight="1" x14ac:dyDescent="0.3">
      <c r="A127" s="35" t="s">
        <v>2812</v>
      </c>
      <c r="B127" s="38">
        <v>45028</v>
      </c>
      <c r="C127" s="40">
        <v>1416</v>
      </c>
      <c r="D127" s="39" t="s">
        <v>2813</v>
      </c>
      <c r="E127" s="1" t="s">
        <v>2814</v>
      </c>
      <c r="F127" s="36">
        <v>45049</v>
      </c>
      <c r="G127" s="37" t="s">
        <v>2815</v>
      </c>
      <c r="H127" s="40" t="s">
        <v>177</v>
      </c>
      <c r="I127" s="40" t="s">
        <v>2816</v>
      </c>
      <c r="J127" s="57">
        <v>331588</v>
      </c>
      <c r="K127" s="41">
        <v>331588</v>
      </c>
      <c r="L127" s="30">
        <v>331588</v>
      </c>
      <c r="M127" s="30">
        <v>331588</v>
      </c>
      <c r="N127" s="40" t="s">
        <v>528</v>
      </c>
      <c r="O127" s="40" t="s">
        <v>2817</v>
      </c>
      <c r="P127" s="40" t="s">
        <v>636</v>
      </c>
      <c r="Q127" s="44">
        <v>0</v>
      </c>
      <c r="R127" s="37">
        <v>100</v>
      </c>
      <c r="S127" s="37" t="s">
        <v>584</v>
      </c>
      <c r="T127" s="48">
        <v>40</v>
      </c>
      <c r="U127" s="30">
        <v>218.15</v>
      </c>
      <c r="V127" s="41">
        <v>8726</v>
      </c>
      <c r="W127" s="41">
        <v>1520</v>
      </c>
      <c r="X127" s="41">
        <v>1520</v>
      </c>
      <c r="Y127" s="41">
        <v>1520</v>
      </c>
      <c r="Z127" s="41">
        <v>331588</v>
      </c>
      <c r="AA127" s="41">
        <v>0</v>
      </c>
      <c r="AB127" s="41">
        <v>0</v>
      </c>
      <c r="AC127" s="41">
        <v>0</v>
      </c>
      <c r="AD127" s="41">
        <v>0</v>
      </c>
      <c r="AE127" s="41">
        <v>0</v>
      </c>
      <c r="AF127" s="41">
        <v>0</v>
      </c>
      <c r="AG127" s="41">
        <v>0</v>
      </c>
      <c r="AH127" s="41">
        <v>0</v>
      </c>
      <c r="AI127" s="41">
        <v>0</v>
      </c>
      <c r="AJ127" s="41">
        <v>0</v>
      </c>
      <c r="AK127" s="41">
        <v>0</v>
      </c>
      <c r="AL127" s="41">
        <v>0</v>
      </c>
      <c r="AM127" s="41">
        <v>331588</v>
      </c>
      <c r="AN127" s="41">
        <v>38</v>
      </c>
      <c r="AO127" s="41">
        <v>38</v>
      </c>
      <c r="AP127" s="40"/>
      <c r="AQ127" s="36">
        <v>45092</v>
      </c>
      <c r="AR127" s="36"/>
      <c r="AS127" s="36"/>
      <c r="AT127" s="36">
        <v>45107</v>
      </c>
      <c r="AU127" s="36"/>
      <c r="AV127" s="38"/>
      <c r="AW127" s="40" t="s">
        <v>87</v>
      </c>
    </row>
    <row r="128" spans="1:49" s="34" customFormat="1" ht="87" customHeight="1" x14ac:dyDescent="0.3">
      <c r="A128" s="35" t="s">
        <v>2818</v>
      </c>
      <c r="B128" s="38">
        <v>45028</v>
      </c>
      <c r="C128" s="40">
        <v>1416</v>
      </c>
      <c r="D128" s="39" t="s">
        <v>2819</v>
      </c>
      <c r="E128" s="1" t="s">
        <v>2820</v>
      </c>
      <c r="F128" s="36">
        <v>45049</v>
      </c>
      <c r="G128" s="37" t="s">
        <v>2821</v>
      </c>
      <c r="H128" s="40" t="s">
        <v>224</v>
      </c>
      <c r="I128" s="40" t="s">
        <v>2822</v>
      </c>
      <c r="J128" s="57">
        <v>227892192</v>
      </c>
      <c r="K128" s="41">
        <v>227892192</v>
      </c>
      <c r="L128" s="30">
        <v>227892192</v>
      </c>
      <c r="M128" s="30">
        <v>227892192</v>
      </c>
      <c r="N128" s="40" t="s">
        <v>831</v>
      </c>
      <c r="O128" s="40" t="s">
        <v>2823</v>
      </c>
      <c r="P128" s="40" t="s">
        <v>263</v>
      </c>
      <c r="Q128" s="44">
        <v>0</v>
      </c>
      <c r="R128" s="37">
        <v>100</v>
      </c>
      <c r="S128" s="37" t="s">
        <v>229</v>
      </c>
      <c r="T128" s="48">
        <v>400</v>
      </c>
      <c r="U128" s="30">
        <v>29.48</v>
      </c>
      <c r="V128" s="41">
        <v>11792</v>
      </c>
      <c r="W128" s="41">
        <v>7730400</v>
      </c>
      <c r="X128" s="41">
        <v>7730400</v>
      </c>
      <c r="Y128" s="41">
        <v>2996800</v>
      </c>
      <c r="Z128" s="41">
        <v>88345664</v>
      </c>
      <c r="AA128" s="41">
        <v>4733600</v>
      </c>
      <c r="AB128" s="41">
        <v>139546528</v>
      </c>
      <c r="AC128" s="41">
        <v>0</v>
      </c>
      <c r="AD128" s="41">
        <v>0</v>
      </c>
      <c r="AE128" s="41">
        <v>0</v>
      </c>
      <c r="AF128" s="41">
        <v>0</v>
      </c>
      <c r="AG128" s="41">
        <v>0</v>
      </c>
      <c r="AH128" s="41">
        <v>0</v>
      </c>
      <c r="AI128" s="41">
        <v>0</v>
      </c>
      <c r="AJ128" s="41">
        <v>0</v>
      </c>
      <c r="AK128" s="41">
        <v>0</v>
      </c>
      <c r="AL128" s="41">
        <v>0</v>
      </c>
      <c r="AM128" s="41">
        <v>88345664</v>
      </c>
      <c r="AN128" s="41">
        <v>19326</v>
      </c>
      <c r="AO128" s="41">
        <v>19326</v>
      </c>
      <c r="AP128" s="40"/>
      <c r="AQ128" s="36">
        <v>45092</v>
      </c>
      <c r="AR128" s="36"/>
      <c r="AS128" s="36"/>
      <c r="AT128" s="36">
        <v>45107</v>
      </c>
      <c r="AU128" s="36"/>
      <c r="AV128" s="38"/>
      <c r="AW128" s="40" t="s">
        <v>87</v>
      </c>
    </row>
    <row r="129" spans="1:49" s="34" customFormat="1" ht="87" customHeight="1" x14ac:dyDescent="0.3">
      <c r="A129" s="35" t="s">
        <v>2824</v>
      </c>
      <c r="B129" s="38">
        <v>45029</v>
      </c>
      <c r="C129" s="40">
        <v>1416</v>
      </c>
      <c r="D129" s="39" t="s">
        <v>2825</v>
      </c>
      <c r="E129" s="1" t="s">
        <v>2826</v>
      </c>
      <c r="F129" s="36">
        <v>45051</v>
      </c>
      <c r="G129" s="37" t="s">
        <v>2827</v>
      </c>
      <c r="H129" s="40" t="s">
        <v>571</v>
      </c>
      <c r="I129" s="40" t="s">
        <v>2828</v>
      </c>
      <c r="J129" s="57">
        <v>25266351.600000001</v>
      </c>
      <c r="K129" s="41">
        <v>25266351.600000001</v>
      </c>
      <c r="L129" s="30">
        <v>25266351.600000001</v>
      </c>
      <c r="M129" s="30">
        <v>25266351.600000001</v>
      </c>
      <c r="N129" s="40" t="s">
        <v>2829</v>
      </c>
      <c r="O129" s="40" t="s">
        <v>2830</v>
      </c>
      <c r="P129" s="40" t="s">
        <v>47</v>
      </c>
      <c r="Q129" s="44">
        <v>100</v>
      </c>
      <c r="R129" s="37">
        <v>0</v>
      </c>
      <c r="S129" s="37" t="s">
        <v>1964</v>
      </c>
      <c r="T129" s="48">
        <v>20</v>
      </c>
      <c r="U129" s="30">
        <v>431.24</v>
      </c>
      <c r="V129" s="41">
        <v>8624.7999999999993</v>
      </c>
      <c r="W129" s="41">
        <v>58590</v>
      </c>
      <c r="X129" s="41">
        <v>58590</v>
      </c>
      <c r="Y129" s="41">
        <v>0</v>
      </c>
      <c r="Z129" s="41">
        <v>0</v>
      </c>
      <c r="AA129" s="41">
        <v>58590</v>
      </c>
      <c r="AB129" s="41">
        <v>25266351.600000001</v>
      </c>
      <c r="AC129" s="41">
        <v>0</v>
      </c>
      <c r="AD129" s="41">
        <v>0</v>
      </c>
      <c r="AE129" s="41">
        <v>0</v>
      </c>
      <c r="AF129" s="41">
        <v>0</v>
      </c>
      <c r="AG129" s="41">
        <v>0</v>
      </c>
      <c r="AH129" s="41">
        <v>0</v>
      </c>
      <c r="AI129" s="41">
        <v>0</v>
      </c>
      <c r="AJ129" s="41">
        <v>0</v>
      </c>
      <c r="AK129" s="41">
        <v>0</v>
      </c>
      <c r="AL129" s="41">
        <v>0</v>
      </c>
      <c r="AM129" s="41">
        <v>0</v>
      </c>
      <c r="AN129" s="41">
        <v>2929.5</v>
      </c>
      <c r="AO129" s="41">
        <v>2930</v>
      </c>
      <c r="AP129" s="40"/>
      <c r="AQ129" s="36">
        <v>45107</v>
      </c>
      <c r="AR129" s="36"/>
      <c r="AS129" s="36"/>
      <c r="AT129" s="36">
        <v>45122</v>
      </c>
      <c r="AU129" s="36"/>
      <c r="AV129" s="38"/>
      <c r="AW129" s="40" t="s">
        <v>87</v>
      </c>
    </row>
    <row r="130" spans="1:49" s="34" customFormat="1" ht="87" customHeight="1" x14ac:dyDescent="0.3">
      <c r="A130" s="35" t="s">
        <v>2831</v>
      </c>
      <c r="B130" s="38">
        <v>45029</v>
      </c>
      <c r="C130" s="40">
        <v>1416</v>
      </c>
      <c r="D130" s="39" t="s">
        <v>2832</v>
      </c>
      <c r="E130" s="1" t="s">
        <v>2833</v>
      </c>
      <c r="F130" s="36">
        <v>45049</v>
      </c>
      <c r="G130" s="37" t="s">
        <v>2834</v>
      </c>
      <c r="H130" s="40" t="s">
        <v>685</v>
      </c>
      <c r="I130" s="40" t="s">
        <v>686</v>
      </c>
      <c r="J130" s="57">
        <v>21754308</v>
      </c>
      <c r="K130" s="41">
        <v>21644020</v>
      </c>
      <c r="L130" s="30">
        <v>23697580</v>
      </c>
      <c r="M130" s="30">
        <v>23697580</v>
      </c>
      <c r="N130" s="40" t="s">
        <v>2835</v>
      </c>
      <c r="O130" s="40" t="s">
        <v>2836</v>
      </c>
      <c r="P130" s="40" t="s">
        <v>47</v>
      </c>
      <c r="Q130" s="44">
        <v>100</v>
      </c>
      <c r="R130" s="37">
        <v>0</v>
      </c>
      <c r="S130" s="37" t="s">
        <v>1964</v>
      </c>
      <c r="T130" s="54" t="s">
        <v>2837</v>
      </c>
      <c r="U130" s="30">
        <v>15.7</v>
      </c>
      <c r="V130" s="41" t="e">
        <v>#VALUE!</v>
      </c>
      <c r="W130" s="41">
        <v>1509400</v>
      </c>
      <c r="X130" s="41">
        <v>600050</v>
      </c>
      <c r="Y130" s="41">
        <v>128350</v>
      </c>
      <c r="Z130" s="41">
        <v>2015095</v>
      </c>
      <c r="AA130" s="41">
        <v>471700</v>
      </c>
      <c r="AB130" s="41">
        <v>7405690</v>
      </c>
      <c r="AC130" s="41">
        <v>909350</v>
      </c>
      <c r="AD130" s="41">
        <v>297850</v>
      </c>
      <c r="AE130" s="41">
        <v>4676245</v>
      </c>
      <c r="AF130" s="41">
        <v>611500</v>
      </c>
      <c r="AG130" s="41">
        <v>9600550</v>
      </c>
      <c r="AH130" s="41">
        <v>0</v>
      </c>
      <c r="AI130" s="41">
        <v>0</v>
      </c>
      <c r="AJ130" s="41">
        <v>0</v>
      </c>
      <c r="AK130" s="41">
        <v>0</v>
      </c>
      <c r="AL130" s="41">
        <v>0</v>
      </c>
      <c r="AM130" s="41">
        <v>6691340</v>
      </c>
      <c r="AN130" s="41" t="e">
        <v>#VALUE!</v>
      </c>
      <c r="AO130" s="41" t="e">
        <v>#VALUE!</v>
      </c>
      <c r="AP130" s="40"/>
      <c r="AQ130" s="36">
        <v>45061</v>
      </c>
      <c r="AR130" s="36">
        <v>45200</v>
      </c>
      <c r="AS130" s="36"/>
      <c r="AT130" s="36">
        <v>45076</v>
      </c>
      <c r="AU130" s="36">
        <v>45214</v>
      </c>
      <c r="AV130" s="38"/>
      <c r="AW130" s="40" t="s">
        <v>75</v>
      </c>
    </row>
    <row r="131" spans="1:49" s="34" customFormat="1" ht="87" customHeight="1" x14ac:dyDescent="0.3">
      <c r="A131" s="35" t="s">
        <v>2838</v>
      </c>
      <c r="B131" s="38">
        <v>45029</v>
      </c>
      <c r="C131" s="40">
        <v>1416</v>
      </c>
      <c r="D131" s="39" t="s">
        <v>459</v>
      </c>
      <c r="E131" s="1" t="s">
        <v>2839</v>
      </c>
      <c r="F131" s="36" t="s">
        <v>459</v>
      </c>
      <c r="G131" s="37" t="s">
        <v>459</v>
      </c>
      <c r="H131" s="40" t="s">
        <v>459</v>
      </c>
      <c r="I131" s="40" t="s">
        <v>2840</v>
      </c>
      <c r="J131" s="57">
        <v>6360454.7999999998</v>
      </c>
      <c r="K131" s="41">
        <v>0</v>
      </c>
      <c r="L131" s="30">
        <v>0</v>
      </c>
      <c r="M131" s="30">
        <v>0</v>
      </c>
      <c r="N131" s="40"/>
      <c r="O131" s="40"/>
      <c r="P131" s="40"/>
      <c r="Q131" s="44"/>
      <c r="R131" s="37"/>
      <c r="S131" s="37"/>
      <c r="T131" s="48"/>
      <c r="U131" s="30" t="e">
        <v>#DIV/0!</v>
      </c>
      <c r="V131" s="41" t="e">
        <v>#DIV/0!</v>
      </c>
      <c r="W131" s="41">
        <v>0</v>
      </c>
      <c r="X131" s="41">
        <v>0</v>
      </c>
      <c r="Y131" s="41">
        <v>0</v>
      </c>
      <c r="Z131" s="41">
        <v>0</v>
      </c>
      <c r="AA131" s="41">
        <v>0</v>
      </c>
      <c r="AB131" s="41">
        <v>0</v>
      </c>
      <c r="AC131" s="41">
        <v>0</v>
      </c>
      <c r="AD131" s="41">
        <v>0</v>
      </c>
      <c r="AE131" s="41">
        <v>0</v>
      </c>
      <c r="AF131" s="41">
        <v>0</v>
      </c>
      <c r="AG131" s="41">
        <v>0</v>
      </c>
      <c r="AH131" s="41">
        <v>0</v>
      </c>
      <c r="AI131" s="41">
        <v>0</v>
      </c>
      <c r="AJ131" s="41">
        <v>0</v>
      </c>
      <c r="AK131" s="41">
        <v>0</v>
      </c>
      <c r="AL131" s="41">
        <v>0</v>
      </c>
      <c r="AM131" s="41">
        <v>0</v>
      </c>
      <c r="AN131" s="41" t="e">
        <v>#DIV/0!</v>
      </c>
      <c r="AO131" s="41" t="e">
        <v>#DIV/0!</v>
      </c>
      <c r="AP131" s="40"/>
      <c r="AQ131" s="36">
        <v>45200</v>
      </c>
      <c r="AR131" s="36"/>
      <c r="AS131" s="36"/>
      <c r="AT131" s="36"/>
      <c r="AU131" s="36"/>
      <c r="AV131" s="38"/>
      <c r="AW131" s="40"/>
    </row>
    <row r="132" spans="1:49" s="34" customFormat="1" ht="87" customHeight="1" x14ac:dyDescent="0.3">
      <c r="A132" s="35" t="s">
        <v>2841</v>
      </c>
      <c r="B132" s="38">
        <v>45029</v>
      </c>
      <c r="C132" s="40">
        <v>1416</v>
      </c>
      <c r="D132" s="39" t="s">
        <v>2842</v>
      </c>
      <c r="E132" s="1" t="s">
        <v>2843</v>
      </c>
      <c r="F132" s="36">
        <v>45049</v>
      </c>
      <c r="G132" s="37" t="s">
        <v>2844</v>
      </c>
      <c r="H132" s="40" t="s">
        <v>186</v>
      </c>
      <c r="I132" s="40" t="s">
        <v>2845</v>
      </c>
      <c r="J132" s="57">
        <v>6717529.5</v>
      </c>
      <c r="K132" s="41">
        <v>6717529.5</v>
      </c>
      <c r="L132" s="30">
        <v>6717529.5</v>
      </c>
      <c r="M132" s="30">
        <v>6717529.5</v>
      </c>
      <c r="N132" s="40" t="s">
        <v>2846</v>
      </c>
      <c r="O132" s="40" t="s">
        <v>2847</v>
      </c>
      <c r="P132" s="40" t="s">
        <v>218</v>
      </c>
      <c r="Q132" s="44">
        <v>0</v>
      </c>
      <c r="R132" s="37">
        <v>100</v>
      </c>
      <c r="S132" s="37" t="s">
        <v>1964</v>
      </c>
      <c r="T132" s="48">
        <v>1</v>
      </c>
      <c r="U132" s="30">
        <v>14446.3</v>
      </c>
      <c r="V132" s="41">
        <v>14446.3</v>
      </c>
      <c r="W132" s="41">
        <v>465</v>
      </c>
      <c r="X132" s="41">
        <v>465</v>
      </c>
      <c r="Y132" s="41">
        <v>0</v>
      </c>
      <c r="Z132" s="41">
        <v>0</v>
      </c>
      <c r="AA132" s="41">
        <v>465</v>
      </c>
      <c r="AB132" s="41">
        <v>6717529.5</v>
      </c>
      <c r="AC132" s="41">
        <v>0</v>
      </c>
      <c r="AD132" s="41">
        <v>0</v>
      </c>
      <c r="AE132" s="41">
        <v>0</v>
      </c>
      <c r="AF132" s="41">
        <v>0</v>
      </c>
      <c r="AG132" s="41">
        <v>0</v>
      </c>
      <c r="AH132" s="41">
        <v>0</v>
      </c>
      <c r="AI132" s="41">
        <v>0</v>
      </c>
      <c r="AJ132" s="41">
        <v>0</v>
      </c>
      <c r="AK132" s="41">
        <v>0</v>
      </c>
      <c r="AL132" s="41">
        <v>0</v>
      </c>
      <c r="AM132" s="41">
        <v>0</v>
      </c>
      <c r="AN132" s="41">
        <v>465</v>
      </c>
      <c r="AO132" s="41">
        <v>465</v>
      </c>
      <c r="AP132" s="40"/>
      <c r="AQ132" s="36">
        <v>45092</v>
      </c>
      <c r="AR132" s="36"/>
      <c r="AS132" s="36"/>
      <c r="AT132" s="36">
        <v>45107</v>
      </c>
      <c r="AU132" s="36"/>
      <c r="AV132" s="38"/>
      <c r="AW132" s="40" t="s">
        <v>87</v>
      </c>
    </row>
    <row r="133" spans="1:49" s="34" customFormat="1" ht="87" customHeight="1" x14ac:dyDescent="0.3">
      <c r="A133" s="35" t="s">
        <v>2848</v>
      </c>
      <c r="B133" s="38">
        <v>45029</v>
      </c>
      <c r="C133" s="40">
        <v>1416</v>
      </c>
      <c r="D133" s="39" t="s">
        <v>2849</v>
      </c>
      <c r="E133" s="1" t="s">
        <v>2850</v>
      </c>
      <c r="F133" s="36">
        <v>45049</v>
      </c>
      <c r="G133" s="37" t="s">
        <v>2851</v>
      </c>
      <c r="H133" s="40" t="s">
        <v>887</v>
      </c>
      <c r="I133" s="40" t="s">
        <v>1041</v>
      </c>
      <c r="J133" s="57">
        <v>72656760.780000001</v>
      </c>
      <c r="K133" s="41">
        <v>71929152.900000006</v>
      </c>
      <c r="L133" s="30">
        <v>71929152.900000006</v>
      </c>
      <c r="M133" s="30">
        <v>71929152.900000006</v>
      </c>
      <c r="N133" s="40" t="s">
        <v>865</v>
      </c>
      <c r="O133" s="40" t="s">
        <v>2852</v>
      </c>
      <c r="P133" s="40" t="s">
        <v>218</v>
      </c>
      <c r="Q133" s="44">
        <v>0</v>
      </c>
      <c r="R133" s="37">
        <v>100</v>
      </c>
      <c r="S133" s="37" t="s">
        <v>219</v>
      </c>
      <c r="T133" s="41">
        <v>3.6</v>
      </c>
      <c r="U133" s="30">
        <v>16048.45</v>
      </c>
      <c r="V133" s="41">
        <v>57774.420000000006</v>
      </c>
      <c r="W133" s="41">
        <v>4482</v>
      </c>
      <c r="X133" s="41">
        <v>4482</v>
      </c>
      <c r="Y133" s="41">
        <v>2394</v>
      </c>
      <c r="Z133" s="41">
        <v>38419989.300000004</v>
      </c>
      <c r="AA133" s="41">
        <v>2088</v>
      </c>
      <c r="AB133" s="41">
        <v>33509163.600000001</v>
      </c>
      <c r="AC133" s="41">
        <v>0</v>
      </c>
      <c r="AD133" s="41">
        <v>0</v>
      </c>
      <c r="AE133" s="41">
        <v>0</v>
      </c>
      <c r="AF133" s="41">
        <v>0</v>
      </c>
      <c r="AG133" s="41">
        <v>0</v>
      </c>
      <c r="AH133" s="41">
        <v>0</v>
      </c>
      <c r="AI133" s="41">
        <v>0</v>
      </c>
      <c r="AJ133" s="41">
        <v>0</v>
      </c>
      <c r="AK133" s="41">
        <v>0</v>
      </c>
      <c r="AL133" s="41">
        <v>0</v>
      </c>
      <c r="AM133" s="41">
        <v>38419989.300000004</v>
      </c>
      <c r="AN133" s="41">
        <v>1245</v>
      </c>
      <c r="AO133" s="41">
        <v>1245</v>
      </c>
      <c r="AP133" s="40"/>
      <c r="AQ133" s="36">
        <v>45061</v>
      </c>
      <c r="AR133" s="36"/>
      <c r="AS133" s="36"/>
      <c r="AT133" s="36">
        <v>45076</v>
      </c>
      <c r="AU133" s="36"/>
      <c r="AV133" s="38"/>
      <c r="AW133" s="40" t="s">
        <v>87</v>
      </c>
    </row>
    <row r="134" spans="1:49" s="34" customFormat="1" ht="87" customHeight="1" x14ac:dyDescent="0.3">
      <c r="A134" s="35" t="s">
        <v>2853</v>
      </c>
      <c r="B134" s="38">
        <v>45029</v>
      </c>
      <c r="C134" s="40">
        <v>1416</v>
      </c>
      <c r="D134" s="39" t="s">
        <v>2854</v>
      </c>
      <c r="E134" s="1" t="s">
        <v>2855</v>
      </c>
      <c r="F134" s="36">
        <v>45068</v>
      </c>
      <c r="G134" s="37" t="s">
        <v>2856</v>
      </c>
      <c r="H134" s="40" t="s">
        <v>186</v>
      </c>
      <c r="I134" s="40" t="s">
        <v>2857</v>
      </c>
      <c r="J134" s="57">
        <v>1415167696.25</v>
      </c>
      <c r="K134" s="41">
        <v>1415167696.25</v>
      </c>
      <c r="L134" s="30">
        <v>1415167696.25</v>
      </c>
      <c r="M134" s="30">
        <v>1415167696.25</v>
      </c>
      <c r="N134" s="40" t="s">
        <v>2846</v>
      </c>
      <c r="O134" s="40" t="s">
        <v>2858</v>
      </c>
      <c r="P134" s="40" t="s">
        <v>218</v>
      </c>
      <c r="Q134" s="44">
        <v>0</v>
      </c>
      <c r="R134" s="37">
        <v>100</v>
      </c>
      <c r="S134" s="37" t="s">
        <v>219</v>
      </c>
      <c r="T134" s="48">
        <v>1</v>
      </c>
      <c r="U134" s="30">
        <v>23003.75</v>
      </c>
      <c r="V134" s="41">
        <v>23003.75</v>
      </c>
      <c r="W134" s="41">
        <v>61519</v>
      </c>
      <c r="X134" s="41">
        <v>61519</v>
      </c>
      <c r="Y134" s="41">
        <v>0</v>
      </c>
      <c r="Z134" s="41">
        <v>0</v>
      </c>
      <c r="AA134" s="41">
        <v>61519</v>
      </c>
      <c r="AB134" s="41">
        <v>1415167696.25</v>
      </c>
      <c r="AC134" s="41">
        <v>0</v>
      </c>
      <c r="AD134" s="41">
        <v>0</v>
      </c>
      <c r="AE134" s="41">
        <v>0</v>
      </c>
      <c r="AF134" s="41">
        <v>0</v>
      </c>
      <c r="AG134" s="41">
        <v>0</v>
      </c>
      <c r="AH134" s="41">
        <v>0</v>
      </c>
      <c r="AI134" s="41">
        <v>0</v>
      </c>
      <c r="AJ134" s="41">
        <v>0</v>
      </c>
      <c r="AK134" s="41">
        <v>0</v>
      </c>
      <c r="AL134" s="41">
        <v>0</v>
      </c>
      <c r="AM134" s="41"/>
      <c r="AN134" s="41">
        <v>61519</v>
      </c>
      <c r="AO134" s="41">
        <v>61519</v>
      </c>
      <c r="AP134" s="40"/>
      <c r="AQ134" s="36">
        <v>45122</v>
      </c>
      <c r="AR134" s="36"/>
      <c r="AS134" s="36"/>
      <c r="AT134" s="36">
        <v>45137</v>
      </c>
      <c r="AU134" s="36"/>
      <c r="AV134" s="38"/>
      <c r="AW134" s="40" t="s">
        <v>49</v>
      </c>
    </row>
    <row r="135" spans="1:49" s="34" customFormat="1" ht="30" customHeight="1" x14ac:dyDescent="0.3">
      <c r="A135" s="35" t="s">
        <v>2859</v>
      </c>
      <c r="B135" s="36">
        <v>45034</v>
      </c>
      <c r="C135" s="37">
        <v>1416</v>
      </c>
      <c r="D135" s="39" t="s">
        <v>459</v>
      </c>
      <c r="E135" s="1" t="s">
        <v>2860</v>
      </c>
      <c r="F135" s="36" t="s">
        <v>459</v>
      </c>
      <c r="G135" s="37" t="s">
        <v>459</v>
      </c>
      <c r="H135" s="40" t="s">
        <v>459</v>
      </c>
      <c r="I135" s="40" t="s">
        <v>2861</v>
      </c>
      <c r="J135" s="41">
        <v>114663333</v>
      </c>
      <c r="K135" s="41">
        <v>0</v>
      </c>
      <c r="L135" s="30">
        <v>0</v>
      </c>
      <c r="M135" s="30">
        <v>0</v>
      </c>
      <c r="N135" s="40"/>
      <c r="O135" s="40"/>
      <c r="P135" s="40"/>
      <c r="Q135" s="44"/>
      <c r="R135" s="37"/>
      <c r="S135" s="37"/>
      <c r="T135" s="48"/>
      <c r="U135" s="30" t="e">
        <v>#DIV/0!</v>
      </c>
      <c r="V135" s="41" t="e">
        <v>#DIV/0!</v>
      </c>
      <c r="W135" s="41">
        <v>0</v>
      </c>
      <c r="X135" s="41">
        <v>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c r="AN135" s="41" t="e">
        <v>#DIV/0!</v>
      </c>
      <c r="AO135" s="41" t="e">
        <v>#DIV/0!</v>
      </c>
      <c r="AP135" s="40"/>
      <c r="AQ135" s="36">
        <v>45170</v>
      </c>
      <c r="AR135" s="36">
        <v>45260</v>
      </c>
      <c r="AS135" s="36"/>
      <c r="AT135" s="36"/>
      <c r="AU135" s="36"/>
      <c r="AV135" s="38"/>
      <c r="AW135" s="40"/>
    </row>
    <row r="136" spans="1:49" s="34" customFormat="1" ht="71.400000000000006" customHeight="1" x14ac:dyDescent="0.3">
      <c r="A136" s="35" t="s">
        <v>2867</v>
      </c>
      <c r="B136" s="36">
        <v>45034</v>
      </c>
      <c r="C136" s="37">
        <v>1416</v>
      </c>
      <c r="D136" s="39" t="s">
        <v>2868</v>
      </c>
      <c r="E136" s="1" t="s">
        <v>2869</v>
      </c>
      <c r="F136" s="36">
        <v>45056</v>
      </c>
      <c r="G136" s="37" t="s">
        <v>2870</v>
      </c>
      <c r="H136" s="40" t="s">
        <v>224</v>
      </c>
      <c r="I136" s="40" t="s">
        <v>779</v>
      </c>
      <c r="J136" s="41">
        <v>80429166</v>
      </c>
      <c r="K136" s="41">
        <v>80429166</v>
      </c>
      <c r="L136" s="30">
        <v>90421110</v>
      </c>
      <c r="M136" s="30">
        <v>90421110</v>
      </c>
      <c r="N136" s="40" t="s">
        <v>780</v>
      </c>
      <c r="O136" s="40" t="s">
        <v>781</v>
      </c>
      <c r="P136" s="40" t="s">
        <v>218</v>
      </c>
      <c r="Q136" s="44">
        <v>0</v>
      </c>
      <c r="R136" s="37">
        <v>100</v>
      </c>
      <c r="S136" s="37" t="s">
        <v>229</v>
      </c>
      <c r="T136" s="48">
        <v>600</v>
      </c>
      <c r="U136" s="30">
        <v>24.93</v>
      </c>
      <c r="V136" s="41">
        <v>14958</v>
      </c>
      <c r="W136" s="41">
        <v>3627000</v>
      </c>
      <c r="X136" s="41">
        <v>1506600</v>
      </c>
      <c r="Y136" s="41">
        <v>126000</v>
      </c>
      <c r="Z136" s="41">
        <v>3141180</v>
      </c>
      <c r="AA136" s="41">
        <v>1380600</v>
      </c>
      <c r="AB136" s="41">
        <v>34418358</v>
      </c>
      <c r="AC136" s="41">
        <v>2120400</v>
      </c>
      <c r="AD136" s="41">
        <v>544800</v>
      </c>
      <c r="AE136" s="41">
        <v>13581864</v>
      </c>
      <c r="AF136" s="41">
        <v>1575600</v>
      </c>
      <c r="AG136" s="41">
        <v>39279708</v>
      </c>
      <c r="AH136" s="41">
        <v>0</v>
      </c>
      <c r="AI136" s="41">
        <v>0</v>
      </c>
      <c r="AJ136" s="41">
        <v>0</v>
      </c>
      <c r="AK136" s="41">
        <v>0</v>
      </c>
      <c r="AL136" s="41">
        <v>0</v>
      </c>
      <c r="AM136" s="41">
        <v>16723044</v>
      </c>
      <c r="AN136" s="41">
        <v>6045</v>
      </c>
      <c r="AO136" s="41">
        <v>6045</v>
      </c>
      <c r="AP136" s="40"/>
      <c r="AQ136" s="36">
        <v>45078</v>
      </c>
      <c r="AR136" s="36">
        <v>45122</v>
      </c>
      <c r="AS136" s="36"/>
      <c r="AT136" s="36">
        <v>45137</v>
      </c>
      <c r="AU136" s="36"/>
      <c r="AV136" s="38"/>
      <c r="AW136" s="40" t="s">
        <v>87</v>
      </c>
    </row>
    <row r="137" spans="1:49" s="34" customFormat="1" ht="160.94999999999999" customHeight="1" x14ac:dyDescent="0.3">
      <c r="A137" s="35" t="s">
        <v>2871</v>
      </c>
      <c r="B137" s="36">
        <v>45034</v>
      </c>
      <c r="C137" s="37">
        <v>1416</v>
      </c>
      <c r="D137" s="39" t="s">
        <v>2872</v>
      </c>
      <c r="E137" s="1" t="s">
        <v>2873</v>
      </c>
      <c r="F137" s="36">
        <v>45057</v>
      </c>
      <c r="G137" s="37" t="s">
        <v>2874</v>
      </c>
      <c r="H137" s="40" t="s">
        <v>571</v>
      </c>
      <c r="I137" s="40" t="s">
        <v>2875</v>
      </c>
      <c r="J137" s="41">
        <v>30779998.800000001</v>
      </c>
      <c r="K137" s="41">
        <v>30779998.800000001</v>
      </c>
      <c r="L137" s="30">
        <v>30779998.800000001</v>
      </c>
      <c r="M137" s="30">
        <v>30779998.800000001</v>
      </c>
      <c r="N137" s="40" t="s">
        <v>2876</v>
      </c>
      <c r="O137" s="40" t="s">
        <v>2877</v>
      </c>
      <c r="P137" s="40" t="s">
        <v>47</v>
      </c>
      <c r="Q137" s="44">
        <v>100</v>
      </c>
      <c r="R137" s="37">
        <v>0</v>
      </c>
      <c r="S137" s="37" t="s">
        <v>1964</v>
      </c>
      <c r="T137" s="54" t="s">
        <v>2878</v>
      </c>
      <c r="U137" s="30">
        <v>24.28</v>
      </c>
      <c r="V137" s="41" t="e">
        <v>#VALUE!</v>
      </c>
      <c r="W137" s="41">
        <v>1267710</v>
      </c>
      <c r="X137" s="41">
        <v>1267710</v>
      </c>
      <c r="Y137" s="41">
        <v>141780</v>
      </c>
      <c r="Z137" s="41">
        <v>3442418.4000000004</v>
      </c>
      <c r="AA137" s="41">
        <v>1125930</v>
      </c>
      <c r="AB137" s="41">
        <v>27337580.400000002</v>
      </c>
      <c r="AC137" s="41">
        <v>0</v>
      </c>
      <c r="AD137" s="41">
        <v>0</v>
      </c>
      <c r="AE137" s="41">
        <v>0</v>
      </c>
      <c r="AF137" s="41">
        <v>0</v>
      </c>
      <c r="AG137" s="41">
        <v>0</v>
      </c>
      <c r="AH137" s="41">
        <v>0</v>
      </c>
      <c r="AI137" s="41">
        <v>0</v>
      </c>
      <c r="AJ137" s="41">
        <v>0</v>
      </c>
      <c r="AK137" s="41">
        <v>0</v>
      </c>
      <c r="AL137" s="41">
        <v>0</v>
      </c>
      <c r="AM137" s="41">
        <v>3442418.4000000004</v>
      </c>
      <c r="AN137" s="41" t="e">
        <v>#VALUE!</v>
      </c>
      <c r="AO137" s="41" t="e">
        <v>#VALUE!</v>
      </c>
      <c r="AP137" s="40"/>
      <c r="AQ137" s="36">
        <v>45078</v>
      </c>
      <c r="AR137" s="36"/>
      <c r="AS137" s="36"/>
      <c r="AT137" s="36">
        <v>45092</v>
      </c>
      <c r="AU137" s="36"/>
      <c r="AV137" s="38"/>
      <c r="AW137" s="40" t="s">
        <v>87</v>
      </c>
    </row>
    <row r="138" spans="1:49" s="34" customFormat="1" ht="52.95" customHeight="1" x14ac:dyDescent="0.3">
      <c r="A138" s="35" t="s">
        <v>2879</v>
      </c>
      <c r="B138" s="36">
        <v>45034</v>
      </c>
      <c r="C138" s="37">
        <v>1416</v>
      </c>
      <c r="D138" s="39" t="s">
        <v>459</v>
      </c>
      <c r="E138" s="1" t="s">
        <v>2880</v>
      </c>
      <c r="F138" s="36" t="s">
        <v>459</v>
      </c>
      <c r="G138" s="37" t="s">
        <v>459</v>
      </c>
      <c r="H138" s="40" t="s">
        <v>459</v>
      </c>
      <c r="I138" s="40" t="s">
        <v>641</v>
      </c>
      <c r="J138" s="41">
        <v>373350116</v>
      </c>
      <c r="K138" s="41"/>
      <c r="L138" s="30">
        <v>0</v>
      </c>
      <c r="M138" s="30">
        <v>0</v>
      </c>
      <c r="N138" s="40"/>
      <c r="O138" s="40"/>
      <c r="P138" s="40"/>
      <c r="Q138" s="44"/>
      <c r="R138" s="37"/>
      <c r="S138" s="37"/>
      <c r="T138" s="48"/>
      <c r="U138" s="30">
        <v>0</v>
      </c>
      <c r="V138" s="41">
        <v>0</v>
      </c>
      <c r="W138" s="41">
        <v>2123600</v>
      </c>
      <c r="X138" s="41">
        <v>2123600</v>
      </c>
      <c r="Y138" s="41">
        <v>1142400</v>
      </c>
      <c r="Z138" s="41">
        <v>0</v>
      </c>
      <c r="AA138" s="41">
        <v>981200</v>
      </c>
      <c r="AB138" s="41">
        <v>0</v>
      </c>
      <c r="AC138" s="41">
        <v>0</v>
      </c>
      <c r="AD138" s="41">
        <v>0</v>
      </c>
      <c r="AE138" s="41">
        <v>0</v>
      </c>
      <c r="AF138" s="41">
        <v>0</v>
      </c>
      <c r="AG138" s="41">
        <v>0</v>
      </c>
      <c r="AH138" s="41">
        <v>0</v>
      </c>
      <c r="AI138" s="41">
        <v>0</v>
      </c>
      <c r="AJ138" s="41">
        <v>0</v>
      </c>
      <c r="AK138" s="41">
        <v>0</v>
      </c>
      <c r="AL138" s="41">
        <v>0</v>
      </c>
      <c r="AM138" s="41">
        <v>0</v>
      </c>
      <c r="AN138" s="41" t="e">
        <v>#DIV/0!</v>
      </c>
      <c r="AO138" s="41" t="e">
        <v>#DIV/0!</v>
      </c>
      <c r="AP138" s="40"/>
      <c r="AQ138" s="36">
        <v>45092</v>
      </c>
      <c r="AR138" s="36"/>
      <c r="AS138" s="36"/>
      <c r="AT138" s="36">
        <v>45107</v>
      </c>
      <c r="AU138" s="36"/>
      <c r="AV138" s="38"/>
      <c r="AW138" s="40"/>
    </row>
    <row r="139" spans="1:49" s="34" customFormat="1" ht="52.95" customHeight="1" x14ac:dyDescent="0.3">
      <c r="A139" s="35"/>
      <c r="B139" s="36" t="s">
        <v>39</v>
      </c>
      <c r="C139" s="37">
        <v>1416</v>
      </c>
      <c r="D139" s="39"/>
      <c r="E139" s="1" t="s">
        <v>2880</v>
      </c>
      <c r="F139" s="36">
        <v>45064</v>
      </c>
      <c r="G139" s="37" t="s">
        <v>2881</v>
      </c>
      <c r="H139" s="40" t="s">
        <v>2882</v>
      </c>
      <c r="I139" s="40" t="s">
        <v>641</v>
      </c>
      <c r="J139" s="41">
        <v>373350116</v>
      </c>
      <c r="K139" s="41">
        <v>373350116</v>
      </c>
      <c r="L139" s="30">
        <v>373350116</v>
      </c>
      <c r="M139" s="30">
        <v>373350116</v>
      </c>
      <c r="N139" s="40" t="s">
        <v>2883</v>
      </c>
      <c r="O139" s="40" t="s">
        <v>2884</v>
      </c>
      <c r="P139" s="40" t="s">
        <v>733</v>
      </c>
      <c r="Q139" s="44">
        <v>0</v>
      </c>
      <c r="R139" s="37">
        <v>100</v>
      </c>
      <c r="S139" s="37" t="s">
        <v>457</v>
      </c>
      <c r="T139" s="48">
        <v>400</v>
      </c>
      <c r="U139" s="30">
        <v>175.81</v>
      </c>
      <c r="V139" s="41">
        <v>70324</v>
      </c>
      <c r="W139" s="41">
        <v>2123600</v>
      </c>
      <c r="X139" s="41">
        <v>2123600</v>
      </c>
      <c r="Y139" s="41">
        <v>1142400</v>
      </c>
      <c r="Z139" s="41">
        <v>200845344</v>
      </c>
      <c r="AA139" s="41">
        <v>981200</v>
      </c>
      <c r="AB139" s="41">
        <v>172504772</v>
      </c>
      <c r="AC139" s="41">
        <v>0</v>
      </c>
      <c r="AD139" s="41">
        <v>0</v>
      </c>
      <c r="AE139" s="41">
        <v>0</v>
      </c>
      <c r="AF139" s="41">
        <v>0</v>
      </c>
      <c r="AG139" s="41">
        <v>0</v>
      </c>
      <c r="AH139" s="41">
        <v>0</v>
      </c>
      <c r="AI139" s="41">
        <v>0</v>
      </c>
      <c r="AJ139" s="41">
        <v>0</v>
      </c>
      <c r="AK139" s="41">
        <v>0</v>
      </c>
      <c r="AL139" s="41">
        <v>0</v>
      </c>
      <c r="AM139" s="41">
        <v>200845344</v>
      </c>
      <c r="AN139" s="41">
        <v>5309</v>
      </c>
      <c r="AO139" s="41">
        <v>5309</v>
      </c>
      <c r="AP139" s="40"/>
      <c r="AQ139" s="36">
        <v>45092</v>
      </c>
      <c r="AR139" s="36"/>
      <c r="AS139" s="36"/>
      <c r="AT139" s="36">
        <v>45107</v>
      </c>
      <c r="AU139" s="36"/>
      <c r="AV139" s="38"/>
      <c r="AW139" s="40" t="s">
        <v>87</v>
      </c>
    </row>
    <row r="140" spans="1:49" s="34" customFormat="1" ht="48.6" customHeight="1" x14ac:dyDescent="0.3">
      <c r="A140" s="35" t="s">
        <v>2896</v>
      </c>
      <c r="B140" s="36">
        <v>45035</v>
      </c>
      <c r="C140" s="37">
        <v>1416</v>
      </c>
      <c r="D140" s="39" t="s">
        <v>2897</v>
      </c>
      <c r="E140" s="1" t="s">
        <v>2898</v>
      </c>
      <c r="F140" s="36">
        <v>45069</v>
      </c>
      <c r="G140" s="37" t="s">
        <v>2899</v>
      </c>
      <c r="H140" s="40" t="s">
        <v>878</v>
      </c>
      <c r="I140" s="40" t="s">
        <v>2900</v>
      </c>
      <c r="J140" s="41">
        <v>606532971</v>
      </c>
      <c r="K140" s="41">
        <v>606532971</v>
      </c>
      <c r="L140" s="30">
        <v>606532971</v>
      </c>
      <c r="M140" s="30">
        <v>606532971</v>
      </c>
      <c r="N140" s="40" t="s">
        <v>880</v>
      </c>
      <c r="O140" s="40" t="s">
        <v>881</v>
      </c>
      <c r="P140" s="40" t="s">
        <v>583</v>
      </c>
      <c r="Q140" s="44">
        <v>0</v>
      </c>
      <c r="R140" s="37">
        <v>100</v>
      </c>
      <c r="S140" s="37" t="s">
        <v>882</v>
      </c>
      <c r="T140" s="48">
        <v>120</v>
      </c>
      <c r="U140" s="30">
        <v>142.66999999999999</v>
      </c>
      <c r="V140" s="41">
        <v>17120.399999999998</v>
      </c>
      <c r="W140" s="41">
        <v>4251300</v>
      </c>
      <c r="X140" s="41">
        <v>4251300</v>
      </c>
      <c r="Y140" s="41">
        <v>27000</v>
      </c>
      <c r="Z140" s="41">
        <v>3852089.9999999995</v>
      </c>
      <c r="AA140" s="41">
        <v>4224300</v>
      </c>
      <c r="AB140" s="41">
        <v>602680881</v>
      </c>
      <c r="AC140" s="41">
        <v>0</v>
      </c>
      <c r="AD140" s="41">
        <v>0</v>
      </c>
      <c r="AE140" s="41">
        <v>0</v>
      </c>
      <c r="AF140" s="41">
        <v>0</v>
      </c>
      <c r="AG140" s="41">
        <v>0</v>
      </c>
      <c r="AH140" s="41">
        <v>0</v>
      </c>
      <c r="AI140" s="41">
        <v>0</v>
      </c>
      <c r="AJ140" s="41">
        <v>0</v>
      </c>
      <c r="AK140" s="41">
        <v>0</v>
      </c>
      <c r="AL140" s="41">
        <v>0</v>
      </c>
      <c r="AM140" s="41">
        <v>3852089.9999999995</v>
      </c>
      <c r="AN140" s="41">
        <v>35427.5</v>
      </c>
      <c r="AO140" s="41">
        <v>35428</v>
      </c>
      <c r="AP140" s="40"/>
      <c r="AQ140" s="36">
        <v>45092</v>
      </c>
      <c r="AR140" s="36"/>
      <c r="AS140" s="36"/>
      <c r="AT140" s="36">
        <v>45107</v>
      </c>
      <c r="AU140" s="36"/>
      <c r="AV140" s="38"/>
      <c r="AW140" s="40" t="s">
        <v>87</v>
      </c>
    </row>
    <row r="141" spans="1:49" s="34" customFormat="1" ht="72" x14ac:dyDescent="0.3">
      <c r="A141" s="35" t="s">
        <v>2901</v>
      </c>
      <c r="B141" s="36">
        <v>45035</v>
      </c>
      <c r="C141" s="37">
        <v>1416</v>
      </c>
      <c r="D141" s="39" t="s">
        <v>2902</v>
      </c>
      <c r="E141" s="1" t="s">
        <v>2903</v>
      </c>
      <c r="F141" s="36">
        <v>45058</v>
      </c>
      <c r="G141" s="37" t="s">
        <v>2904</v>
      </c>
      <c r="H141" s="40" t="s">
        <v>571</v>
      </c>
      <c r="I141" s="40" t="s">
        <v>2905</v>
      </c>
      <c r="J141" s="41">
        <v>113085940.95</v>
      </c>
      <c r="K141" s="41">
        <v>87637323.75</v>
      </c>
      <c r="L141" s="30">
        <v>87637323.75</v>
      </c>
      <c r="M141" s="30">
        <v>87637323.75</v>
      </c>
      <c r="N141" s="40" t="s">
        <v>2906</v>
      </c>
      <c r="O141" s="40" t="s">
        <v>2907</v>
      </c>
      <c r="P141" s="40" t="s">
        <v>47</v>
      </c>
      <c r="Q141" s="44">
        <v>100</v>
      </c>
      <c r="R141" s="37">
        <v>0</v>
      </c>
      <c r="S141" s="37" t="s">
        <v>1964</v>
      </c>
      <c r="T141" s="48">
        <v>30</v>
      </c>
      <c r="U141" s="30">
        <v>97.25</v>
      </c>
      <c r="V141" s="41">
        <v>2917.5</v>
      </c>
      <c r="W141" s="41">
        <v>901155</v>
      </c>
      <c r="X141" s="41">
        <v>901155</v>
      </c>
      <c r="Y141" s="41">
        <v>9600</v>
      </c>
      <c r="Z141" s="41">
        <v>933600</v>
      </c>
      <c r="AA141" s="41">
        <v>891555</v>
      </c>
      <c r="AB141" s="41">
        <v>86703723.75</v>
      </c>
      <c r="AC141" s="41">
        <v>0</v>
      </c>
      <c r="AD141" s="41">
        <v>0</v>
      </c>
      <c r="AE141" s="41">
        <v>0</v>
      </c>
      <c r="AF141" s="41">
        <v>0</v>
      </c>
      <c r="AG141" s="41">
        <v>0</v>
      </c>
      <c r="AH141" s="41">
        <v>0</v>
      </c>
      <c r="AI141" s="41">
        <v>0</v>
      </c>
      <c r="AJ141" s="41">
        <v>0</v>
      </c>
      <c r="AK141" s="41">
        <v>0</v>
      </c>
      <c r="AL141" s="41">
        <v>0</v>
      </c>
      <c r="AM141" s="41">
        <v>933600</v>
      </c>
      <c r="AN141" s="41">
        <v>30038.5</v>
      </c>
      <c r="AO141" s="41">
        <v>30039</v>
      </c>
      <c r="AP141" s="40"/>
      <c r="AQ141" s="36">
        <v>45092</v>
      </c>
      <c r="AR141" s="36"/>
      <c r="AS141" s="36"/>
      <c r="AT141" s="36">
        <v>45137</v>
      </c>
      <c r="AU141" s="36"/>
      <c r="AV141" s="38"/>
      <c r="AW141" s="40" t="s">
        <v>49</v>
      </c>
    </row>
    <row r="142" spans="1:49" s="34" customFormat="1" ht="54.6" customHeight="1" x14ac:dyDescent="0.3">
      <c r="A142" s="35" t="s">
        <v>2908</v>
      </c>
      <c r="B142" s="36">
        <v>45035</v>
      </c>
      <c r="C142" s="37">
        <v>1416</v>
      </c>
      <c r="D142" s="39" t="s">
        <v>2909</v>
      </c>
      <c r="E142" s="1" t="s">
        <v>2910</v>
      </c>
      <c r="F142" s="36">
        <v>45069</v>
      </c>
      <c r="G142" s="37" t="s">
        <v>2911</v>
      </c>
      <c r="H142" s="40" t="s">
        <v>944</v>
      </c>
      <c r="I142" s="40" t="s">
        <v>2912</v>
      </c>
      <c r="J142" s="41">
        <v>317402900.43000001</v>
      </c>
      <c r="K142" s="41">
        <v>317402900.43000001</v>
      </c>
      <c r="L142" s="30">
        <v>317402900.43000001</v>
      </c>
      <c r="M142" s="30">
        <v>317402900.43000001</v>
      </c>
      <c r="N142" s="40" t="s">
        <v>355</v>
      </c>
      <c r="O142" s="40" t="s">
        <v>946</v>
      </c>
      <c r="P142" s="40" t="s">
        <v>357</v>
      </c>
      <c r="Q142" s="44">
        <v>0</v>
      </c>
      <c r="R142" s="37">
        <v>100</v>
      </c>
      <c r="S142" s="37" t="s">
        <v>219</v>
      </c>
      <c r="T142" s="48">
        <v>1</v>
      </c>
      <c r="U142" s="30">
        <v>263842.81</v>
      </c>
      <c r="V142" s="41">
        <v>263842.81</v>
      </c>
      <c r="W142" s="41">
        <v>1203</v>
      </c>
      <c r="X142" s="41">
        <v>1203</v>
      </c>
      <c r="Y142" s="41">
        <v>476</v>
      </c>
      <c r="Z142" s="41">
        <v>125589177.56</v>
      </c>
      <c r="AA142" s="41">
        <v>727</v>
      </c>
      <c r="AB142" s="41">
        <v>191813722.87</v>
      </c>
      <c r="AC142" s="41">
        <v>0</v>
      </c>
      <c r="AD142" s="41">
        <v>0</v>
      </c>
      <c r="AE142" s="41">
        <v>0</v>
      </c>
      <c r="AF142" s="41">
        <v>0</v>
      </c>
      <c r="AG142" s="41">
        <v>0</v>
      </c>
      <c r="AH142" s="41">
        <v>0</v>
      </c>
      <c r="AI142" s="41">
        <v>0</v>
      </c>
      <c r="AJ142" s="41">
        <v>0</v>
      </c>
      <c r="AK142" s="41">
        <v>0</v>
      </c>
      <c r="AL142" s="41">
        <v>0</v>
      </c>
      <c r="AM142" s="41">
        <v>125589177.56</v>
      </c>
      <c r="AN142" s="41">
        <v>1203</v>
      </c>
      <c r="AO142" s="41">
        <v>1203</v>
      </c>
      <c r="AP142" s="40"/>
      <c r="AQ142" s="36">
        <v>45092</v>
      </c>
      <c r="AR142" s="36"/>
      <c r="AS142" s="36"/>
      <c r="AT142" s="36">
        <v>45107</v>
      </c>
      <c r="AU142" s="36"/>
      <c r="AV142" s="38"/>
      <c r="AW142" s="40" t="s">
        <v>87</v>
      </c>
    </row>
    <row r="143" spans="1:49" s="34" customFormat="1" ht="90.75" customHeight="1" x14ac:dyDescent="0.3">
      <c r="A143" s="35" t="s">
        <v>2913</v>
      </c>
      <c r="B143" s="36">
        <v>45035</v>
      </c>
      <c r="C143" s="37">
        <v>1416</v>
      </c>
      <c r="D143" s="39" t="s">
        <v>2914</v>
      </c>
      <c r="E143" s="1" t="s">
        <v>2915</v>
      </c>
      <c r="F143" s="36">
        <v>45076</v>
      </c>
      <c r="G143" s="37" t="s">
        <v>2916</v>
      </c>
      <c r="H143" s="40" t="s">
        <v>177</v>
      </c>
      <c r="I143" s="40" t="s">
        <v>2917</v>
      </c>
      <c r="J143" s="41">
        <v>363889787.02999997</v>
      </c>
      <c r="K143" s="41">
        <v>363889787.02999997</v>
      </c>
      <c r="L143" s="30">
        <v>363889787.02999997</v>
      </c>
      <c r="M143" s="30">
        <v>363889787.02999997</v>
      </c>
      <c r="N143" s="40" t="s">
        <v>889</v>
      </c>
      <c r="O143" s="40" t="s">
        <v>2918</v>
      </c>
      <c r="P143" s="40" t="s">
        <v>47</v>
      </c>
      <c r="Q143" s="44">
        <v>100</v>
      </c>
      <c r="R143" s="37">
        <v>0</v>
      </c>
      <c r="S143" s="37" t="s">
        <v>200</v>
      </c>
      <c r="T143" s="54" t="s">
        <v>892</v>
      </c>
      <c r="U143" s="30">
        <v>1212.9699999999998</v>
      </c>
      <c r="V143" s="41" t="e">
        <v>#VALUE!</v>
      </c>
      <c r="W143" s="41">
        <v>299999</v>
      </c>
      <c r="X143" s="41">
        <v>299999</v>
      </c>
      <c r="Y143" s="41">
        <v>3614</v>
      </c>
      <c r="Z143" s="41">
        <v>4383673.5799999991</v>
      </c>
      <c r="AA143" s="41">
        <v>296385</v>
      </c>
      <c r="AB143" s="41">
        <v>359506113.44999993</v>
      </c>
      <c r="AC143" s="41">
        <v>0</v>
      </c>
      <c r="AD143" s="41">
        <v>0</v>
      </c>
      <c r="AE143" s="41">
        <v>0</v>
      </c>
      <c r="AF143" s="41">
        <v>0</v>
      </c>
      <c r="AG143" s="41">
        <v>0</v>
      </c>
      <c r="AH143" s="41">
        <v>0</v>
      </c>
      <c r="AI143" s="41">
        <v>0</v>
      </c>
      <c r="AJ143" s="41">
        <v>0</v>
      </c>
      <c r="AK143" s="41">
        <v>0</v>
      </c>
      <c r="AL143" s="41">
        <v>0</v>
      </c>
      <c r="AM143" s="41">
        <v>4383673.5799999991</v>
      </c>
      <c r="AN143" s="41" t="e">
        <v>#VALUE!</v>
      </c>
      <c r="AO143" s="41" t="e">
        <v>#VALUE!</v>
      </c>
      <c r="AP143" s="40"/>
      <c r="AQ143" s="36">
        <v>45108</v>
      </c>
      <c r="AR143" s="36"/>
      <c r="AS143" s="36"/>
      <c r="AT143" s="36">
        <v>45122</v>
      </c>
      <c r="AU143" s="36"/>
      <c r="AV143" s="38"/>
      <c r="AW143" s="40" t="s">
        <v>49</v>
      </c>
    </row>
    <row r="144" spans="1:49" s="34" customFormat="1" ht="39" customHeight="1" x14ac:dyDescent="0.3">
      <c r="A144" s="35" t="s">
        <v>2933</v>
      </c>
      <c r="B144" s="36">
        <v>45036</v>
      </c>
      <c r="C144" s="37">
        <v>1416</v>
      </c>
      <c r="D144" s="39" t="s">
        <v>2934</v>
      </c>
      <c r="E144" s="1" t="s">
        <v>2935</v>
      </c>
      <c r="F144" s="36">
        <v>45070</v>
      </c>
      <c r="G144" s="37" t="s">
        <v>2936</v>
      </c>
      <c r="H144" s="40" t="s">
        <v>186</v>
      </c>
      <c r="I144" s="40" t="s">
        <v>473</v>
      </c>
      <c r="J144" s="41">
        <v>1055940600</v>
      </c>
      <c r="K144" s="41">
        <v>1055940600</v>
      </c>
      <c r="L144" s="30">
        <v>1055940600</v>
      </c>
      <c r="M144" s="30">
        <v>1055940600</v>
      </c>
      <c r="N144" s="40" t="s">
        <v>2937</v>
      </c>
      <c r="O144" s="40" t="s">
        <v>475</v>
      </c>
      <c r="P144" s="40" t="s">
        <v>190</v>
      </c>
      <c r="Q144" s="44">
        <v>0</v>
      </c>
      <c r="R144" s="37">
        <v>100</v>
      </c>
      <c r="S144" s="37" t="s">
        <v>1964</v>
      </c>
      <c r="T144" s="48">
        <v>1</v>
      </c>
      <c r="U144" s="30">
        <v>85800</v>
      </c>
      <c r="V144" s="41">
        <v>85800</v>
      </c>
      <c r="W144" s="41">
        <v>12307</v>
      </c>
      <c r="X144" s="41">
        <v>12307</v>
      </c>
      <c r="Y144" s="41">
        <v>0</v>
      </c>
      <c r="Z144" s="41">
        <v>0</v>
      </c>
      <c r="AA144" s="41">
        <v>12307</v>
      </c>
      <c r="AB144" s="41">
        <v>1055940600</v>
      </c>
      <c r="AC144" s="41">
        <v>0</v>
      </c>
      <c r="AD144" s="41">
        <v>0</v>
      </c>
      <c r="AE144" s="41">
        <v>0</v>
      </c>
      <c r="AF144" s="41">
        <v>0</v>
      </c>
      <c r="AG144" s="41">
        <v>0</v>
      </c>
      <c r="AH144" s="41">
        <v>0</v>
      </c>
      <c r="AI144" s="41">
        <v>0</v>
      </c>
      <c r="AJ144" s="41">
        <v>0</v>
      </c>
      <c r="AK144" s="41">
        <v>0</v>
      </c>
      <c r="AL144" s="41">
        <v>0</v>
      </c>
      <c r="AM144" s="41">
        <v>0</v>
      </c>
      <c r="AN144" s="41">
        <v>12307</v>
      </c>
      <c r="AO144" s="41">
        <v>12307</v>
      </c>
      <c r="AP144" s="40"/>
      <c r="AQ144" s="36">
        <v>45092</v>
      </c>
      <c r="AR144" s="36"/>
      <c r="AS144" s="36"/>
      <c r="AT144" s="36">
        <v>45107</v>
      </c>
      <c r="AU144" s="36"/>
      <c r="AV144" s="38"/>
      <c r="AW144" s="40" t="s">
        <v>87</v>
      </c>
    </row>
    <row r="145" spans="1:49" s="34" customFormat="1" ht="72" x14ac:dyDescent="0.3">
      <c r="A145" s="35" t="s">
        <v>2938</v>
      </c>
      <c r="B145" s="36">
        <v>45036</v>
      </c>
      <c r="C145" s="37">
        <v>1416</v>
      </c>
      <c r="D145" s="39" t="s">
        <v>2939</v>
      </c>
      <c r="E145" s="1" t="s">
        <v>2940</v>
      </c>
      <c r="F145" s="36">
        <v>45058</v>
      </c>
      <c r="G145" s="37" t="s">
        <v>2941</v>
      </c>
      <c r="H145" s="40" t="s">
        <v>2942</v>
      </c>
      <c r="I145" s="40" t="s">
        <v>312</v>
      </c>
      <c r="J145" s="41">
        <v>1428262.8</v>
      </c>
      <c r="K145" s="41">
        <v>1428262.8</v>
      </c>
      <c r="L145" s="30">
        <v>1428262.8</v>
      </c>
      <c r="M145" s="30">
        <v>1428262.8</v>
      </c>
      <c r="N145" s="40" t="s">
        <v>299</v>
      </c>
      <c r="O145" s="40" t="s">
        <v>2943</v>
      </c>
      <c r="P145" s="40" t="s">
        <v>199</v>
      </c>
      <c r="Q145" s="44">
        <v>0</v>
      </c>
      <c r="R145" s="37">
        <v>100</v>
      </c>
      <c r="S145" s="37" t="s">
        <v>1964</v>
      </c>
      <c r="T145" s="48">
        <v>50</v>
      </c>
      <c r="U145" s="30">
        <v>59.81</v>
      </c>
      <c r="V145" s="41">
        <v>2990.5</v>
      </c>
      <c r="W145" s="41">
        <v>23880</v>
      </c>
      <c r="X145" s="41">
        <v>23880</v>
      </c>
      <c r="Y145" s="41">
        <v>1440</v>
      </c>
      <c r="Z145" s="41">
        <v>86126.400000000009</v>
      </c>
      <c r="AA145" s="41">
        <v>22440</v>
      </c>
      <c r="AB145" s="41">
        <v>1342136.4000000001</v>
      </c>
      <c r="AC145" s="41">
        <v>0</v>
      </c>
      <c r="AD145" s="41">
        <v>0</v>
      </c>
      <c r="AE145" s="41">
        <v>0</v>
      </c>
      <c r="AF145" s="41">
        <v>0</v>
      </c>
      <c r="AG145" s="41">
        <v>0</v>
      </c>
      <c r="AH145" s="41">
        <v>0</v>
      </c>
      <c r="AI145" s="41">
        <v>0</v>
      </c>
      <c r="AJ145" s="41">
        <v>0</v>
      </c>
      <c r="AK145" s="41">
        <v>0</v>
      </c>
      <c r="AL145" s="41">
        <v>0</v>
      </c>
      <c r="AM145" s="41">
        <v>86126.400000000009</v>
      </c>
      <c r="AN145" s="41">
        <v>477.6</v>
      </c>
      <c r="AO145" s="41">
        <v>478</v>
      </c>
      <c r="AP145" s="40"/>
      <c r="AQ145" s="36">
        <v>45078</v>
      </c>
      <c r="AR145" s="36"/>
      <c r="AS145" s="36"/>
      <c r="AT145" s="36">
        <v>45107</v>
      </c>
      <c r="AU145" s="36"/>
      <c r="AV145" s="38"/>
      <c r="AW145" s="40" t="s">
        <v>87</v>
      </c>
    </row>
    <row r="146" spans="1:49" s="34" customFormat="1" ht="51" customHeight="1" x14ac:dyDescent="0.3">
      <c r="A146" s="35" t="s">
        <v>2944</v>
      </c>
      <c r="B146" s="36">
        <v>45036</v>
      </c>
      <c r="C146" s="37">
        <v>1416</v>
      </c>
      <c r="D146" s="39" t="s">
        <v>2945</v>
      </c>
      <c r="E146" s="1" t="s">
        <v>2946</v>
      </c>
      <c r="F146" s="36">
        <v>45070</v>
      </c>
      <c r="G146" s="37" t="s">
        <v>2947</v>
      </c>
      <c r="H146" s="40" t="s">
        <v>2942</v>
      </c>
      <c r="I146" s="40" t="s">
        <v>317</v>
      </c>
      <c r="J146" s="41">
        <v>1998821100</v>
      </c>
      <c r="K146" s="41">
        <v>1998821100</v>
      </c>
      <c r="L146" s="30">
        <v>2006558472</v>
      </c>
      <c r="M146" s="30">
        <v>2006558472</v>
      </c>
      <c r="N146" s="40" t="s">
        <v>318</v>
      </c>
      <c r="O146" s="40" t="s">
        <v>2948</v>
      </c>
      <c r="P146" s="40" t="s">
        <v>348</v>
      </c>
      <c r="Q146" s="44">
        <v>0</v>
      </c>
      <c r="R146" s="37">
        <v>100</v>
      </c>
      <c r="S146" s="37" t="s">
        <v>219</v>
      </c>
      <c r="T146" s="48">
        <v>10</v>
      </c>
      <c r="U146" s="30">
        <v>25791.24</v>
      </c>
      <c r="V146" s="41">
        <v>257912.40000000002</v>
      </c>
      <c r="W146" s="41">
        <v>77800</v>
      </c>
      <c r="X146" s="41">
        <v>77800</v>
      </c>
      <c r="Y146" s="41">
        <v>1500</v>
      </c>
      <c r="Z146" s="41">
        <v>38686860</v>
      </c>
      <c r="AA146" s="41">
        <v>76300</v>
      </c>
      <c r="AB146" s="41">
        <v>1967871612.0000002</v>
      </c>
      <c r="AC146" s="41">
        <v>0</v>
      </c>
      <c r="AD146" s="41">
        <v>0</v>
      </c>
      <c r="AE146" s="41">
        <v>0</v>
      </c>
      <c r="AF146" s="41">
        <v>0</v>
      </c>
      <c r="AG146" s="41">
        <v>0</v>
      </c>
      <c r="AH146" s="41">
        <v>0</v>
      </c>
      <c r="AI146" s="41">
        <v>0</v>
      </c>
      <c r="AJ146" s="41">
        <v>0</v>
      </c>
      <c r="AK146" s="41">
        <v>0</v>
      </c>
      <c r="AL146" s="41">
        <v>0</v>
      </c>
      <c r="AM146" s="41">
        <v>38686860</v>
      </c>
      <c r="AN146" s="41">
        <v>7780</v>
      </c>
      <c r="AO146" s="41">
        <v>7780</v>
      </c>
      <c r="AP146" s="40"/>
      <c r="AQ146" s="36">
        <v>45092</v>
      </c>
      <c r="AR146" s="36"/>
      <c r="AS146" s="36"/>
      <c r="AT146" s="36">
        <v>45107</v>
      </c>
      <c r="AU146" s="36"/>
      <c r="AV146" s="38"/>
      <c r="AW146" s="40" t="s">
        <v>87</v>
      </c>
    </row>
    <row r="147" spans="1:49" s="34" customFormat="1" ht="124.8" x14ac:dyDescent="0.3">
      <c r="A147" s="35" t="s">
        <v>2949</v>
      </c>
      <c r="B147" s="36">
        <v>45036</v>
      </c>
      <c r="C147" s="37">
        <v>1416</v>
      </c>
      <c r="D147" s="39" t="s">
        <v>2950</v>
      </c>
      <c r="E147" s="1" t="s">
        <v>2951</v>
      </c>
      <c r="F147" s="36">
        <v>45061</v>
      </c>
      <c r="G147" s="37" t="s">
        <v>2952</v>
      </c>
      <c r="H147" s="40" t="s">
        <v>186</v>
      </c>
      <c r="I147" s="40" t="s">
        <v>2953</v>
      </c>
      <c r="J147" s="41">
        <v>2177377.16</v>
      </c>
      <c r="K147" s="41">
        <v>979404.72</v>
      </c>
      <c r="L147" s="30">
        <v>979404.72</v>
      </c>
      <c r="M147" s="30">
        <v>979404.72</v>
      </c>
      <c r="N147" s="40" t="s">
        <v>2954</v>
      </c>
      <c r="O147" s="40" t="s">
        <v>2955</v>
      </c>
      <c r="P147" s="40" t="s">
        <v>47</v>
      </c>
      <c r="Q147" s="44">
        <v>100</v>
      </c>
      <c r="R147" s="37">
        <v>0</v>
      </c>
      <c r="S147" s="37" t="s">
        <v>1964</v>
      </c>
      <c r="T147" s="48">
        <v>28</v>
      </c>
      <c r="U147" s="30">
        <v>3.54</v>
      </c>
      <c r="V147" s="41">
        <v>99.12</v>
      </c>
      <c r="W147" s="41">
        <v>276668</v>
      </c>
      <c r="X147" s="41">
        <v>276668</v>
      </c>
      <c r="Y147" s="41">
        <v>140</v>
      </c>
      <c r="Z147" s="41">
        <v>495.6</v>
      </c>
      <c r="AA147" s="41">
        <v>276528</v>
      </c>
      <c r="AB147" s="41">
        <v>978909.12</v>
      </c>
      <c r="AC147" s="41">
        <v>0</v>
      </c>
      <c r="AD147" s="41">
        <v>0</v>
      </c>
      <c r="AE147" s="41">
        <v>0</v>
      </c>
      <c r="AF147" s="41">
        <v>0</v>
      </c>
      <c r="AG147" s="41">
        <v>0</v>
      </c>
      <c r="AH147" s="41">
        <v>0</v>
      </c>
      <c r="AI147" s="41">
        <v>0</v>
      </c>
      <c r="AJ147" s="41">
        <v>0</v>
      </c>
      <c r="AK147" s="41">
        <v>0</v>
      </c>
      <c r="AL147" s="41">
        <v>0</v>
      </c>
      <c r="AM147" s="41">
        <v>495.6</v>
      </c>
      <c r="AN147" s="41">
        <v>9881</v>
      </c>
      <c r="AO147" s="41">
        <v>9881</v>
      </c>
      <c r="AP147" s="40"/>
      <c r="AQ147" s="36">
        <v>45078</v>
      </c>
      <c r="AR147" s="36"/>
      <c r="AS147" s="36"/>
      <c r="AT147" s="36">
        <v>45092</v>
      </c>
      <c r="AU147" s="36"/>
      <c r="AV147" s="38"/>
      <c r="AW147" s="40" t="s">
        <v>87</v>
      </c>
    </row>
    <row r="148" spans="1:49" s="34" customFormat="1" ht="39" customHeight="1" x14ac:dyDescent="0.3">
      <c r="A148" s="35" t="s">
        <v>2956</v>
      </c>
      <c r="B148" s="36">
        <v>45036</v>
      </c>
      <c r="C148" s="37">
        <v>1416</v>
      </c>
      <c r="D148" s="39" t="s">
        <v>2957</v>
      </c>
      <c r="E148" s="1" t="s">
        <v>2958</v>
      </c>
      <c r="F148" s="36">
        <v>45061</v>
      </c>
      <c r="G148" s="37" t="s">
        <v>2959</v>
      </c>
      <c r="H148" s="40" t="s">
        <v>555</v>
      </c>
      <c r="I148" s="40" t="s">
        <v>2960</v>
      </c>
      <c r="J148" s="41">
        <v>23821757.100000001</v>
      </c>
      <c r="K148" s="41">
        <v>23702044.300000001</v>
      </c>
      <c r="L148" s="30">
        <v>23702044.300000001</v>
      </c>
      <c r="M148" s="30">
        <v>23702044.300000001</v>
      </c>
      <c r="N148" s="40" t="s">
        <v>2961</v>
      </c>
      <c r="O148" s="40" t="s">
        <v>2962</v>
      </c>
      <c r="P148" s="40" t="s">
        <v>47</v>
      </c>
      <c r="Q148" s="44">
        <v>100</v>
      </c>
      <c r="R148" s="37">
        <v>0</v>
      </c>
      <c r="S148" s="37" t="s">
        <v>1964</v>
      </c>
      <c r="T148" s="48">
        <v>4955</v>
      </c>
      <c r="U148" s="30">
        <v>4783.46</v>
      </c>
      <c r="V148" s="41">
        <v>23702044.300000001</v>
      </c>
      <c r="W148" s="41">
        <v>4955</v>
      </c>
      <c r="X148" s="41">
        <v>4955</v>
      </c>
      <c r="Y148" s="41">
        <v>0</v>
      </c>
      <c r="Z148" s="41">
        <v>0</v>
      </c>
      <c r="AA148" s="41">
        <v>4955</v>
      </c>
      <c r="AB148" s="41">
        <v>23702044.300000001</v>
      </c>
      <c r="AC148" s="41">
        <v>0</v>
      </c>
      <c r="AD148" s="41">
        <v>0</v>
      </c>
      <c r="AE148" s="41">
        <v>0</v>
      </c>
      <c r="AF148" s="41">
        <v>0</v>
      </c>
      <c r="AG148" s="41">
        <v>0</v>
      </c>
      <c r="AH148" s="41">
        <v>0</v>
      </c>
      <c r="AI148" s="41">
        <v>0</v>
      </c>
      <c r="AJ148" s="41">
        <v>0</v>
      </c>
      <c r="AK148" s="41">
        <v>0</v>
      </c>
      <c r="AL148" s="41">
        <v>0</v>
      </c>
      <c r="AM148" s="41">
        <v>0</v>
      </c>
      <c r="AN148" s="41">
        <v>1</v>
      </c>
      <c r="AO148" s="41">
        <v>1</v>
      </c>
      <c r="AP148" s="40"/>
      <c r="AQ148" s="36">
        <v>45092</v>
      </c>
      <c r="AR148" s="36"/>
      <c r="AS148" s="36"/>
      <c r="AT148" s="36">
        <v>45107</v>
      </c>
      <c r="AU148" s="36"/>
      <c r="AV148" s="38"/>
      <c r="AW148" s="40" t="s">
        <v>49</v>
      </c>
    </row>
    <row r="149" spans="1:49" s="34" customFormat="1" ht="71.400000000000006" customHeight="1" x14ac:dyDescent="0.3">
      <c r="A149" s="35" t="s">
        <v>2963</v>
      </c>
      <c r="B149" s="36">
        <v>45036</v>
      </c>
      <c r="C149" s="37">
        <v>1416</v>
      </c>
      <c r="D149" s="39" t="s">
        <v>2964</v>
      </c>
      <c r="E149" s="1" t="s">
        <v>2965</v>
      </c>
      <c r="F149" s="36">
        <v>45058</v>
      </c>
      <c r="G149" s="37" t="s">
        <v>2966</v>
      </c>
      <c r="H149" s="40" t="s">
        <v>685</v>
      </c>
      <c r="I149" s="40" t="s">
        <v>761</v>
      </c>
      <c r="J149" s="41">
        <v>35018704.5</v>
      </c>
      <c r="K149" s="41">
        <v>34735915.5</v>
      </c>
      <c r="L149" s="30">
        <v>36504715.5</v>
      </c>
      <c r="M149" s="30">
        <v>36504715.5</v>
      </c>
      <c r="N149" s="40" t="s">
        <v>2835</v>
      </c>
      <c r="O149" s="40" t="s">
        <v>2967</v>
      </c>
      <c r="P149" s="40" t="s">
        <v>47</v>
      </c>
      <c r="Q149" s="44">
        <v>100</v>
      </c>
      <c r="R149" s="37">
        <v>0</v>
      </c>
      <c r="S149" s="37" t="s">
        <v>1964</v>
      </c>
      <c r="T149" s="54" t="s">
        <v>2837</v>
      </c>
      <c r="U149" s="30">
        <v>22.11</v>
      </c>
      <c r="V149" s="41" t="e">
        <v>#VALUE!</v>
      </c>
      <c r="W149" s="41">
        <v>1651050</v>
      </c>
      <c r="X149" s="41">
        <v>700000</v>
      </c>
      <c r="Y149" s="41">
        <v>86950</v>
      </c>
      <c r="Z149" s="41">
        <v>1922464.5</v>
      </c>
      <c r="AA149" s="41">
        <v>613050</v>
      </c>
      <c r="AB149" s="41">
        <v>13554535.5</v>
      </c>
      <c r="AC149" s="41">
        <v>951050</v>
      </c>
      <c r="AD149" s="41">
        <v>187600</v>
      </c>
      <c r="AE149" s="41">
        <v>4147836</v>
      </c>
      <c r="AF149" s="41">
        <v>763450</v>
      </c>
      <c r="AG149" s="41">
        <v>16879879.5</v>
      </c>
      <c r="AH149" s="41">
        <v>0</v>
      </c>
      <c r="AI149" s="41">
        <v>0</v>
      </c>
      <c r="AJ149" s="41">
        <v>0</v>
      </c>
      <c r="AK149" s="41">
        <v>0</v>
      </c>
      <c r="AL149" s="41">
        <v>0</v>
      </c>
      <c r="AM149" s="41">
        <v>6070300.5</v>
      </c>
      <c r="AN149" s="41" t="e">
        <v>#VALUE!</v>
      </c>
      <c r="AO149" s="41" t="e">
        <v>#VALUE!</v>
      </c>
      <c r="AP149" s="40"/>
      <c r="AQ149" s="36">
        <v>45092</v>
      </c>
      <c r="AR149" s="36">
        <v>45200</v>
      </c>
      <c r="AS149" s="36"/>
      <c r="AT149" s="36">
        <v>45107</v>
      </c>
      <c r="AU149" s="36">
        <v>45214</v>
      </c>
      <c r="AV149" s="38"/>
      <c r="AW149" s="40" t="s">
        <v>49</v>
      </c>
    </row>
    <row r="150" spans="1:49" s="34" customFormat="1" ht="39" customHeight="1" x14ac:dyDescent="0.3">
      <c r="A150" s="35" t="s">
        <v>2968</v>
      </c>
      <c r="B150" s="36">
        <v>45036</v>
      </c>
      <c r="C150" s="37">
        <v>1416</v>
      </c>
      <c r="D150" s="39" t="s">
        <v>2969</v>
      </c>
      <c r="E150" s="1" t="s">
        <v>2970</v>
      </c>
      <c r="F150" s="36">
        <v>45070</v>
      </c>
      <c r="G150" s="37" t="s">
        <v>2971</v>
      </c>
      <c r="H150" s="40" t="s">
        <v>186</v>
      </c>
      <c r="I150" s="40" t="s">
        <v>2972</v>
      </c>
      <c r="J150" s="41">
        <v>620714240</v>
      </c>
      <c r="K150" s="41">
        <v>620714240</v>
      </c>
      <c r="L150" s="30">
        <v>620714240</v>
      </c>
      <c r="M150" s="30">
        <v>620714240</v>
      </c>
      <c r="N150" s="40" t="s">
        <v>2973</v>
      </c>
      <c r="O150" s="40" t="s">
        <v>2974</v>
      </c>
      <c r="P150" s="40" t="s">
        <v>2975</v>
      </c>
      <c r="Q150" s="44">
        <v>0</v>
      </c>
      <c r="R150" s="37">
        <v>100</v>
      </c>
      <c r="S150" s="37" t="s">
        <v>229</v>
      </c>
      <c r="T150" s="54" t="s">
        <v>2976</v>
      </c>
      <c r="U150" s="30">
        <v>12.4</v>
      </c>
      <c r="V150" s="41" t="e">
        <v>#VALUE!</v>
      </c>
      <c r="W150" s="41">
        <v>50057600</v>
      </c>
      <c r="X150" s="41">
        <v>50057600</v>
      </c>
      <c r="Y150" s="41">
        <v>21266000</v>
      </c>
      <c r="Z150" s="41">
        <v>263698400</v>
      </c>
      <c r="AA150" s="41">
        <v>28791600</v>
      </c>
      <c r="AB150" s="41">
        <v>357015840</v>
      </c>
      <c r="AC150" s="41">
        <v>0</v>
      </c>
      <c r="AD150" s="41">
        <v>0</v>
      </c>
      <c r="AE150" s="41">
        <v>0</v>
      </c>
      <c r="AF150" s="41">
        <v>0</v>
      </c>
      <c r="AG150" s="41">
        <v>0</v>
      </c>
      <c r="AH150" s="41">
        <v>0</v>
      </c>
      <c r="AI150" s="41">
        <v>0</v>
      </c>
      <c r="AJ150" s="41">
        <v>0</v>
      </c>
      <c r="AK150" s="41">
        <v>0</v>
      </c>
      <c r="AL150" s="41">
        <v>0</v>
      </c>
      <c r="AM150" s="41">
        <v>263698400</v>
      </c>
      <c r="AN150" s="41" t="e">
        <v>#VALUE!</v>
      </c>
      <c r="AO150" s="41" t="e">
        <v>#VALUE!</v>
      </c>
      <c r="AP150" s="40"/>
      <c r="AQ150" s="36">
        <v>45158</v>
      </c>
      <c r="AR150" s="36"/>
      <c r="AS150" s="36"/>
      <c r="AT150" s="36">
        <v>45174</v>
      </c>
      <c r="AU150" s="36"/>
      <c r="AV150" s="38"/>
      <c r="AW150" s="40" t="s">
        <v>49</v>
      </c>
    </row>
    <row r="151" spans="1:49" s="34" customFormat="1" ht="39" customHeight="1" x14ac:dyDescent="0.3">
      <c r="A151" s="35" t="s">
        <v>2977</v>
      </c>
      <c r="B151" s="36">
        <v>45036</v>
      </c>
      <c r="C151" s="37">
        <v>1416</v>
      </c>
      <c r="D151" s="39" t="s">
        <v>2978</v>
      </c>
      <c r="E151" s="1" t="s">
        <v>2979</v>
      </c>
      <c r="F151" s="36">
        <v>45070</v>
      </c>
      <c r="G151" s="37" t="s">
        <v>2980</v>
      </c>
      <c r="H151" s="40" t="s">
        <v>186</v>
      </c>
      <c r="I151" s="40" t="s">
        <v>2981</v>
      </c>
      <c r="J151" s="41">
        <v>487144800</v>
      </c>
      <c r="K151" s="41">
        <v>487144800</v>
      </c>
      <c r="L151" s="30">
        <v>525164256</v>
      </c>
      <c r="M151" s="30">
        <v>525164256</v>
      </c>
      <c r="N151" s="40" t="s">
        <v>703</v>
      </c>
      <c r="O151" s="40" t="s">
        <v>643</v>
      </c>
      <c r="P151" s="40" t="s">
        <v>47</v>
      </c>
      <c r="Q151" s="44">
        <v>0</v>
      </c>
      <c r="R151" s="37">
        <v>100</v>
      </c>
      <c r="S151" s="37" t="s">
        <v>457</v>
      </c>
      <c r="T151" s="48">
        <v>400</v>
      </c>
      <c r="U151" s="30">
        <v>164.16</v>
      </c>
      <c r="V151" s="41">
        <v>65664</v>
      </c>
      <c r="W151" s="41">
        <v>3199100</v>
      </c>
      <c r="X151" s="41">
        <v>1890400</v>
      </c>
      <c r="Y151" s="41">
        <v>594400</v>
      </c>
      <c r="Z151" s="41">
        <v>97576704</v>
      </c>
      <c r="AA151" s="41">
        <v>1296000</v>
      </c>
      <c r="AB151" s="41">
        <v>212751360</v>
      </c>
      <c r="AC151" s="41">
        <v>1308700</v>
      </c>
      <c r="AD151" s="41">
        <v>380400</v>
      </c>
      <c r="AE151" s="41">
        <v>62446464</v>
      </c>
      <c r="AF151" s="41">
        <v>928300</v>
      </c>
      <c r="AG151" s="41">
        <v>152389728</v>
      </c>
      <c r="AH151" s="41">
        <v>0</v>
      </c>
      <c r="AI151" s="41">
        <v>0</v>
      </c>
      <c r="AJ151" s="41">
        <v>0</v>
      </c>
      <c r="AK151" s="41">
        <v>0</v>
      </c>
      <c r="AL151" s="41">
        <v>0</v>
      </c>
      <c r="AM151" s="41">
        <v>160023168</v>
      </c>
      <c r="AN151" s="41">
        <v>7997.75</v>
      </c>
      <c r="AO151" s="41">
        <v>7998</v>
      </c>
      <c r="AP151" s="40"/>
      <c r="AQ151" s="36">
        <v>45092</v>
      </c>
      <c r="AR151" s="36">
        <v>45200</v>
      </c>
      <c r="AS151" s="36"/>
      <c r="AT151" s="36">
        <v>45107</v>
      </c>
      <c r="AU151" s="36">
        <v>45214</v>
      </c>
      <c r="AV151" s="38"/>
      <c r="AW151" s="40" t="s">
        <v>75</v>
      </c>
    </row>
    <row r="152" spans="1:49" s="34" customFormat="1" ht="85.5" customHeight="1" x14ac:dyDescent="0.3">
      <c r="A152" s="35" t="s">
        <v>2982</v>
      </c>
      <c r="B152" s="36">
        <v>45037</v>
      </c>
      <c r="C152" s="37">
        <v>1416</v>
      </c>
      <c r="D152" s="39" t="s">
        <v>2983</v>
      </c>
      <c r="E152" s="1" t="s">
        <v>2984</v>
      </c>
      <c r="F152" s="36">
        <v>45072</v>
      </c>
      <c r="G152" s="37" t="s">
        <v>2985</v>
      </c>
      <c r="H152" s="40" t="s">
        <v>224</v>
      </c>
      <c r="I152" s="40" t="s">
        <v>935</v>
      </c>
      <c r="J152" s="41">
        <v>1010876287.5</v>
      </c>
      <c r="K152" s="41">
        <v>1010876287.5</v>
      </c>
      <c r="L152" s="30">
        <v>1015312387.5</v>
      </c>
      <c r="M152" s="30">
        <v>1015312387.5</v>
      </c>
      <c r="N152" s="40" t="s">
        <v>936</v>
      </c>
      <c r="O152" s="40" t="s">
        <v>937</v>
      </c>
      <c r="P152" s="40" t="s">
        <v>348</v>
      </c>
      <c r="Q152" s="44">
        <v>0</v>
      </c>
      <c r="R152" s="37">
        <v>100</v>
      </c>
      <c r="S152" s="37" t="s">
        <v>219</v>
      </c>
      <c r="T152" s="48">
        <v>1</v>
      </c>
      <c r="U152" s="30">
        <v>554512.5</v>
      </c>
      <c r="V152" s="41">
        <v>554512.5</v>
      </c>
      <c r="W152" s="41">
        <v>1831</v>
      </c>
      <c r="X152" s="41">
        <v>1831</v>
      </c>
      <c r="Y152" s="41">
        <v>1446</v>
      </c>
      <c r="Z152" s="41">
        <v>801825075</v>
      </c>
      <c r="AA152" s="41">
        <v>385</v>
      </c>
      <c r="AB152" s="41">
        <v>213487312.5</v>
      </c>
      <c r="AC152" s="41">
        <v>0</v>
      </c>
      <c r="AD152" s="41">
        <v>0</v>
      </c>
      <c r="AE152" s="41">
        <v>0</v>
      </c>
      <c r="AF152" s="41">
        <v>0</v>
      </c>
      <c r="AG152" s="41">
        <v>0</v>
      </c>
      <c r="AH152" s="41">
        <v>0</v>
      </c>
      <c r="AI152" s="41">
        <v>0</v>
      </c>
      <c r="AJ152" s="41">
        <v>0</v>
      </c>
      <c r="AK152" s="41">
        <v>0</v>
      </c>
      <c r="AL152" s="41">
        <v>0</v>
      </c>
      <c r="AM152" s="41">
        <v>801825075</v>
      </c>
      <c r="AN152" s="41">
        <v>1831</v>
      </c>
      <c r="AO152" s="41">
        <v>1831</v>
      </c>
      <c r="AP152" s="40"/>
      <c r="AQ152" s="36">
        <v>45092</v>
      </c>
      <c r="AR152" s="36"/>
      <c r="AS152" s="36"/>
      <c r="AT152" s="36">
        <v>45107</v>
      </c>
      <c r="AU152" s="36"/>
      <c r="AV152" s="38"/>
      <c r="AW152" s="40" t="s">
        <v>87</v>
      </c>
    </row>
    <row r="153" spans="1:49" s="34" customFormat="1" ht="46.95" customHeight="1" x14ac:dyDescent="0.3">
      <c r="A153" s="35" t="s">
        <v>2986</v>
      </c>
      <c r="B153" s="36">
        <v>45041</v>
      </c>
      <c r="C153" s="37">
        <v>1416</v>
      </c>
      <c r="D153" s="39" t="s">
        <v>2987</v>
      </c>
      <c r="E153" s="1" t="s">
        <v>2988</v>
      </c>
      <c r="F153" s="36">
        <v>45070</v>
      </c>
      <c r="G153" s="37" t="s">
        <v>2989</v>
      </c>
      <c r="H153" s="40" t="s">
        <v>186</v>
      </c>
      <c r="I153" s="40" t="s">
        <v>795</v>
      </c>
      <c r="J153" s="41">
        <v>741090552</v>
      </c>
      <c r="K153" s="41">
        <v>741090552</v>
      </c>
      <c r="L153" s="30">
        <v>741090552</v>
      </c>
      <c r="M153" s="30">
        <v>741090552</v>
      </c>
      <c r="N153" s="40" t="s">
        <v>796</v>
      </c>
      <c r="O153" s="40" t="s">
        <v>2990</v>
      </c>
      <c r="P153" s="40" t="s">
        <v>47</v>
      </c>
      <c r="Q153" s="44">
        <v>100</v>
      </c>
      <c r="R153" s="37">
        <v>0</v>
      </c>
      <c r="S153" s="37" t="s">
        <v>219</v>
      </c>
      <c r="T153" s="48">
        <v>15</v>
      </c>
      <c r="U153" s="30">
        <v>401.6</v>
      </c>
      <c r="V153" s="41">
        <v>6024</v>
      </c>
      <c r="W153" s="41">
        <v>1845345</v>
      </c>
      <c r="X153" s="41">
        <v>952500</v>
      </c>
      <c r="Y153" s="41">
        <v>709785</v>
      </c>
      <c r="Z153" s="41">
        <v>285049656</v>
      </c>
      <c r="AA153" s="41">
        <v>242715</v>
      </c>
      <c r="AB153" s="41">
        <v>97474344</v>
      </c>
      <c r="AC153" s="41">
        <v>892845</v>
      </c>
      <c r="AD153" s="41">
        <v>663525</v>
      </c>
      <c r="AE153" s="41">
        <v>266471640.00000003</v>
      </c>
      <c r="AF153" s="41">
        <v>229320</v>
      </c>
      <c r="AG153" s="41">
        <v>92094912</v>
      </c>
      <c r="AH153" s="41">
        <v>0</v>
      </c>
      <c r="AI153" s="41">
        <v>0</v>
      </c>
      <c r="AJ153" s="41">
        <v>0</v>
      </c>
      <c r="AK153" s="41">
        <v>0</v>
      </c>
      <c r="AL153" s="41">
        <v>0</v>
      </c>
      <c r="AM153" s="41">
        <v>551521296</v>
      </c>
      <c r="AN153" s="41">
        <v>123023</v>
      </c>
      <c r="AO153" s="41">
        <v>123023</v>
      </c>
      <c r="AP153" s="40"/>
      <c r="AQ153" s="36">
        <v>45170</v>
      </c>
      <c r="AR153" s="36">
        <v>45261</v>
      </c>
      <c r="AS153" s="36"/>
      <c r="AT153" s="36">
        <v>45184</v>
      </c>
      <c r="AU153" s="36">
        <v>45275</v>
      </c>
      <c r="AV153" s="38"/>
      <c r="AW153" s="40" t="s">
        <v>49</v>
      </c>
    </row>
    <row r="154" spans="1:49" s="34" customFormat="1" ht="124.8" x14ac:dyDescent="0.3">
      <c r="A154" s="35" t="s">
        <v>2991</v>
      </c>
      <c r="B154" s="36">
        <v>45041</v>
      </c>
      <c r="C154" s="37">
        <v>1416</v>
      </c>
      <c r="D154" s="39" t="s">
        <v>2992</v>
      </c>
      <c r="E154" s="1" t="s">
        <v>2993</v>
      </c>
      <c r="F154" s="36">
        <v>45062</v>
      </c>
      <c r="G154" s="37" t="s">
        <v>2994</v>
      </c>
      <c r="H154" s="40" t="s">
        <v>858</v>
      </c>
      <c r="I154" s="40" t="s">
        <v>460</v>
      </c>
      <c r="J154" s="41">
        <v>150947977.59999999</v>
      </c>
      <c r="K154" s="41">
        <v>150947977.59999999</v>
      </c>
      <c r="L154" s="30">
        <v>150947977.59999999</v>
      </c>
      <c r="M154" s="30">
        <v>150947977.59999999</v>
      </c>
      <c r="N154" s="40" t="s">
        <v>2995</v>
      </c>
      <c r="O154" s="40" t="s">
        <v>2996</v>
      </c>
      <c r="P154" s="40" t="s">
        <v>47</v>
      </c>
      <c r="Q154" s="44">
        <v>100</v>
      </c>
      <c r="R154" s="37">
        <v>0</v>
      </c>
      <c r="S154" s="37" t="s">
        <v>219</v>
      </c>
      <c r="T154" s="48">
        <v>28</v>
      </c>
      <c r="U154" s="30">
        <v>258.39999999999998</v>
      </c>
      <c r="V154" s="41">
        <v>7235.1999999999989</v>
      </c>
      <c r="W154" s="41">
        <v>584164</v>
      </c>
      <c r="X154" s="41">
        <v>584164</v>
      </c>
      <c r="Y154" s="41">
        <v>476</v>
      </c>
      <c r="Z154" s="41">
        <v>122998.39999999999</v>
      </c>
      <c r="AA154" s="41">
        <v>583688</v>
      </c>
      <c r="AB154" s="41">
        <v>150824979.19999999</v>
      </c>
      <c r="AC154" s="41">
        <v>0</v>
      </c>
      <c r="AD154" s="41">
        <v>0</v>
      </c>
      <c r="AE154" s="41">
        <v>0</v>
      </c>
      <c r="AF154" s="41">
        <v>0</v>
      </c>
      <c r="AG154" s="41">
        <v>0</v>
      </c>
      <c r="AH154" s="41">
        <v>0</v>
      </c>
      <c r="AI154" s="41">
        <v>0</v>
      </c>
      <c r="AJ154" s="41">
        <v>0</v>
      </c>
      <c r="AK154" s="41">
        <v>0</v>
      </c>
      <c r="AL154" s="41">
        <v>0</v>
      </c>
      <c r="AM154" s="41">
        <v>122998.39999999999</v>
      </c>
      <c r="AN154" s="41">
        <v>20863</v>
      </c>
      <c r="AO154" s="41">
        <v>20863</v>
      </c>
      <c r="AP154" s="40"/>
      <c r="AQ154" s="36">
        <v>45092</v>
      </c>
      <c r="AR154" s="36"/>
      <c r="AS154" s="36"/>
      <c r="AT154" s="36">
        <v>45107</v>
      </c>
      <c r="AU154" s="36"/>
      <c r="AV154" s="38"/>
      <c r="AW154" s="40" t="s">
        <v>87</v>
      </c>
    </row>
    <row r="155" spans="1:49" s="34" customFormat="1" ht="124.8" x14ac:dyDescent="0.3">
      <c r="A155" s="35" t="s">
        <v>2997</v>
      </c>
      <c r="B155" s="36">
        <v>45041</v>
      </c>
      <c r="C155" s="37">
        <v>1416</v>
      </c>
      <c r="D155" s="39" t="s">
        <v>2998</v>
      </c>
      <c r="E155" s="1" t="s">
        <v>2999</v>
      </c>
      <c r="F155" s="36">
        <v>45062</v>
      </c>
      <c r="G155" s="37" t="s">
        <v>3000</v>
      </c>
      <c r="H155" s="40" t="s">
        <v>858</v>
      </c>
      <c r="I155" s="40" t="s">
        <v>388</v>
      </c>
      <c r="J155" s="41">
        <v>169452340.25999999</v>
      </c>
      <c r="K155" s="41">
        <v>169452340.25999999</v>
      </c>
      <c r="L155" s="30">
        <v>169452340.25999999</v>
      </c>
      <c r="M155" s="30">
        <v>169452340.25999999</v>
      </c>
      <c r="N155" s="40" t="s">
        <v>2995</v>
      </c>
      <c r="O155" s="40" t="s">
        <v>3001</v>
      </c>
      <c r="P155" s="40" t="s">
        <v>47</v>
      </c>
      <c r="Q155" s="44">
        <v>100</v>
      </c>
      <c r="R155" s="37">
        <v>0</v>
      </c>
      <c r="S155" s="37" t="s">
        <v>219</v>
      </c>
      <c r="T155" s="48">
        <v>6</v>
      </c>
      <c r="U155" s="30">
        <v>516.79</v>
      </c>
      <c r="V155" s="41">
        <v>3100.74</v>
      </c>
      <c r="W155" s="41">
        <v>327894</v>
      </c>
      <c r="X155" s="41">
        <v>327894</v>
      </c>
      <c r="Y155" s="41">
        <v>534</v>
      </c>
      <c r="Z155" s="41">
        <v>275965.86</v>
      </c>
      <c r="AA155" s="41">
        <v>327360</v>
      </c>
      <c r="AB155" s="41">
        <v>169176374.39999998</v>
      </c>
      <c r="AC155" s="41">
        <v>0</v>
      </c>
      <c r="AD155" s="41">
        <v>0</v>
      </c>
      <c r="AE155" s="41">
        <v>0</v>
      </c>
      <c r="AF155" s="41">
        <v>0</v>
      </c>
      <c r="AG155" s="41">
        <v>0</v>
      </c>
      <c r="AH155" s="41">
        <v>0</v>
      </c>
      <c r="AI155" s="41">
        <v>0</v>
      </c>
      <c r="AJ155" s="41">
        <v>0</v>
      </c>
      <c r="AK155" s="41">
        <v>0</v>
      </c>
      <c r="AL155" s="41">
        <v>0</v>
      </c>
      <c r="AM155" s="41">
        <v>275965.86</v>
      </c>
      <c r="AN155" s="41">
        <v>54649</v>
      </c>
      <c r="AO155" s="41">
        <v>54649</v>
      </c>
      <c r="AP155" s="40"/>
      <c r="AQ155" s="36">
        <v>45092</v>
      </c>
      <c r="AR155" s="36"/>
      <c r="AS155" s="36"/>
      <c r="AT155" s="36">
        <v>45107</v>
      </c>
      <c r="AU155" s="36"/>
      <c r="AV155" s="38"/>
      <c r="AW155" s="40" t="s">
        <v>87</v>
      </c>
    </row>
    <row r="156" spans="1:49" s="34" customFormat="1" ht="110.4" customHeight="1" x14ac:dyDescent="0.3">
      <c r="A156" s="35" t="s">
        <v>3002</v>
      </c>
      <c r="B156" s="36">
        <v>45041</v>
      </c>
      <c r="C156" s="37">
        <v>1416</v>
      </c>
      <c r="D156" s="39" t="s">
        <v>3003</v>
      </c>
      <c r="E156" s="1" t="s">
        <v>3004</v>
      </c>
      <c r="F156" s="36">
        <v>45069</v>
      </c>
      <c r="G156" s="37" t="s">
        <v>3005</v>
      </c>
      <c r="H156" s="40" t="s">
        <v>224</v>
      </c>
      <c r="I156" s="40" t="s">
        <v>3006</v>
      </c>
      <c r="J156" s="41">
        <v>351390960</v>
      </c>
      <c r="K156" s="41">
        <v>351390960</v>
      </c>
      <c r="L156" s="30">
        <v>372053760</v>
      </c>
      <c r="M156" s="30">
        <v>372053760</v>
      </c>
      <c r="N156" s="40" t="s">
        <v>780</v>
      </c>
      <c r="O156" s="40" t="s">
        <v>2679</v>
      </c>
      <c r="P156" s="40" t="s">
        <v>218</v>
      </c>
      <c r="Q156" s="44">
        <v>0</v>
      </c>
      <c r="R156" s="37">
        <v>100</v>
      </c>
      <c r="S156" s="37" t="s">
        <v>229</v>
      </c>
      <c r="T156" s="48">
        <v>2400</v>
      </c>
      <c r="U156" s="30">
        <v>12.85</v>
      </c>
      <c r="V156" s="41">
        <v>30840</v>
      </c>
      <c r="W156" s="41">
        <v>28953600</v>
      </c>
      <c r="X156" s="41">
        <v>17613600</v>
      </c>
      <c r="Y156" s="41">
        <v>4608000</v>
      </c>
      <c r="Z156" s="41">
        <v>59212800</v>
      </c>
      <c r="AA156" s="41">
        <v>13005600</v>
      </c>
      <c r="AB156" s="41">
        <v>167121960</v>
      </c>
      <c r="AC156" s="41">
        <v>11340000</v>
      </c>
      <c r="AD156" s="41">
        <v>4068000</v>
      </c>
      <c r="AE156" s="41">
        <v>52273800</v>
      </c>
      <c r="AF156" s="41">
        <v>7272000</v>
      </c>
      <c r="AG156" s="41">
        <v>93445200</v>
      </c>
      <c r="AH156" s="41">
        <v>0</v>
      </c>
      <c r="AI156" s="41">
        <v>0</v>
      </c>
      <c r="AJ156" s="41">
        <v>0</v>
      </c>
      <c r="AK156" s="41">
        <v>0</v>
      </c>
      <c r="AL156" s="41">
        <v>0</v>
      </c>
      <c r="AM156" s="41">
        <v>111486600</v>
      </c>
      <c r="AN156" s="41">
        <v>12064</v>
      </c>
      <c r="AO156" s="41">
        <v>12064</v>
      </c>
      <c r="AP156" s="40"/>
      <c r="AQ156" s="36">
        <v>45092</v>
      </c>
      <c r="AR156" s="36">
        <v>45199</v>
      </c>
      <c r="AS156" s="36"/>
      <c r="AT156" s="36">
        <v>45107</v>
      </c>
      <c r="AU156" s="36">
        <v>45214</v>
      </c>
      <c r="AV156" s="38"/>
      <c r="AW156" s="40" t="s">
        <v>75</v>
      </c>
    </row>
    <row r="157" spans="1:49" s="34" customFormat="1" ht="72" x14ac:dyDescent="0.3">
      <c r="A157" s="35" t="s">
        <v>3007</v>
      </c>
      <c r="B157" s="36">
        <v>45041</v>
      </c>
      <c r="C157" s="37">
        <v>1416</v>
      </c>
      <c r="D157" s="39" t="s">
        <v>3008</v>
      </c>
      <c r="E157" s="1" t="s">
        <v>3009</v>
      </c>
      <c r="F157" s="36">
        <v>45072</v>
      </c>
      <c r="G157" s="37" t="s">
        <v>3010</v>
      </c>
      <c r="H157" s="40" t="s">
        <v>186</v>
      </c>
      <c r="I157" s="40" t="s">
        <v>811</v>
      </c>
      <c r="J157" s="41">
        <v>1783240479</v>
      </c>
      <c r="K157" s="41">
        <v>1783240479</v>
      </c>
      <c r="L157" s="30">
        <v>1783240479</v>
      </c>
      <c r="M157" s="30">
        <v>1783240479</v>
      </c>
      <c r="N157" s="40" t="s">
        <v>812</v>
      </c>
      <c r="O157" s="40" t="s">
        <v>813</v>
      </c>
      <c r="P157" s="40" t="s">
        <v>47</v>
      </c>
      <c r="Q157" s="44">
        <v>100</v>
      </c>
      <c r="R157" s="37">
        <v>0</v>
      </c>
      <c r="S157" s="37" t="s">
        <v>219</v>
      </c>
      <c r="T157" s="48">
        <v>30</v>
      </c>
      <c r="U157" s="30">
        <v>9102.81</v>
      </c>
      <c r="V157" s="41">
        <v>273084.3</v>
      </c>
      <c r="W157" s="41">
        <v>195900</v>
      </c>
      <c r="X157" s="41">
        <v>95100</v>
      </c>
      <c r="Y157" s="41">
        <v>33870</v>
      </c>
      <c r="Z157" s="41">
        <v>308312174.69999999</v>
      </c>
      <c r="AA157" s="41">
        <v>61230</v>
      </c>
      <c r="AB157" s="41">
        <v>557365056.29999995</v>
      </c>
      <c r="AC157" s="41">
        <v>100800</v>
      </c>
      <c r="AD157" s="41">
        <v>33000</v>
      </c>
      <c r="AE157" s="41">
        <v>300392730</v>
      </c>
      <c r="AF157" s="41">
        <v>67800</v>
      </c>
      <c r="AG157" s="41">
        <v>617170518</v>
      </c>
      <c r="AH157" s="41">
        <v>0</v>
      </c>
      <c r="AI157" s="41">
        <v>0</v>
      </c>
      <c r="AJ157" s="41">
        <v>0</v>
      </c>
      <c r="AK157" s="41">
        <v>0</v>
      </c>
      <c r="AL157" s="41">
        <v>0</v>
      </c>
      <c r="AM157" s="41">
        <v>608704904.70000005</v>
      </c>
      <c r="AN157" s="41">
        <v>6530</v>
      </c>
      <c r="AO157" s="41">
        <v>6530</v>
      </c>
      <c r="AP157" s="40"/>
      <c r="AQ157" s="36">
        <v>45092</v>
      </c>
      <c r="AR157" s="36">
        <v>45200</v>
      </c>
      <c r="AS157" s="36"/>
      <c r="AT157" s="36">
        <v>45107</v>
      </c>
      <c r="AU157" s="36">
        <v>45214</v>
      </c>
      <c r="AV157" s="38"/>
      <c r="AW157" s="40" t="s">
        <v>75</v>
      </c>
    </row>
    <row r="158" spans="1:49" s="34" customFormat="1" ht="72" x14ac:dyDescent="0.3">
      <c r="A158" s="35" t="s">
        <v>3011</v>
      </c>
      <c r="B158" s="36">
        <v>45042</v>
      </c>
      <c r="C158" s="37">
        <v>1416</v>
      </c>
      <c r="D158" s="39" t="s">
        <v>3012</v>
      </c>
      <c r="E158" s="1" t="s">
        <v>3013</v>
      </c>
      <c r="F158" s="36">
        <v>45072</v>
      </c>
      <c r="G158" s="37" t="s">
        <v>3014</v>
      </c>
      <c r="H158" s="40" t="s">
        <v>563</v>
      </c>
      <c r="I158" s="40" t="s">
        <v>3015</v>
      </c>
      <c r="J158" s="41">
        <v>96113539.200000003</v>
      </c>
      <c r="K158" s="41">
        <v>1922030.88</v>
      </c>
      <c r="L158" s="30">
        <v>1922030.88</v>
      </c>
      <c r="M158" s="30">
        <v>1922030.88</v>
      </c>
      <c r="N158" s="40" t="s">
        <v>565</v>
      </c>
      <c r="O158" s="40" t="s">
        <v>3016</v>
      </c>
      <c r="P158" s="40" t="s">
        <v>47</v>
      </c>
      <c r="Q158" s="44">
        <v>100</v>
      </c>
      <c r="R158" s="37">
        <v>0</v>
      </c>
      <c r="S158" s="37" t="s">
        <v>1964</v>
      </c>
      <c r="T158" s="48">
        <v>21</v>
      </c>
      <c r="U158" s="30">
        <v>48.07</v>
      </c>
      <c r="V158" s="41">
        <v>1009.47</v>
      </c>
      <c r="W158" s="41">
        <v>39984</v>
      </c>
      <c r="X158" s="41">
        <v>19992</v>
      </c>
      <c r="Y158" s="41">
        <v>63</v>
      </c>
      <c r="Z158" s="41">
        <v>3028.41</v>
      </c>
      <c r="AA158" s="41">
        <v>19929</v>
      </c>
      <c r="AB158" s="41">
        <v>957987.03</v>
      </c>
      <c r="AC158" s="41">
        <v>19992</v>
      </c>
      <c r="AD158" s="41">
        <v>63</v>
      </c>
      <c r="AE158" s="41">
        <v>3028.41</v>
      </c>
      <c r="AF158" s="41">
        <v>19929</v>
      </c>
      <c r="AG158" s="41">
        <v>957987.03</v>
      </c>
      <c r="AH158" s="41">
        <v>0</v>
      </c>
      <c r="AI158" s="41">
        <v>0</v>
      </c>
      <c r="AJ158" s="41">
        <v>0</v>
      </c>
      <c r="AK158" s="41">
        <v>0</v>
      </c>
      <c r="AL158" s="41">
        <v>0</v>
      </c>
      <c r="AM158" s="41">
        <v>6056.82</v>
      </c>
      <c r="AN158" s="41">
        <v>1904</v>
      </c>
      <c r="AO158" s="41">
        <v>1904</v>
      </c>
      <c r="AP158" s="40"/>
      <c r="AQ158" s="36">
        <v>45092</v>
      </c>
      <c r="AR158" s="36">
        <v>45170</v>
      </c>
      <c r="AS158" s="36"/>
      <c r="AT158" s="36">
        <v>45107</v>
      </c>
      <c r="AU158" s="36">
        <v>45184</v>
      </c>
      <c r="AV158" s="38"/>
      <c r="AW158" s="40" t="s">
        <v>49</v>
      </c>
    </row>
    <row r="159" spans="1:49" s="34" customFormat="1" ht="35.4" customHeight="1" x14ac:dyDescent="0.3">
      <c r="A159" s="35" t="s">
        <v>3023</v>
      </c>
      <c r="B159" s="36">
        <v>45042</v>
      </c>
      <c r="C159" s="37">
        <v>1416</v>
      </c>
      <c r="D159" s="39" t="s">
        <v>3024</v>
      </c>
      <c r="E159" s="1" t="s">
        <v>3025</v>
      </c>
      <c r="F159" s="36">
        <v>45076</v>
      </c>
      <c r="G159" s="37" t="s">
        <v>3026</v>
      </c>
      <c r="H159" s="40" t="s">
        <v>571</v>
      </c>
      <c r="I159" s="40" t="s">
        <v>3027</v>
      </c>
      <c r="J159" s="41">
        <v>337937958.32999998</v>
      </c>
      <c r="K159" s="41">
        <v>192759156.87</v>
      </c>
      <c r="L159" s="30">
        <v>192759156.87</v>
      </c>
      <c r="M159" s="30">
        <v>192759156.87</v>
      </c>
      <c r="N159" s="40" t="s">
        <v>3028</v>
      </c>
      <c r="O159" s="40" t="s">
        <v>3029</v>
      </c>
      <c r="P159" s="40" t="s">
        <v>47</v>
      </c>
      <c r="Q159" s="44">
        <v>100</v>
      </c>
      <c r="R159" s="37">
        <v>0</v>
      </c>
      <c r="S159" s="37" t="s">
        <v>1964</v>
      </c>
      <c r="T159" s="48">
        <v>21</v>
      </c>
      <c r="U159" s="30">
        <v>2056.69</v>
      </c>
      <c r="V159" s="41">
        <v>43190.49</v>
      </c>
      <c r="W159" s="41">
        <v>93723</v>
      </c>
      <c r="X159" s="41">
        <v>0</v>
      </c>
      <c r="Y159" s="41">
        <v>0</v>
      </c>
      <c r="Z159" s="41">
        <v>0</v>
      </c>
      <c r="AA159" s="41">
        <v>0</v>
      </c>
      <c r="AB159" s="41">
        <v>0</v>
      </c>
      <c r="AC159" s="41">
        <v>46872</v>
      </c>
      <c r="AD159" s="41">
        <v>0</v>
      </c>
      <c r="AE159" s="41">
        <v>0</v>
      </c>
      <c r="AF159" s="41">
        <v>46872</v>
      </c>
      <c r="AG159" s="41">
        <v>96401173.680000007</v>
      </c>
      <c r="AH159" s="41">
        <v>46851</v>
      </c>
      <c r="AI159" s="41">
        <v>0</v>
      </c>
      <c r="AJ159" s="41">
        <v>0</v>
      </c>
      <c r="AK159" s="41">
        <v>46851</v>
      </c>
      <c r="AL159" s="41">
        <v>0</v>
      </c>
      <c r="AM159" s="41">
        <v>0</v>
      </c>
      <c r="AN159" s="41">
        <v>4463</v>
      </c>
      <c r="AO159" s="41">
        <v>4463</v>
      </c>
      <c r="AP159" s="40"/>
      <c r="AQ159" s="36">
        <v>45092</v>
      </c>
      <c r="AR159" s="36">
        <v>45170</v>
      </c>
      <c r="AS159" s="36"/>
      <c r="AT159" s="36">
        <v>45107</v>
      </c>
      <c r="AU159" s="36">
        <v>45184</v>
      </c>
      <c r="AV159" s="38"/>
      <c r="AW159" s="40" t="s">
        <v>49</v>
      </c>
    </row>
    <row r="160" spans="1:49" s="34" customFormat="1" ht="37.200000000000003" customHeight="1" x14ac:dyDescent="0.3">
      <c r="A160" s="35" t="s">
        <v>3032</v>
      </c>
      <c r="B160" s="36">
        <v>45042</v>
      </c>
      <c r="C160" s="37">
        <v>1416</v>
      </c>
      <c r="D160" s="39" t="s">
        <v>3033</v>
      </c>
      <c r="E160" s="1" t="s">
        <v>3034</v>
      </c>
      <c r="F160" s="36">
        <v>45064</v>
      </c>
      <c r="G160" s="37" t="s">
        <v>3035</v>
      </c>
      <c r="H160" s="40" t="s">
        <v>571</v>
      </c>
      <c r="I160" s="40" t="s">
        <v>3036</v>
      </c>
      <c r="J160" s="41">
        <v>8581566</v>
      </c>
      <c r="K160" s="41">
        <v>8538654.5999999996</v>
      </c>
      <c r="L160" s="30">
        <v>8538654.5999999996</v>
      </c>
      <c r="M160" s="30">
        <v>8538654.5999999996</v>
      </c>
      <c r="N160" s="40" t="s">
        <v>3028</v>
      </c>
      <c r="O160" s="40" t="s">
        <v>3037</v>
      </c>
      <c r="P160" s="40" t="s">
        <v>47</v>
      </c>
      <c r="Q160" s="44">
        <v>100</v>
      </c>
      <c r="R160" s="37">
        <v>0</v>
      </c>
      <c r="S160" s="37" t="s">
        <v>1964</v>
      </c>
      <c r="T160" s="48">
        <v>21</v>
      </c>
      <c r="U160" s="30">
        <v>1195.8899999999999</v>
      </c>
      <c r="V160" s="41">
        <v>25113.69</v>
      </c>
      <c r="W160" s="41">
        <v>7140</v>
      </c>
      <c r="X160" s="41">
        <v>7140</v>
      </c>
      <c r="Y160" s="41">
        <v>0</v>
      </c>
      <c r="Z160" s="41">
        <v>0</v>
      </c>
      <c r="AA160" s="41">
        <v>7140</v>
      </c>
      <c r="AB160" s="41">
        <v>8538654.5999999996</v>
      </c>
      <c r="AC160" s="41">
        <v>0</v>
      </c>
      <c r="AD160" s="41">
        <v>0</v>
      </c>
      <c r="AE160" s="41">
        <v>0</v>
      </c>
      <c r="AF160" s="41">
        <v>0</v>
      </c>
      <c r="AG160" s="41">
        <v>0</v>
      </c>
      <c r="AH160" s="41">
        <v>0</v>
      </c>
      <c r="AI160" s="41">
        <v>0</v>
      </c>
      <c r="AJ160" s="41">
        <v>0</v>
      </c>
      <c r="AK160" s="41">
        <v>0</v>
      </c>
      <c r="AL160" s="41">
        <v>0</v>
      </c>
      <c r="AM160" s="41">
        <v>0</v>
      </c>
      <c r="AN160" s="41">
        <v>340</v>
      </c>
      <c r="AO160" s="41">
        <v>340</v>
      </c>
      <c r="AP160" s="40"/>
      <c r="AQ160" s="36">
        <v>45092</v>
      </c>
      <c r="AR160" s="36"/>
      <c r="AS160" s="36"/>
      <c r="AT160" s="36">
        <v>45107</v>
      </c>
      <c r="AU160" s="36"/>
      <c r="AV160" s="38"/>
      <c r="AW160" s="40" t="s">
        <v>49</v>
      </c>
    </row>
    <row r="161" spans="1:49" s="34" customFormat="1" ht="47.4" customHeight="1" x14ac:dyDescent="0.3">
      <c r="A161" s="35" t="s">
        <v>3044</v>
      </c>
      <c r="B161" s="36">
        <v>45042</v>
      </c>
      <c r="C161" s="37">
        <v>1416</v>
      </c>
      <c r="D161" s="39" t="s">
        <v>3045</v>
      </c>
      <c r="E161" s="1" t="s">
        <v>3046</v>
      </c>
      <c r="F161" s="36">
        <v>45070</v>
      </c>
      <c r="G161" s="37" t="s">
        <v>3047</v>
      </c>
      <c r="H161" s="40" t="s">
        <v>186</v>
      </c>
      <c r="I161" s="40" t="s">
        <v>3048</v>
      </c>
      <c r="J161" s="41">
        <v>36232880</v>
      </c>
      <c r="K161" s="41">
        <v>36232880</v>
      </c>
      <c r="L161" s="30">
        <v>36232880</v>
      </c>
      <c r="M161" s="30">
        <v>36232880</v>
      </c>
      <c r="N161" s="40" t="s">
        <v>325</v>
      </c>
      <c r="O161" s="40" t="s">
        <v>3049</v>
      </c>
      <c r="P161" s="40" t="s">
        <v>47</v>
      </c>
      <c r="Q161" s="44">
        <v>100</v>
      </c>
      <c r="R161" s="37">
        <v>0</v>
      </c>
      <c r="S161" s="37" t="s">
        <v>229</v>
      </c>
      <c r="T161" s="48">
        <v>500</v>
      </c>
      <c r="U161" s="30">
        <v>12.52</v>
      </c>
      <c r="V161" s="41">
        <v>6260</v>
      </c>
      <c r="W161" s="41">
        <v>2894000</v>
      </c>
      <c r="X161" s="41">
        <v>2894000</v>
      </c>
      <c r="Y161" s="41">
        <v>175000</v>
      </c>
      <c r="Z161" s="41">
        <v>2191000</v>
      </c>
      <c r="AA161" s="41">
        <v>2719000</v>
      </c>
      <c r="AB161" s="41">
        <v>34041880</v>
      </c>
      <c r="AC161" s="41">
        <v>0</v>
      </c>
      <c r="AD161" s="41">
        <v>0</v>
      </c>
      <c r="AE161" s="41">
        <v>0</v>
      </c>
      <c r="AF161" s="41">
        <v>0</v>
      </c>
      <c r="AG161" s="41">
        <v>0</v>
      </c>
      <c r="AH161" s="41">
        <v>0</v>
      </c>
      <c r="AI161" s="41">
        <v>0</v>
      </c>
      <c r="AJ161" s="41">
        <v>0</v>
      </c>
      <c r="AK161" s="41">
        <v>0</v>
      </c>
      <c r="AL161" s="41">
        <v>0</v>
      </c>
      <c r="AM161" s="41">
        <v>2191000</v>
      </c>
      <c r="AN161" s="41">
        <v>5788</v>
      </c>
      <c r="AO161" s="41">
        <v>5788</v>
      </c>
      <c r="AP161" s="40"/>
      <c r="AQ161" s="36">
        <v>45158</v>
      </c>
      <c r="AR161" s="36"/>
      <c r="AS161" s="36"/>
      <c r="AT161" s="36">
        <v>45174</v>
      </c>
      <c r="AU161" s="36"/>
      <c r="AV161" s="38"/>
      <c r="AW161" s="40" t="s">
        <v>49</v>
      </c>
    </row>
    <row r="162" spans="1:49" s="34" customFormat="1" ht="70.95" customHeight="1" x14ac:dyDescent="0.3">
      <c r="A162" s="35" t="s">
        <v>3050</v>
      </c>
      <c r="B162" s="36">
        <v>45042</v>
      </c>
      <c r="C162" s="37">
        <v>1416</v>
      </c>
      <c r="D162" s="39" t="s">
        <v>3051</v>
      </c>
      <c r="E162" s="1" t="s">
        <v>3052</v>
      </c>
      <c r="F162" s="36">
        <v>45072</v>
      </c>
      <c r="G162" s="37" t="s">
        <v>3053</v>
      </c>
      <c r="H162" s="40" t="s">
        <v>353</v>
      </c>
      <c r="I162" s="40" t="s">
        <v>3054</v>
      </c>
      <c r="J162" s="41">
        <v>1139906001.0799999</v>
      </c>
      <c r="K162" s="41">
        <v>1139906001.0799999</v>
      </c>
      <c r="L162" s="30">
        <v>1139906001.0799999</v>
      </c>
      <c r="M162" s="30">
        <v>1139906001.0799999</v>
      </c>
      <c r="N162" s="40" t="s">
        <v>355</v>
      </c>
      <c r="O162" s="40" t="s">
        <v>356</v>
      </c>
      <c r="P162" s="40" t="s">
        <v>357</v>
      </c>
      <c r="Q162" s="44">
        <v>0</v>
      </c>
      <c r="R162" s="37">
        <v>100</v>
      </c>
      <c r="S162" s="37" t="s">
        <v>219</v>
      </c>
      <c r="T162" s="67">
        <v>0.7</v>
      </c>
      <c r="U162" s="30">
        <v>263842.7</v>
      </c>
      <c r="V162" s="41">
        <v>184689.88999999998</v>
      </c>
      <c r="W162" s="41">
        <v>4320.3999999999996</v>
      </c>
      <c r="X162" s="41">
        <v>2012.5</v>
      </c>
      <c r="Y162" s="41">
        <v>1089.2</v>
      </c>
      <c r="Z162" s="41">
        <v>287377468.84000003</v>
      </c>
      <c r="AA162" s="41">
        <v>923.3</v>
      </c>
      <c r="AB162" s="41">
        <v>243605964.91</v>
      </c>
      <c r="AC162" s="41">
        <v>2307.8999999999996</v>
      </c>
      <c r="AD162" s="41">
        <v>1216.5999999999999</v>
      </c>
      <c r="AE162" s="41">
        <v>320991028.81999999</v>
      </c>
      <c r="AF162" s="41">
        <v>1091.3</v>
      </c>
      <c r="AG162" s="41">
        <v>287931538.50999999</v>
      </c>
      <c r="AH162" s="41">
        <v>0</v>
      </c>
      <c r="AI162" s="41">
        <v>0</v>
      </c>
      <c r="AJ162" s="41">
        <v>0</v>
      </c>
      <c r="AK162" s="41">
        <v>0</v>
      </c>
      <c r="AL162" s="41">
        <v>0</v>
      </c>
      <c r="AM162" s="41">
        <v>608368497.66000009</v>
      </c>
      <c r="AN162" s="41">
        <v>6172</v>
      </c>
      <c r="AO162" s="41">
        <v>6172</v>
      </c>
      <c r="AP162" s="40"/>
      <c r="AQ162" s="36">
        <v>45092</v>
      </c>
      <c r="AR162" s="36">
        <v>45139</v>
      </c>
      <c r="AS162" s="36"/>
      <c r="AT162" s="36">
        <v>45107</v>
      </c>
      <c r="AU162" s="36">
        <v>45153</v>
      </c>
      <c r="AV162" s="38"/>
      <c r="AW162" s="40" t="s">
        <v>75</v>
      </c>
    </row>
    <row r="163" spans="1:49" s="34" customFormat="1" ht="72" x14ac:dyDescent="0.3">
      <c r="A163" s="35" t="s">
        <v>3063</v>
      </c>
      <c r="B163" s="36">
        <v>45042</v>
      </c>
      <c r="C163" s="37">
        <v>1416</v>
      </c>
      <c r="D163" s="39" t="s">
        <v>3064</v>
      </c>
      <c r="E163" s="1" t="s">
        <v>3065</v>
      </c>
      <c r="F163" s="36">
        <v>45069</v>
      </c>
      <c r="G163" s="37" t="s">
        <v>3066</v>
      </c>
      <c r="H163" s="40" t="s">
        <v>344</v>
      </c>
      <c r="I163" s="40" t="s">
        <v>3067</v>
      </c>
      <c r="J163" s="41">
        <v>50656238.600000001</v>
      </c>
      <c r="K163" s="41">
        <v>50656238.600000001</v>
      </c>
      <c r="L163" s="30">
        <v>50656238.600000001</v>
      </c>
      <c r="M163" s="30">
        <v>50656238.600000001</v>
      </c>
      <c r="N163" s="40" t="s">
        <v>3068</v>
      </c>
      <c r="O163" s="40" t="s">
        <v>3069</v>
      </c>
      <c r="P163" s="40" t="s">
        <v>348</v>
      </c>
      <c r="Q163" s="44">
        <v>0</v>
      </c>
      <c r="R163" s="37">
        <v>100</v>
      </c>
      <c r="S163" s="37" t="s">
        <v>219</v>
      </c>
      <c r="T163" s="48">
        <v>5</v>
      </c>
      <c r="U163" s="30">
        <v>3559.82</v>
      </c>
      <c r="V163" s="41">
        <v>17799.100000000002</v>
      </c>
      <c r="W163" s="41">
        <v>14230</v>
      </c>
      <c r="X163" s="41">
        <v>14230</v>
      </c>
      <c r="Y163" s="41">
        <v>0</v>
      </c>
      <c r="Z163" s="41">
        <v>0</v>
      </c>
      <c r="AA163" s="41">
        <v>14230</v>
      </c>
      <c r="AB163" s="41">
        <v>50656238.600000001</v>
      </c>
      <c r="AC163" s="41">
        <v>0</v>
      </c>
      <c r="AD163" s="41">
        <v>0</v>
      </c>
      <c r="AE163" s="41">
        <v>0</v>
      </c>
      <c r="AF163" s="41">
        <v>0</v>
      </c>
      <c r="AG163" s="41">
        <v>0</v>
      </c>
      <c r="AH163" s="41">
        <v>0</v>
      </c>
      <c r="AI163" s="41">
        <v>0</v>
      </c>
      <c r="AJ163" s="41">
        <v>0</v>
      </c>
      <c r="AK163" s="41">
        <v>0</v>
      </c>
      <c r="AL163" s="41">
        <v>0</v>
      </c>
      <c r="AM163" s="41">
        <v>0</v>
      </c>
      <c r="AN163" s="41">
        <v>2846</v>
      </c>
      <c r="AO163" s="41">
        <v>2846</v>
      </c>
      <c r="AP163" s="40"/>
      <c r="AQ163" s="36">
        <v>45148</v>
      </c>
      <c r="AR163" s="36"/>
      <c r="AS163" s="36"/>
      <c r="AT163" s="36">
        <v>45163</v>
      </c>
      <c r="AU163" s="36"/>
      <c r="AV163" s="38"/>
      <c r="AW163" s="40" t="s">
        <v>49</v>
      </c>
    </row>
    <row r="164" spans="1:49" s="34" customFormat="1" ht="46.95" customHeight="1" x14ac:dyDescent="0.3">
      <c r="A164" s="35" t="s">
        <v>3070</v>
      </c>
      <c r="B164" s="36">
        <v>45044</v>
      </c>
      <c r="C164" s="37">
        <v>1416</v>
      </c>
      <c r="D164" s="39" t="s">
        <v>3071</v>
      </c>
      <c r="E164" s="1" t="s">
        <v>3072</v>
      </c>
      <c r="F164" s="36">
        <v>45072</v>
      </c>
      <c r="G164" s="37" t="s">
        <v>3073</v>
      </c>
      <c r="H164" s="40" t="s">
        <v>186</v>
      </c>
      <c r="I164" s="40" t="s">
        <v>3074</v>
      </c>
      <c r="J164" s="41">
        <v>75021450</v>
      </c>
      <c r="K164" s="41">
        <v>75021450</v>
      </c>
      <c r="L164" s="30">
        <v>78887130</v>
      </c>
      <c r="M164" s="30">
        <v>78887130</v>
      </c>
      <c r="N164" s="40" t="s">
        <v>325</v>
      </c>
      <c r="O164" s="40" t="s">
        <v>3075</v>
      </c>
      <c r="P164" s="40" t="s">
        <v>47</v>
      </c>
      <c r="Q164" s="44">
        <v>100</v>
      </c>
      <c r="R164" s="37">
        <v>0</v>
      </c>
      <c r="S164" s="37" t="s">
        <v>229</v>
      </c>
      <c r="T164" s="48">
        <v>1000</v>
      </c>
      <c r="U164" s="30">
        <v>12.39</v>
      </c>
      <c r="V164" s="41">
        <v>12390</v>
      </c>
      <c r="W164" s="41">
        <v>6367000</v>
      </c>
      <c r="X164" s="41">
        <v>6367000</v>
      </c>
      <c r="Y164" s="41">
        <v>404000</v>
      </c>
      <c r="Z164" s="41">
        <v>5005560</v>
      </c>
      <c r="AA164" s="41">
        <v>5963000</v>
      </c>
      <c r="AB164" s="41">
        <v>73881570</v>
      </c>
      <c r="AC164" s="41">
        <v>0</v>
      </c>
      <c r="AD164" s="41">
        <v>0</v>
      </c>
      <c r="AE164" s="41">
        <v>0</v>
      </c>
      <c r="AF164" s="41">
        <v>0</v>
      </c>
      <c r="AG164" s="41">
        <v>0</v>
      </c>
      <c r="AH164" s="41">
        <v>0</v>
      </c>
      <c r="AI164" s="41">
        <v>0</v>
      </c>
      <c r="AJ164" s="41">
        <v>0</v>
      </c>
      <c r="AK164" s="41">
        <v>0</v>
      </c>
      <c r="AL164" s="41">
        <v>0</v>
      </c>
      <c r="AM164" s="41">
        <v>5005560</v>
      </c>
      <c r="AN164" s="41">
        <v>6367</v>
      </c>
      <c r="AO164" s="41">
        <v>6367</v>
      </c>
      <c r="AP164" s="40"/>
      <c r="AQ164" s="36">
        <v>45158</v>
      </c>
      <c r="AR164" s="36"/>
      <c r="AS164" s="36"/>
      <c r="AT164" s="36">
        <v>45174</v>
      </c>
      <c r="AU164" s="36"/>
      <c r="AV164" s="38"/>
      <c r="AW164" s="40" t="s">
        <v>49</v>
      </c>
    </row>
    <row r="165" spans="1:49" s="34" customFormat="1" ht="94.5" customHeight="1" x14ac:dyDescent="0.3">
      <c r="A165" s="35" t="s">
        <v>3076</v>
      </c>
      <c r="B165" s="36">
        <v>45044</v>
      </c>
      <c r="C165" s="37">
        <v>1416</v>
      </c>
      <c r="D165" s="39" t="s">
        <v>3077</v>
      </c>
      <c r="E165" s="1" t="s">
        <v>3078</v>
      </c>
      <c r="F165" s="36">
        <v>45072</v>
      </c>
      <c r="G165" s="37" t="s">
        <v>3079</v>
      </c>
      <c r="H165" s="40" t="s">
        <v>186</v>
      </c>
      <c r="I165" s="40" t="s">
        <v>3080</v>
      </c>
      <c r="J165" s="41">
        <v>18978960</v>
      </c>
      <c r="K165" s="41">
        <v>18978960</v>
      </c>
      <c r="L165" s="30">
        <v>18978960</v>
      </c>
      <c r="M165" s="30">
        <v>18978960</v>
      </c>
      <c r="N165" s="40" t="s">
        <v>325</v>
      </c>
      <c r="O165" s="40" t="s">
        <v>3081</v>
      </c>
      <c r="P165" s="40" t="s">
        <v>47</v>
      </c>
      <c r="Q165" s="44">
        <v>100</v>
      </c>
      <c r="R165" s="37">
        <v>0</v>
      </c>
      <c r="S165" s="37" t="s">
        <v>229</v>
      </c>
      <c r="T165" s="48">
        <v>2000</v>
      </c>
      <c r="U165" s="30">
        <v>11.06</v>
      </c>
      <c r="V165" s="41">
        <v>22120</v>
      </c>
      <c r="W165" s="41">
        <v>1716000</v>
      </c>
      <c r="X165" s="41">
        <v>1716000</v>
      </c>
      <c r="Y165" s="41">
        <v>48000</v>
      </c>
      <c r="Z165" s="41">
        <v>530880</v>
      </c>
      <c r="AA165" s="41">
        <v>1668000</v>
      </c>
      <c r="AB165" s="41">
        <v>18448080</v>
      </c>
      <c r="AC165" s="41">
        <v>0</v>
      </c>
      <c r="AD165" s="41">
        <v>0</v>
      </c>
      <c r="AE165" s="41">
        <v>0</v>
      </c>
      <c r="AF165" s="41">
        <v>0</v>
      </c>
      <c r="AG165" s="41">
        <v>0</v>
      </c>
      <c r="AH165" s="41">
        <v>0</v>
      </c>
      <c r="AI165" s="41">
        <v>0</v>
      </c>
      <c r="AJ165" s="41">
        <v>0</v>
      </c>
      <c r="AK165" s="41">
        <v>0</v>
      </c>
      <c r="AL165" s="41">
        <v>0</v>
      </c>
      <c r="AM165" s="41">
        <v>530880</v>
      </c>
      <c r="AN165" s="41">
        <v>858</v>
      </c>
      <c r="AO165" s="41">
        <v>858</v>
      </c>
      <c r="AP165" s="40"/>
      <c r="AQ165" s="36">
        <v>45158</v>
      </c>
      <c r="AR165" s="36"/>
      <c r="AS165" s="36"/>
      <c r="AT165" s="36">
        <v>45174</v>
      </c>
      <c r="AU165" s="36"/>
      <c r="AV165" s="38"/>
      <c r="AW165" s="40" t="s">
        <v>49</v>
      </c>
    </row>
    <row r="166" spans="1:49" s="34" customFormat="1" ht="49.5" customHeight="1" x14ac:dyDescent="0.3">
      <c r="A166" s="35" t="s">
        <v>3089</v>
      </c>
      <c r="B166" s="38">
        <v>45048</v>
      </c>
      <c r="C166" s="40">
        <v>1416</v>
      </c>
      <c r="D166" s="39" t="s">
        <v>3090</v>
      </c>
      <c r="E166" s="1" t="s">
        <v>3091</v>
      </c>
      <c r="F166" s="36">
        <v>45069</v>
      </c>
      <c r="G166" s="37" t="s">
        <v>3092</v>
      </c>
      <c r="H166" s="40" t="s">
        <v>177</v>
      </c>
      <c r="I166" s="40" t="s">
        <v>298</v>
      </c>
      <c r="J166" s="57">
        <v>5021290</v>
      </c>
      <c r="K166" s="41">
        <v>5021290</v>
      </c>
      <c r="L166" s="30">
        <v>5021290</v>
      </c>
      <c r="M166" s="30">
        <v>5021290</v>
      </c>
      <c r="N166" s="40" t="s">
        <v>299</v>
      </c>
      <c r="O166" s="40" t="s">
        <v>3093</v>
      </c>
      <c r="P166" s="40" t="s">
        <v>199</v>
      </c>
      <c r="Q166" s="44">
        <v>0</v>
      </c>
      <c r="R166" s="37">
        <v>100</v>
      </c>
      <c r="S166" s="37" t="s">
        <v>1964</v>
      </c>
      <c r="T166" s="48">
        <v>50</v>
      </c>
      <c r="U166" s="30">
        <v>295.37</v>
      </c>
      <c r="V166" s="41">
        <v>14768.5</v>
      </c>
      <c r="W166" s="41">
        <v>17000</v>
      </c>
      <c r="X166" s="41">
        <v>17000</v>
      </c>
      <c r="Y166" s="41">
        <v>0</v>
      </c>
      <c r="Z166" s="41">
        <v>0</v>
      </c>
      <c r="AA166" s="41">
        <v>17000</v>
      </c>
      <c r="AB166" s="41">
        <v>5021290</v>
      </c>
      <c r="AC166" s="41">
        <v>0</v>
      </c>
      <c r="AD166" s="41">
        <v>0</v>
      </c>
      <c r="AE166" s="41">
        <v>0</v>
      </c>
      <c r="AF166" s="41">
        <v>0</v>
      </c>
      <c r="AG166" s="41">
        <v>0</v>
      </c>
      <c r="AH166" s="41">
        <v>0</v>
      </c>
      <c r="AI166" s="41">
        <v>0</v>
      </c>
      <c r="AJ166" s="41">
        <v>0</v>
      </c>
      <c r="AK166" s="41">
        <v>0</v>
      </c>
      <c r="AL166" s="41">
        <v>0</v>
      </c>
      <c r="AM166" s="41">
        <v>0</v>
      </c>
      <c r="AN166" s="41">
        <v>340</v>
      </c>
      <c r="AO166" s="41">
        <v>340</v>
      </c>
      <c r="AP166" s="40"/>
      <c r="AQ166" s="36">
        <v>45078</v>
      </c>
      <c r="AR166" s="36"/>
      <c r="AS166" s="36"/>
      <c r="AT166" s="36">
        <v>45092</v>
      </c>
      <c r="AU166" s="36"/>
      <c r="AV166" s="38"/>
      <c r="AW166" s="40" t="s">
        <v>87</v>
      </c>
    </row>
    <row r="167" spans="1:49" s="34" customFormat="1" ht="49.5" customHeight="1" x14ac:dyDescent="0.3">
      <c r="A167" s="35" t="s">
        <v>3094</v>
      </c>
      <c r="B167" s="38">
        <v>45048</v>
      </c>
      <c r="C167" s="40">
        <v>1416</v>
      </c>
      <c r="D167" s="39" t="s">
        <v>3095</v>
      </c>
      <c r="E167" s="1" t="s">
        <v>3096</v>
      </c>
      <c r="F167" s="36">
        <v>45069</v>
      </c>
      <c r="G167" s="37" t="s">
        <v>3097</v>
      </c>
      <c r="H167" s="40" t="s">
        <v>177</v>
      </c>
      <c r="I167" s="40" t="s">
        <v>2716</v>
      </c>
      <c r="J167" s="57">
        <v>10703947</v>
      </c>
      <c r="K167" s="41">
        <v>10703947</v>
      </c>
      <c r="L167" s="30">
        <v>11872515</v>
      </c>
      <c r="M167" s="30">
        <v>11872515</v>
      </c>
      <c r="N167" s="40" t="s">
        <v>3098</v>
      </c>
      <c r="O167" s="40" t="s">
        <v>3099</v>
      </c>
      <c r="P167" s="40" t="s">
        <v>680</v>
      </c>
      <c r="Q167" s="44">
        <v>0</v>
      </c>
      <c r="R167" s="37">
        <v>100</v>
      </c>
      <c r="S167" s="37" t="s">
        <v>219</v>
      </c>
      <c r="T167" s="48">
        <v>50</v>
      </c>
      <c r="U167" s="30">
        <v>67.94</v>
      </c>
      <c r="V167" s="41">
        <v>3397</v>
      </c>
      <c r="W167" s="41">
        <v>174750</v>
      </c>
      <c r="X167" s="41">
        <v>36650</v>
      </c>
      <c r="Y167" s="41">
        <v>12100</v>
      </c>
      <c r="Z167" s="41">
        <v>822074</v>
      </c>
      <c r="AA167" s="41">
        <v>24550</v>
      </c>
      <c r="AB167" s="41">
        <v>1667927</v>
      </c>
      <c r="AC167" s="41">
        <v>138100</v>
      </c>
      <c r="AD167" s="41">
        <v>57400</v>
      </c>
      <c r="AE167" s="41">
        <v>3899756</v>
      </c>
      <c r="AF167" s="41">
        <v>80700</v>
      </c>
      <c r="AG167" s="41">
        <v>5482758</v>
      </c>
      <c r="AH167" s="41">
        <v>0</v>
      </c>
      <c r="AI167" s="41">
        <v>0</v>
      </c>
      <c r="AJ167" s="41">
        <v>0</v>
      </c>
      <c r="AK167" s="41">
        <v>0</v>
      </c>
      <c r="AL167" s="41">
        <v>0</v>
      </c>
      <c r="AM167" s="41">
        <v>4721830</v>
      </c>
      <c r="AN167" s="41">
        <v>3495</v>
      </c>
      <c r="AO167" s="41">
        <v>3495</v>
      </c>
      <c r="AP167" s="40"/>
      <c r="AQ167" s="36">
        <v>45092</v>
      </c>
      <c r="AR167" s="36">
        <v>45261</v>
      </c>
      <c r="AS167" s="36"/>
      <c r="AT167" s="36">
        <v>45107</v>
      </c>
      <c r="AU167" s="36">
        <v>45275</v>
      </c>
      <c r="AV167" s="38"/>
      <c r="AW167" s="40" t="s">
        <v>75</v>
      </c>
    </row>
    <row r="168" spans="1:49" s="34" customFormat="1" ht="49.5" customHeight="1" x14ac:dyDescent="0.3">
      <c r="A168" s="35" t="s">
        <v>3100</v>
      </c>
      <c r="B168" s="38">
        <v>45048</v>
      </c>
      <c r="C168" s="40">
        <v>1416</v>
      </c>
      <c r="D168" s="39" t="s">
        <v>3101</v>
      </c>
      <c r="E168" s="1" t="s">
        <v>3102</v>
      </c>
      <c r="F168" s="36">
        <v>45078</v>
      </c>
      <c r="G168" s="37" t="s">
        <v>3103</v>
      </c>
      <c r="H168" s="40" t="s">
        <v>353</v>
      </c>
      <c r="I168" s="40" t="s">
        <v>1004</v>
      </c>
      <c r="J168" s="57">
        <v>1007773576.92</v>
      </c>
      <c r="K168" s="41">
        <v>1007773576.92</v>
      </c>
      <c r="L168" s="30">
        <v>1007773576.92</v>
      </c>
      <c r="M168" s="30">
        <v>1007773576.92</v>
      </c>
      <c r="N168" s="40" t="s">
        <v>355</v>
      </c>
      <c r="O168" s="40" t="s">
        <v>1005</v>
      </c>
      <c r="P168" s="40" t="s">
        <v>357</v>
      </c>
      <c r="Q168" s="44">
        <v>0</v>
      </c>
      <c r="R168" s="37">
        <v>100</v>
      </c>
      <c r="S168" s="37" t="s">
        <v>219</v>
      </c>
      <c r="T168" s="67">
        <v>0.4</v>
      </c>
      <c r="U168" s="30">
        <v>263842.7</v>
      </c>
      <c r="V168" s="41">
        <v>105537.08000000002</v>
      </c>
      <c r="W168" s="41">
        <v>3819.6</v>
      </c>
      <c r="X168" s="41">
        <v>3140</v>
      </c>
      <c r="Y168" s="41">
        <v>2040.8</v>
      </c>
      <c r="Z168" s="41">
        <v>538450182.15999997</v>
      </c>
      <c r="AA168" s="41">
        <v>1099.2</v>
      </c>
      <c r="AB168" s="41">
        <v>290015895.84000003</v>
      </c>
      <c r="AC168" s="41">
        <v>679.6</v>
      </c>
      <c r="AD168" s="41">
        <v>442</v>
      </c>
      <c r="AE168" s="41">
        <v>116618473.40000001</v>
      </c>
      <c r="AF168" s="41">
        <v>237.6</v>
      </c>
      <c r="AG168" s="41">
        <v>62689025.520000003</v>
      </c>
      <c r="AH168" s="41">
        <v>0</v>
      </c>
      <c r="AI168" s="41">
        <v>0</v>
      </c>
      <c r="AJ168" s="41">
        <v>0</v>
      </c>
      <c r="AK168" s="41">
        <v>0</v>
      </c>
      <c r="AL168" s="41">
        <v>0</v>
      </c>
      <c r="AM168" s="41">
        <v>655068655.55999994</v>
      </c>
      <c r="AN168" s="41">
        <v>9549</v>
      </c>
      <c r="AO168" s="41">
        <v>9549</v>
      </c>
      <c r="AP168" s="40"/>
      <c r="AQ168" s="36">
        <v>45092</v>
      </c>
      <c r="AR168" s="36">
        <v>45139</v>
      </c>
      <c r="AS168" s="36"/>
      <c r="AT168" s="36">
        <v>45107</v>
      </c>
      <c r="AU168" s="36">
        <v>45153</v>
      </c>
      <c r="AV168" s="38"/>
      <c r="AW168" s="40" t="s">
        <v>87</v>
      </c>
    </row>
    <row r="169" spans="1:49" s="34" customFormat="1" ht="49.5" customHeight="1" x14ac:dyDescent="0.3">
      <c r="A169" s="35" t="s">
        <v>3114</v>
      </c>
      <c r="B169" s="38">
        <v>45050</v>
      </c>
      <c r="C169" s="40">
        <v>1416</v>
      </c>
      <c r="D169" s="39" t="s">
        <v>3115</v>
      </c>
      <c r="E169" s="1" t="s">
        <v>3116</v>
      </c>
      <c r="F169" s="36">
        <v>45072</v>
      </c>
      <c r="G169" s="37" t="s">
        <v>3117</v>
      </c>
      <c r="H169" s="40" t="s">
        <v>571</v>
      </c>
      <c r="I169" s="40" t="s">
        <v>755</v>
      </c>
      <c r="J169" s="57">
        <v>16489407.4</v>
      </c>
      <c r="K169" s="41">
        <v>16406476.6</v>
      </c>
      <c r="L169" s="30">
        <v>16406476.6</v>
      </c>
      <c r="M169" s="30">
        <v>16406476.6</v>
      </c>
      <c r="N169" s="40" t="s">
        <v>3118</v>
      </c>
      <c r="O169" s="40" t="s">
        <v>3119</v>
      </c>
      <c r="P169" s="40" t="s">
        <v>47</v>
      </c>
      <c r="Q169" s="44">
        <v>100</v>
      </c>
      <c r="R169" s="37">
        <v>0</v>
      </c>
      <c r="S169" s="37" t="s">
        <v>1964</v>
      </c>
      <c r="T169" s="48">
        <v>100</v>
      </c>
      <c r="U169" s="30">
        <v>11.87</v>
      </c>
      <c r="V169" s="41">
        <v>1187</v>
      </c>
      <c r="W169" s="41">
        <v>1382180</v>
      </c>
      <c r="X169" s="41">
        <v>1382180</v>
      </c>
      <c r="Y169" s="41">
        <v>80000</v>
      </c>
      <c r="Z169" s="41">
        <v>949599.99999999988</v>
      </c>
      <c r="AA169" s="41">
        <v>1302180</v>
      </c>
      <c r="AB169" s="41">
        <v>15456876.6</v>
      </c>
      <c r="AC169" s="41">
        <v>0</v>
      </c>
      <c r="AD169" s="41">
        <v>0</v>
      </c>
      <c r="AE169" s="41">
        <v>0</v>
      </c>
      <c r="AF169" s="41">
        <v>0</v>
      </c>
      <c r="AG169" s="41">
        <v>0</v>
      </c>
      <c r="AH169" s="41">
        <v>0</v>
      </c>
      <c r="AI169" s="41">
        <v>0</v>
      </c>
      <c r="AJ169" s="41">
        <v>0</v>
      </c>
      <c r="AK169" s="41">
        <v>0</v>
      </c>
      <c r="AL169" s="41">
        <v>0</v>
      </c>
      <c r="AM169" s="41">
        <v>949599.99999999988</v>
      </c>
      <c r="AN169" s="41">
        <v>13821.8</v>
      </c>
      <c r="AO169" s="41">
        <v>13822</v>
      </c>
      <c r="AP169" s="40"/>
      <c r="AQ169" s="36">
        <v>45092</v>
      </c>
      <c r="AR169" s="36"/>
      <c r="AS169" s="36"/>
      <c r="AT169" s="36">
        <v>45107</v>
      </c>
      <c r="AU169" s="36"/>
      <c r="AV169" s="38"/>
      <c r="AW169" s="40" t="s">
        <v>49</v>
      </c>
    </row>
    <row r="170" spans="1:49" s="34" customFormat="1" ht="64.2" customHeight="1" x14ac:dyDescent="0.3">
      <c r="A170" s="35" t="s">
        <v>3120</v>
      </c>
      <c r="B170" s="38">
        <v>45050</v>
      </c>
      <c r="C170" s="40">
        <v>1416</v>
      </c>
      <c r="D170" s="39" t="s">
        <v>3121</v>
      </c>
      <c r="E170" s="1" t="s">
        <v>3122</v>
      </c>
      <c r="F170" s="36">
        <v>45079</v>
      </c>
      <c r="G170" s="37" t="s">
        <v>3123</v>
      </c>
      <c r="H170" s="40" t="s">
        <v>224</v>
      </c>
      <c r="I170" s="40" t="s">
        <v>3124</v>
      </c>
      <c r="J170" s="57">
        <v>1739796728.6700001</v>
      </c>
      <c r="K170" s="41">
        <v>1739796728.6700001</v>
      </c>
      <c r="L170" s="30">
        <v>1739796728.6700001</v>
      </c>
      <c r="M170" s="30">
        <v>1739796728.6700001</v>
      </c>
      <c r="N170" s="40" t="s">
        <v>3125</v>
      </c>
      <c r="O170" s="40" t="s">
        <v>3126</v>
      </c>
      <c r="P170" s="40" t="s">
        <v>733</v>
      </c>
      <c r="Q170" s="44">
        <v>0</v>
      </c>
      <c r="R170" s="37">
        <v>100</v>
      </c>
      <c r="S170" s="37" t="s">
        <v>219</v>
      </c>
      <c r="T170" s="48">
        <v>3</v>
      </c>
      <c r="U170" s="30">
        <v>63582.090000000004</v>
      </c>
      <c r="V170" s="41">
        <v>190746.27000000002</v>
      </c>
      <c r="W170" s="41">
        <v>27363</v>
      </c>
      <c r="X170" s="41">
        <v>27363</v>
      </c>
      <c r="Y170" s="41">
        <v>20673</v>
      </c>
      <c r="Z170" s="41">
        <v>1314432546.5700002</v>
      </c>
      <c r="AA170" s="41">
        <v>6690</v>
      </c>
      <c r="AB170" s="41">
        <v>425364182.10000002</v>
      </c>
      <c r="AC170" s="41">
        <v>0</v>
      </c>
      <c r="AD170" s="41">
        <v>0</v>
      </c>
      <c r="AE170" s="41">
        <v>0</v>
      </c>
      <c r="AF170" s="41">
        <v>0</v>
      </c>
      <c r="AG170" s="41">
        <v>0</v>
      </c>
      <c r="AH170" s="41">
        <v>0</v>
      </c>
      <c r="AI170" s="41">
        <v>0</v>
      </c>
      <c r="AJ170" s="41">
        <v>0</v>
      </c>
      <c r="AK170" s="41">
        <v>0</v>
      </c>
      <c r="AL170" s="41">
        <v>0</v>
      </c>
      <c r="AM170" s="41">
        <v>1314432546.5700002</v>
      </c>
      <c r="AN170" s="41">
        <v>9121</v>
      </c>
      <c r="AO170" s="41">
        <v>9121</v>
      </c>
      <c r="AP170" s="40"/>
      <c r="AQ170" s="36">
        <v>45117</v>
      </c>
      <c r="AR170" s="36"/>
      <c r="AS170" s="36"/>
      <c r="AT170" s="36"/>
      <c r="AU170" s="36"/>
      <c r="AV170" s="38"/>
      <c r="AW170" s="40" t="s">
        <v>87</v>
      </c>
    </row>
    <row r="171" spans="1:49" s="34" customFormat="1" ht="49.5" customHeight="1" x14ac:dyDescent="0.3">
      <c r="A171" s="35" t="s">
        <v>3127</v>
      </c>
      <c r="B171" s="38">
        <v>45050</v>
      </c>
      <c r="C171" s="40">
        <v>1416</v>
      </c>
      <c r="D171" s="39" t="s">
        <v>3128</v>
      </c>
      <c r="E171" s="1" t="s">
        <v>3129</v>
      </c>
      <c r="F171" s="36">
        <v>45069</v>
      </c>
      <c r="G171" s="37" t="s">
        <v>3130</v>
      </c>
      <c r="H171" s="40" t="s">
        <v>571</v>
      </c>
      <c r="I171" s="40" t="s">
        <v>3131</v>
      </c>
      <c r="J171" s="57">
        <v>33002550</v>
      </c>
      <c r="K171" s="41">
        <v>32826536.399999999</v>
      </c>
      <c r="L171" s="30">
        <v>32871844.710000001</v>
      </c>
      <c r="M171" s="30">
        <v>32871844.710000001</v>
      </c>
      <c r="N171" s="40" t="s">
        <v>2906</v>
      </c>
      <c r="O171" s="40" t="s">
        <v>2154</v>
      </c>
      <c r="P171" s="40" t="s">
        <v>47</v>
      </c>
      <c r="Q171" s="44">
        <v>100</v>
      </c>
      <c r="R171" s="37">
        <v>0</v>
      </c>
      <c r="S171" s="37" t="s">
        <v>1964</v>
      </c>
      <c r="T171" s="48">
        <v>30</v>
      </c>
      <c r="U171" s="30">
        <v>11.19</v>
      </c>
      <c r="V171" s="41">
        <v>335.7</v>
      </c>
      <c r="W171" s="41">
        <v>2937609</v>
      </c>
      <c r="X171" s="41">
        <v>2937609</v>
      </c>
      <c r="Y171" s="41">
        <v>24120</v>
      </c>
      <c r="Z171" s="41">
        <v>269902.8</v>
      </c>
      <c r="AA171" s="41">
        <v>2913489</v>
      </c>
      <c r="AB171" s="41">
        <v>32601941.91</v>
      </c>
      <c r="AC171" s="41">
        <v>0</v>
      </c>
      <c r="AD171" s="41">
        <v>0</v>
      </c>
      <c r="AE171" s="41">
        <v>0</v>
      </c>
      <c r="AF171" s="41">
        <v>0</v>
      </c>
      <c r="AG171" s="41">
        <v>0</v>
      </c>
      <c r="AH171" s="41">
        <v>0</v>
      </c>
      <c r="AI171" s="41">
        <v>0</v>
      </c>
      <c r="AJ171" s="41">
        <v>0</v>
      </c>
      <c r="AK171" s="41">
        <v>0</v>
      </c>
      <c r="AL171" s="41">
        <v>0</v>
      </c>
      <c r="AM171" s="41">
        <v>269902.8</v>
      </c>
      <c r="AN171" s="41">
        <v>97920.3</v>
      </c>
      <c r="AO171" s="41">
        <v>97921</v>
      </c>
      <c r="AP171" s="40"/>
      <c r="AQ171" s="36">
        <v>45108</v>
      </c>
      <c r="AR171" s="36"/>
      <c r="AS171" s="36"/>
      <c r="AT171" s="36">
        <v>45122</v>
      </c>
      <c r="AU171" s="36"/>
      <c r="AV171" s="38"/>
      <c r="AW171" s="40" t="s">
        <v>49</v>
      </c>
    </row>
    <row r="172" spans="1:49" s="34" customFormat="1" ht="49.5" customHeight="1" x14ac:dyDescent="0.3">
      <c r="A172" s="35" t="s">
        <v>3132</v>
      </c>
      <c r="B172" s="38">
        <v>45050</v>
      </c>
      <c r="C172" s="40">
        <v>1416</v>
      </c>
      <c r="D172" s="39" t="s">
        <v>3133</v>
      </c>
      <c r="E172" s="1" t="s">
        <v>3134</v>
      </c>
      <c r="F172" s="36">
        <v>45075</v>
      </c>
      <c r="G172" s="37" t="s">
        <v>3135</v>
      </c>
      <c r="H172" s="40" t="s">
        <v>571</v>
      </c>
      <c r="I172" s="40" t="s">
        <v>3136</v>
      </c>
      <c r="J172" s="57">
        <v>6236176.3200000003</v>
      </c>
      <c r="K172" s="41">
        <v>6172716</v>
      </c>
      <c r="L172" s="30">
        <v>6172716</v>
      </c>
      <c r="M172" s="30">
        <v>6172716</v>
      </c>
      <c r="N172" s="40" t="s">
        <v>3137</v>
      </c>
      <c r="O172" s="40" t="s">
        <v>3138</v>
      </c>
      <c r="P172" s="40" t="s">
        <v>47</v>
      </c>
      <c r="Q172" s="44">
        <v>100</v>
      </c>
      <c r="R172" s="37">
        <v>0</v>
      </c>
      <c r="S172" s="37" t="s">
        <v>219</v>
      </c>
      <c r="T172" s="48">
        <v>50</v>
      </c>
      <c r="U172" s="30">
        <v>926</v>
      </c>
      <c r="V172" s="41">
        <v>46300</v>
      </c>
      <c r="W172" s="41">
        <v>6666</v>
      </c>
      <c r="X172" s="41">
        <v>6666</v>
      </c>
      <c r="Y172" s="41">
        <v>0</v>
      </c>
      <c r="Z172" s="41">
        <v>0</v>
      </c>
      <c r="AA172" s="41">
        <v>6666</v>
      </c>
      <c r="AB172" s="41">
        <v>6172716</v>
      </c>
      <c r="AC172" s="41">
        <v>0</v>
      </c>
      <c r="AD172" s="41">
        <v>0</v>
      </c>
      <c r="AE172" s="41">
        <v>0</v>
      </c>
      <c r="AF172" s="41">
        <v>0</v>
      </c>
      <c r="AG172" s="41">
        <v>0</v>
      </c>
      <c r="AH172" s="41">
        <v>0</v>
      </c>
      <c r="AI172" s="41">
        <v>0</v>
      </c>
      <c r="AJ172" s="41">
        <v>0</v>
      </c>
      <c r="AK172" s="41">
        <v>0</v>
      </c>
      <c r="AL172" s="41">
        <v>0</v>
      </c>
      <c r="AM172" s="41">
        <v>0</v>
      </c>
      <c r="AN172" s="41">
        <v>133.32</v>
      </c>
      <c r="AO172" s="41">
        <v>134</v>
      </c>
      <c r="AP172" s="40"/>
      <c r="AQ172" s="36">
        <v>45092</v>
      </c>
      <c r="AR172" s="36"/>
      <c r="AS172" s="36"/>
      <c r="AT172" s="36">
        <v>45107</v>
      </c>
      <c r="AU172" s="36"/>
      <c r="AV172" s="38"/>
      <c r="AW172" s="40" t="s">
        <v>87</v>
      </c>
    </row>
    <row r="173" spans="1:49" s="34" customFormat="1" ht="49.5" customHeight="1" x14ac:dyDescent="0.3">
      <c r="A173" s="35" t="s">
        <v>3145</v>
      </c>
      <c r="B173" s="38">
        <v>45050</v>
      </c>
      <c r="C173" s="40">
        <v>1416</v>
      </c>
      <c r="D173" s="39" t="s">
        <v>3146</v>
      </c>
      <c r="E173" s="1" t="s">
        <v>3147</v>
      </c>
      <c r="F173" s="36">
        <v>45072</v>
      </c>
      <c r="G173" s="37" t="s">
        <v>3148</v>
      </c>
      <c r="H173" s="40" t="s">
        <v>571</v>
      </c>
      <c r="I173" s="40" t="s">
        <v>3149</v>
      </c>
      <c r="J173" s="57">
        <v>39027180</v>
      </c>
      <c r="K173" s="41">
        <v>39027180</v>
      </c>
      <c r="L173" s="30">
        <v>40697689.200000003</v>
      </c>
      <c r="M173" s="30">
        <v>40697689.200000003</v>
      </c>
      <c r="N173" s="40" t="s">
        <v>3150</v>
      </c>
      <c r="O173" s="40" t="s">
        <v>3151</v>
      </c>
      <c r="P173" s="40" t="s">
        <v>47</v>
      </c>
      <c r="Q173" s="44">
        <v>100</v>
      </c>
      <c r="R173" s="37">
        <v>0</v>
      </c>
      <c r="S173" s="37" t="s">
        <v>1964</v>
      </c>
      <c r="T173" s="48">
        <v>120</v>
      </c>
      <c r="U173" s="30">
        <v>60.790000000000006</v>
      </c>
      <c r="V173" s="41">
        <v>7294.8000000000011</v>
      </c>
      <c r="W173" s="41">
        <v>669480</v>
      </c>
      <c r="X173" s="41">
        <v>0</v>
      </c>
      <c r="Y173" s="41">
        <v>0</v>
      </c>
      <c r="Z173" s="41">
        <v>0</v>
      </c>
      <c r="AA173" s="41">
        <v>0</v>
      </c>
      <c r="AB173" s="41">
        <v>0</v>
      </c>
      <c r="AC173" s="41">
        <v>669480</v>
      </c>
      <c r="AD173" s="41">
        <v>42360</v>
      </c>
      <c r="AE173" s="41">
        <v>2575064.4000000004</v>
      </c>
      <c r="AF173" s="41">
        <v>627120</v>
      </c>
      <c r="AG173" s="41">
        <v>38122624.800000004</v>
      </c>
      <c r="AH173" s="41">
        <v>0</v>
      </c>
      <c r="AI173" s="41">
        <v>0</v>
      </c>
      <c r="AJ173" s="41">
        <v>0</v>
      </c>
      <c r="AK173" s="41">
        <v>0</v>
      </c>
      <c r="AL173" s="41">
        <v>0</v>
      </c>
      <c r="AM173" s="41">
        <v>2575064.4000000004</v>
      </c>
      <c r="AN173" s="41">
        <v>5579</v>
      </c>
      <c r="AO173" s="41">
        <v>5579</v>
      </c>
      <c r="AP173" s="40"/>
      <c r="AQ173" s="36">
        <v>45108</v>
      </c>
      <c r="AR173" s="36"/>
      <c r="AS173" s="36"/>
      <c r="AT173" s="36">
        <v>45122</v>
      </c>
      <c r="AU173" s="36"/>
      <c r="AV173" s="38"/>
      <c r="AW173" s="40" t="s">
        <v>49</v>
      </c>
    </row>
    <row r="174" spans="1:49" s="34" customFormat="1" ht="64.5" customHeight="1" x14ac:dyDescent="0.3">
      <c r="A174" s="35" t="s">
        <v>3180</v>
      </c>
      <c r="B174" s="38">
        <v>45061</v>
      </c>
      <c r="C174" s="40">
        <v>1416</v>
      </c>
      <c r="D174" s="39" t="s">
        <v>3181</v>
      </c>
      <c r="E174" s="1" t="s">
        <v>3182</v>
      </c>
      <c r="F174" s="36">
        <v>45082</v>
      </c>
      <c r="G174" s="37" t="s">
        <v>3183</v>
      </c>
      <c r="H174" s="40" t="s">
        <v>177</v>
      </c>
      <c r="I174" s="40" t="s">
        <v>307</v>
      </c>
      <c r="J174" s="57">
        <v>104690</v>
      </c>
      <c r="K174" s="41">
        <v>104690</v>
      </c>
      <c r="L174" s="30">
        <v>104690</v>
      </c>
      <c r="M174" s="30">
        <v>104690</v>
      </c>
      <c r="N174" s="40" t="s">
        <v>299</v>
      </c>
      <c r="O174" s="40" t="s">
        <v>3184</v>
      </c>
      <c r="P174" s="40" t="s">
        <v>199</v>
      </c>
      <c r="Q174" s="44">
        <v>0</v>
      </c>
      <c r="R174" s="37">
        <v>100</v>
      </c>
      <c r="S174" s="37" t="s">
        <v>1964</v>
      </c>
      <c r="T174" s="48">
        <v>50</v>
      </c>
      <c r="U174" s="30">
        <v>27.55</v>
      </c>
      <c r="V174" s="41">
        <v>1377.5</v>
      </c>
      <c r="W174" s="41">
        <v>3800</v>
      </c>
      <c r="X174" s="41">
        <v>3800</v>
      </c>
      <c r="Y174" s="41">
        <v>0</v>
      </c>
      <c r="Z174" s="41">
        <v>0</v>
      </c>
      <c r="AA174" s="41">
        <v>3800</v>
      </c>
      <c r="AB174" s="41">
        <v>104690</v>
      </c>
      <c r="AC174" s="41">
        <v>0</v>
      </c>
      <c r="AD174" s="41">
        <v>0</v>
      </c>
      <c r="AE174" s="41">
        <v>0</v>
      </c>
      <c r="AF174" s="41">
        <v>0</v>
      </c>
      <c r="AG174" s="41">
        <v>0</v>
      </c>
      <c r="AH174" s="41">
        <v>0</v>
      </c>
      <c r="AI174" s="41">
        <v>0</v>
      </c>
      <c r="AJ174" s="41">
        <v>0</v>
      </c>
      <c r="AK174" s="41">
        <v>0</v>
      </c>
      <c r="AL174" s="41">
        <v>0</v>
      </c>
      <c r="AM174" s="41">
        <v>0</v>
      </c>
      <c r="AN174" s="41">
        <v>76</v>
      </c>
      <c r="AO174" s="41">
        <v>76</v>
      </c>
      <c r="AP174" s="40"/>
      <c r="AQ174" s="36">
        <v>45108</v>
      </c>
      <c r="AR174" s="36"/>
      <c r="AS174" s="36"/>
      <c r="AT174" s="36">
        <v>45122</v>
      </c>
      <c r="AU174" s="36"/>
      <c r="AV174" s="38"/>
      <c r="AW174" s="40" t="s">
        <v>87</v>
      </c>
    </row>
    <row r="175" spans="1:49" s="34" customFormat="1" ht="64.5" customHeight="1" x14ac:dyDescent="0.3">
      <c r="A175" s="35" t="s">
        <v>3185</v>
      </c>
      <c r="B175" s="38">
        <v>45061</v>
      </c>
      <c r="C175" s="40">
        <v>1416</v>
      </c>
      <c r="D175" s="39" t="s">
        <v>3187</v>
      </c>
      <c r="E175" s="1" t="s">
        <v>3188</v>
      </c>
      <c r="F175" s="36">
        <v>45082</v>
      </c>
      <c r="G175" s="40" t="s">
        <v>3189</v>
      </c>
      <c r="H175" s="40" t="s">
        <v>3190</v>
      </c>
      <c r="I175" s="40" t="s">
        <v>3191</v>
      </c>
      <c r="J175" s="57">
        <v>242549814.96000001</v>
      </c>
      <c r="K175" s="41">
        <v>242549814.96000001</v>
      </c>
      <c r="L175" s="30">
        <v>0</v>
      </c>
      <c r="M175" s="30">
        <v>0</v>
      </c>
      <c r="N175" s="40" t="s">
        <v>3192</v>
      </c>
      <c r="O175" s="40" t="s">
        <v>3193</v>
      </c>
      <c r="P175" s="40" t="s">
        <v>583</v>
      </c>
      <c r="Q175" s="44">
        <v>0</v>
      </c>
      <c r="R175" s="37">
        <v>100</v>
      </c>
      <c r="S175" s="37" t="s">
        <v>584</v>
      </c>
      <c r="T175" s="67">
        <v>4.8</v>
      </c>
      <c r="U175" s="30">
        <v>0</v>
      </c>
      <c r="V175" s="41">
        <v>0</v>
      </c>
      <c r="W175" s="41">
        <v>18100.800000000003</v>
      </c>
      <c r="X175" s="41">
        <v>18100.800000000003</v>
      </c>
      <c r="Y175" s="41">
        <v>9667.2000000000007</v>
      </c>
      <c r="Z175" s="41">
        <v>0</v>
      </c>
      <c r="AA175" s="41">
        <v>8433.6</v>
      </c>
      <c r="AB175" s="41">
        <v>0</v>
      </c>
      <c r="AC175" s="41">
        <v>0</v>
      </c>
      <c r="AD175" s="41">
        <v>0</v>
      </c>
      <c r="AE175" s="41">
        <v>0</v>
      </c>
      <c r="AF175" s="41">
        <v>0</v>
      </c>
      <c r="AG175" s="41">
        <v>0</v>
      </c>
      <c r="AH175" s="41">
        <v>0</v>
      </c>
      <c r="AI175" s="41">
        <v>0</v>
      </c>
      <c r="AJ175" s="41">
        <v>0</v>
      </c>
      <c r="AK175" s="41">
        <v>0</v>
      </c>
      <c r="AL175" s="41">
        <v>0</v>
      </c>
      <c r="AM175" s="41">
        <v>0</v>
      </c>
      <c r="AN175" s="41">
        <v>3771.0000000000009</v>
      </c>
      <c r="AO175" s="41">
        <v>3771</v>
      </c>
      <c r="AP175" s="40"/>
      <c r="AQ175" s="36">
        <v>45117</v>
      </c>
      <c r="AR175" s="36"/>
      <c r="AS175" s="36"/>
      <c r="AT175" s="36">
        <v>45132</v>
      </c>
      <c r="AU175" s="36"/>
      <c r="AV175" s="38"/>
      <c r="AW175" s="40" t="s">
        <v>3186</v>
      </c>
    </row>
    <row r="176" spans="1:49" s="34" customFormat="1" ht="64.5" customHeight="1" x14ac:dyDescent="0.3">
      <c r="A176" s="35" t="s">
        <v>3194</v>
      </c>
      <c r="B176" s="38">
        <v>45061</v>
      </c>
      <c r="C176" s="40">
        <v>1416</v>
      </c>
      <c r="D176" s="39" t="s">
        <v>3195</v>
      </c>
      <c r="E176" s="1" t="s">
        <v>3196</v>
      </c>
      <c r="F176" s="36">
        <v>45082</v>
      </c>
      <c r="G176" s="37" t="s">
        <v>3197</v>
      </c>
      <c r="H176" s="40" t="s">
        <v>186</v>
      </c>
      <c r="I176" s="40" t="s">
        <v>3198</v>
      </c>
      <c r="J176" s="57">
        <v>79767859.5</v>
      </c>
      <c r="K176" s="41">
        <v>79767859.5</v>
      </c>
      <c r="L176" s="30">
        <v>79767859.5</v>
      </c>
      <c r="M176" s="30">
        <v>79767859.5</v>
      </c>
      <c r="N176" s="40" t="s">
        <v>216</v>
      </c>
      <c r="O176" s="40" t="s">
        <v>3199</v>
      </c>
      <c r="P176" s="40" t="s">
        <v>218</v>
      </c>
      <c r="Q176" s="44">
        <v>0</v>
      </c>
      <c r="R176" s="37">
        <v>100</v>
      </c>
      <c r="S176" s="37" t="s">
        <v>219</v>
      </c>
      <c r="T176" s="48">
        <v>15</v>
      </c>
      <c r="U176" s="30">
        <v>5889.1</v>
      </c>
      <c r="V176" s="41">
        <v>88336.5</v>
      </c>
      <c r="W176" s="41">
        <v>13545</v>
      </c>
      <c r="X176" s="41">
        <v>13545</v>
      </c>
      <c r="Y176" s="41">
        <v>0</v>
      </c>
      <c r="Z176" s="41">
        <v>0</v>
      </c>
      <c r="AA176" s="41">
        <v>13545</v>
      </c>
      <c r="AB176" s="41">
        <v>79767859.5</v>
      </c>
      <c r="AC176" s="41">
        <v>0</v>
      </c>
      <c r="AD176" s="41">
        <v>0</v>
      </c>
      <c r="AE176" s="41">
        <v>0</v>
      </c>
      <c r="AF176" s="41">
        <v>0</v>
      </c>
      <c r="AG176" s="41">
        <v>0</v>
      </c>
      <c r="AH176" s="41">
        <v>0</v>
      </c>
      <c r="AI176" s="41">
        <v>0</v>
      </c>
      <c r="AJ176" s="41">
        <v>0</v>
      </c>
      <c r="AK176" s="41">
        <v>0</v>
      </c>
      <c r="AL176" s="41">
        <v>0</v>
      </c>
      <c r="AM176" s="41">
        <v>0</v>
      </c>
      <c r="AN176" s="41">
        <v>903</v>
      </c>
      <c r="AO176" s="41">
        <v>903</v>
      </c>
      <c r="AP176" s="40"/>
      <c r="AQ176" s="36">
        <v>45139</v>
      </c>
      <c r="AR176" s="36"/>
      <c r="AS176" s="36"/>
      <c r="AT176" s="36">
        <v>45153</v>
      </c>
      <c r="AU176" s="36"/>
      <c r="AV176" s="38"/>
      <c r="AW176" s="40" t="s">
        <v>87</v>
      </c>
    </row>
    <row r="177" spans="1:49" s="34" customFormat="1" ht="64.5" customHeight="1" x14ac:dyDescent="0.3">
      <c r="A177" s="35" t="s">
        <v>3200</v>
      </c>
      <c r="B177" s="38">
        <v>45061</v>
      </c>
      <c r="C177" s="40">
        <v>1416</v>
      </c>
      <c r="D177" s="39" t="s">
        <v>3201</v>
      </c>
      <c r="E177" s="1" t="s">
        <v>3202</v>
      </c>
      <c r="F177" s="36">
        <v>45082</v>
      </c>
      <c r="G177" s="40" t="s">
        <v>3203</v>
      </c>
      <c r="H177" s="40" t="s">
        <v>3204</v>
      </c>
      <c r="I177" s="40" t="s">
        <v>3205</v>
      </c>
      <c r="J177" s="57">
        <v>37394480.590000004</v>
      </c>
      <c r="K177" s="41">
        <v>37394451.359999999</v>
      </c>
      <c r="L177" s="30">
        <v>0</v>
      </c>
      <c r="M177" s="30">
        <v>0</v>
      </c>
      <c r="N177" s="40" t="s">
        <v>3192</v>
      </c>
      <c r="O177" s="40" t="s">
        <v>3206</v>
      </c>
      <c r="P177" s="40" t="s">
        <v>583</v>
      </c>
      <c r="Q177" s="44">
        <v>0</v>
      </c>
      <c r="R177" s="37">
        <v>100</v>
      </c>
      <c r="S177" s="37" t="s">
        <v>584</v>
      </c>
      <c r="T177" s="67">
        <v>1.2</v>
      </c>
      <c r="U177" s="30">
        <v>0</v>
      </c>
      <c r="V177" s="41">
        <v>0</v>
      </c>
      <c r="W177" s="41">
        <v>2923.2</v>
      </c>
      <c r="X177" s="41">
        <v>2923.2</v>
      </c>
      <c r="Y177" s="41">
        <v>1497.6</v>
      </c>
      <c r="Z177" s="41">
        <v>0</v>
      </c>
      <c r="AA177" s="41">
        <v>1425.6</v>
      </c>
      <c r="AB177" s="41">
        <v>0</v>
      </c>
      <c r="AC177" s="41">
        <v>0</v>
      </c>
      <c r="AD177" s="41">
        <v>0</v>
      </c>
      <c r="AE177" s="41">
        <v>0</v>
      </c>
      <c r="AF177" s="41">
        <v>0</v>
      </c>
      <c r="AG177" s="41">
        <v>0</v>
      </c>
      <c r="AH177" s="41">
        <v>0</v>
      </c>
      <c r="AI177" s="41">
        <v>0</v>
      </c>
      <c r="AJ177" s="41">
        <v>0</v>
      </c>
      <c r="AK177" s="41">
        <v>0</v>
      </c>
      <c r="AL177" s="41">
        <v>0</v>
      </c>
      <c r="AM177" s="41">
        <v>0</v>
      </c>
      <c r="AN177" s="41">
        <v>2436</v>
      </c>
      <c r="AO177" s="41">
        <v>2436</v>
      </c>
      <c r="AP177" s="40"/>
      <c r="AQ177" s="36">
        <v>45122</v>
      </c>
      <c r="AR177" s="36"/>
      <c r="AS177" s="36"/>
      <c r="AT177" s="36">
        <v>45137</v>
      </c>
      <c r="AU177" s="36"/>
      <c r="AV177" s="38"/>
      <c r="AW177" s="40" t="s">
        <v>3186</v>
      </c>
    </row>
    <row r="178" spans="1:49" s="34" customFormat="1" ht="64.5" customHeight="1" x14ac:dyDescent="0.3">
      <c r="A178" s="35" t="s">
        <v>3207</v>
      </c>
      <c r="B178" s="38">
        <v>45061</v>
      </c>
      <c r="C178" s="40">
        <v>1416</v>
      </c>
      <c r="D178" s="39" t="s">
        <v>3208</v>
      </c>
      <c r="E178" s="1" t="s">
        <v>3209</v>
      </c>
      <c r="F178" s="36">
        <v>45086</v>
      </c>
      <c r="G178" s="37" t="s">
        <v>3210</v>
      </c>
      <c r="H178" s="40" t="s">
        <v>353</v>
      </c>
      <c r="I178" s="40" t="s">
        <v>3211</v>
      </c>
      <c r="J178" s="57">
        <v>112713601.44</v>
      </c>
      <c r="K178" s="41">
        <v>112713601.44</v>
      </c>
      <c r="L178" s="30">
        <v>112713601.44</v>
      </c>
      <c r="M178" s="30">
        <v>112713601.44</v>
      </c>
      <c r="N178" s="40" t="s">
        <v>355</v>
      </c>
      <c r="O178" s="40" t="s">
        <v>952</v>
      </c>
      <c r="P178" s="40" t="s">
        <v>357</v>
      </c>
      <c r="Q178" s="44">
        <v>0</v>
      </c>
      <c r="R178" s="37">
        <v>100</v>
      </c>
      <c r="S178" s="37" t="s">
        <v>219</v>
      </c>
      <c r="T178" s="48">
        <v>1</v>
      </c>
      <c r="U178" s="30">
        <v>52768.54</v>
      </c>
      <c r="V178" s="41">
        <v>52768.54</v>
      </c>
      <c r="W178" s="41">
        <v>2136</v>
      </c>
      <c r="X178" s="41">
        <v>2099</v>
      </c>
      <c r="Y178" s="41">
        <v>1947</v>
      </c>
      <c r="Z178" s="41">
        <v>102740347.38</v>
      </c>
      <c r="AA178" s="41">
        <v>152</v>
      </c>
      <c r="AB178" s="41">
        <v>8020818.0800000001</v>
      </c>
      <c r="AC178" s="41">
        <v>37</v>
      </c>
      <c r="AD178" s="41">
        <v>37</v>
      </c>
      <c r="AE178" s="41">
        <v>1952435.98</v>
      </c>
      <c r="AF178" s="41">
        <v>0</v>
      </c>
      <c r="AG178" s="41">
        <v>0</v>
      </c>
      <c r="AH178" s="41">
        <v>0</v>
      </c>
      <c r="AI178" s="41">
        <v>0</v>
      </c>
      <c r="AJ178" s="41">
        <v>0</v>
      </c>
      <c r="AK178" s="41">
        <v>0</v>
      </c>
      <c r="AL178" s="41">
        <v>0</v>
      </c>
      <c r="AM178" s="41">
        <v>104692783.36</v>
      </c>
      <c r="AN178" s="41">
        <v>2136</v>
      </c>
      <c r="AO178" s="41">
        <v>2136</v>
      </c>
      <c r="AP178" s="40"/>
      <c r="AQ178" s="36">
        <v>45107</v>
      </c>
      <c r="AR178" s="36">
        <v>45275</v>
      </c>
      <c r="AS178" s="36"/>
      <c r="AT178" s="36">
        <v>45122</v>
      </c>
      <c r="AU178" s="36">
        <v>45285</v>
      </c>
      <c r="AV178" s="38"/>
      <c r="AW178" s="40" t="s">
        <v>75</v>
      </c>
    </row>
    <row r="179" spans="1:49" s="34" customFormat="1" ht="64.5" customHeight="1" x14ac:dyDescent="0.3">
      <c r="A179" s="35" t="s">
        <v>3212</v>
      </c>
      <c r="B179" s="38">
        <v>45063</v>
      </c>
      <c r="C179" s="40">
        <v>1416</v>
      </c>
      <c r="D179" s="39" t="s">
        <v>3213</v>
      </c>
      <c r="E179" s="1" t="s">
        <v>3214</v>
      </c>
      <c r="F179" s="36">
        <v>45083</v>
      </c>
      <c r="G179" s="37" t="s">
        <v>3215</v>
      </c>
      <c r="H179" s="40" t="s">
        <v>177</v>
      </c>
      <c r="I179" s="40" t="s">
        <v>624</v>
      </c>
      <c r="J179" s="57">
        <v>16928979.48</v>
      </c>
      <c r="K179" s="41">
        <v>16928979.48</v>
      </c>
      <c r="L179" s="30">
        <v>16928979.48</v>
      </c>
      <c r="M179" s="30">
        <v>16928979.48</v>
      </c>
      <c r="N179" s="40" t="s">
        <v>535</v>
      </c>
      <c r="O179" s="40" t="s">
        <v>3216</v>
      </c>
      <c r="P179" s="40" t="s">
        <v>47</v>
      </c>
      <c r="Q179" s="44">
        <v>100</v>
      </c>
      <c r="R179" s="37">
        <v>0</v>
      </c>
      <c r="S179" s="37" t="s">
        <v>1964</v>
      </c>
      <c r="T179" s="48">
        <v>21</v>
      </c>
      <c r="U179" s="30">
        <v>10607.130000000001</v>
      </c>
      <c r="V179" s="41">
        <v>222749.73</v>
      </c>
      <c r="W179" s="41">
        <v>1596</v>
      </c>
      <c r="X179" s="41">
        <v>1596</v>
      </c>
      <c r="Y179" s="41">
        <v>0</v>
      </c>
      <c r="Z179" s="41">
        <v>0</v>
      </c>
      <c r="AA179" s="41">
        <v>1596</v>
      </c>
      <c r="AB179" s="41">
        <v>16928979.48</v>
      </c>
      <c r="AC179" s="41">
        <v>0</v>
      </c>
      <c r="AD179" s="41">
        <v>0</v>
      </c>
      <c r="AE179" s="41">
        <v>0</v>
      </c>
      <c r="AF179" s="41">
        <v>0</v>
      </c>
      <c r="AG179" s="41">
        <v>0</v>
      </c>
      <c r="AH179" s="41">
        <v>0</v>
      </c>
      <c r="AI179" s="41">
        <v>0</v>
      </c>
      <c r="AJ179" s="41">
        <v>0</v>
      </c>
      <c r="AK179" s="41">
        <v>0</v>
      </c>
      <c r="AL179" s="41">
        <v>0</v>
      </c>
      <c r="AM179" s="41">
        <v>0</v>
      </c>
      <c r="AN179" s="41">
        <v>76</v>
      </c>
      <c r="AO179" s="41">
        <v>76</v>
      </c>
      <c r="AP179" s="40"/>
      <c r="AQ179" s="36">
        <v>45122</v>
      </c>
      <c r="AR179" s="36"/>
      <c r="AS179" s="36"/>
      <c r="AT179" s="36">
        <v>45137</v>
      </c>
      <c r="AU179" s="36"/>
      <c r="AV179" s="38"/>
      <c r="AW179" s="40" t="s">
        <v>87</v>
      </c>
    </row>
    <row r="180" spans="1:49" s="34" customFormat="1" ht="64.5" customHeight="1" x14ac:dyDescent="0.3">
      <c r="A180" s="35" t="s">
        <v>3223</v>
      </c>
      <c r="B180" s="38">
        <v>45063</v>
      </c>
      <c r="C180" s="40">
        <v>1416</v>
      </c>
      <c r="D180" s="39" t="s">
        <v>3224</v>
      </c>
      <c r="E180" s="1" t="s">
        <v>3225</v>
      </c>
      <c r="F180" s="36">
        <v>45083</v>
      </c>
      <c r="G180" s="37" t="s">
        <v>3226</v>
      </c>
      <c r="H180" s="40" t="s">
        <v>186</v>
      </c>
      <c r="I180" s="40" t="s">
        <v>3227</v>
      </c>
      <c r="J180" s="57">
        <v>285513285.12</v>
      </c>
      <c r="K180" s="41">
        <v>284085215.04000002</v>
      </c>
      <c r="L180" s="30">
        <v>284085215.04000002</v>
      </c>
      <c r="M180" s="30">
        <v>284085215.04000002</v>
      </c>
      <c r="N180" s="40" t="s">
        <v>590</v>
      </c>
      <c r="O180" s="40" t="s">
        <v>3228</v>
      </c>
      <c r="P180" s="40" t="s">
        <v>47</v>
      </c>
      <c r="Q180" s="44">
        <v>100</v>
      </c>
      <c r="R180" s="37">
        <v>0</v>
      </c>
      <c r="S180" s="37" t="s">
        <v>584</v>
      </c>
      <c r="T180" s="67">
        <v>2.4</v>
      </c>
      <c r="U180" s="30">
        <v>13537.150000000001</v>
      </c>
      <c r="V180" s="41">
        <v>32489.160000000003</v>
      </c>
      <c r="W180" s="41">
        <v>20985.599999999999</v>
      </c>
      <c r="X180" s="41">
        <v>20985.599999999999</v>
      </c>
      <c r="Y180" s="41">
        <v>10092</v>
      </c>
      <c r="Z180" s="41">
        <v>136616917.80000001</v>
      </c>
      <c r="AA180" s="41">
        <v>10893.6</v>
      </c>
      <c r="AB180" s="41">
        <v>147468297.24000001</v>
      </c>
      <c r="AC180" s="41">
        <v>0</v>
      </c>
      <c r="AD180" s="41">
        <v>0</v>
      </c>
      <c r="AE180" s="41">
        <v>0</v>
      </c>
      <c r="AF180" s="41">
        <v>0</v>
      </c>
      <c r="AG180" s="41">
        <v>0</v>
      </c>
      <c r="AH180" s="41">
        <v>0</v>
      </c>
      <c r="AI180" s="41">
        <v>0</v>
      </c>
      <c r="AJ180" s="41">
        <v>0</v>
      </c>
      <c r="AK180" s="41">
        <v>0</v>
      </c>
      <c r="AL180" s="41">
        <v>0</v>
      </c>
      <c r="AM180" s="41">
        <v>136616917.80000001</v>
      </c>
      <c r="AN180" s="41">
        <v>8744</v>
      </c>
      <c r="AO180" s="41">
        <v>8744</v>
      </c>
      <c r="AP180" s="40"/>
      <c r="AQ180" s="36">
        <v>45122</v>
      </c>
      <c r="AR180" s="36"/>
      <c r="AS180" s="36"/>
      <c r="AT180" s="36">
        <v>45137</v>
      </c>
      <c r="AU180" s="36"/>
      <c r="AV180" s="38"/>
      <c r="AW180" s="40" t="s">
        <v>49</v>
      </c>
    </row>
    <row r="181" spans="1:49" s="34" customFormat="1" ht="64.5" customHeight="1" x14ac:dyDescent="0.3">
      <c r="A181" s="35" t="s">
        <v>3229</v>
      </c>
      <c r="B181" s="38">
        <v>45063</v>
      </c>
      <c r="C181" s="40">
        <v>1416</v>
      </c>
      <c r="D181" s="39" t="s">
        <v>3230</v>
      </c>
      <c r="E181" s="1" t="s">
        <v>3231</v>
      </c>
      <c r="F181" s="36">
        <v>45096</v>
      </c>
      <c r="G181" s="37" t="s">
        <v>3232</v>
      </c>
      <c r="H181" s="40" t="s">
        <v>344</v>
      </c>
      <c r="I181" s="40" t="s">
        <v>3233</v>
      </c>
      <c r="J181" s="57">
        <v>1269093655</v>
      </c>
      <c r="K181" s="41">
        <v>1269093655</v>
      </c>
      <c r="L181" s="30">
        <v>1269093655</v>
      </c>
      <c r="M181" s="30">
        <v>1269093655</v>
      </c>
      <c r="N181" s="40" t="s">
        <v>3234</v>
      </c>
      <c r="O181" s="40" t="s">
        <v>3235</v>
      </c>
      <c r="P181" s="40" t="s">
        <v>348</v>
      </c>
      <c r="Q181" s="44">
        <v>0</v>
      </c>
      <c r="R181" s="37">
        <v>100</v>
      </c>
      <c r="S181" s="37" t="s">
        <v>219</v>
      </c>
      <c r="T181" s="48">
        <v>20</v>
      </c>
      <c r="U181" s="30">
        <v>3559.87</v>
      </c>
      <c r="V181" s="41">
        <v>71197.399999999994</v>
      </c>
      <c r="W181" s="41">
        <v>356500</v>
      </c>
      <c r="X181" s="41">
        <v>356500</v>
      </c>
      <c r="Y181" s="41">
        <v>0</v>
      </c>
      <c r="Z181" s="41">
        <v>0</v>
      </c>
      <c r="AA181" s="41">
        <v>356500</v>
      </c>
      <c r="AB181" s="41">
        <v>1269093655</v>
      </c>
      <c r="AC181" s="41">
        <v>0</v>
      </c>
      <c r="AD181" s="41">
        <v>0</v>
      </c>
      <c r="AE181" s="41">
        <v>0</v>
      </c>
      <c r="AF181" s="41">
        <v>0</v>
      </c>
      <c r="AG181" s="41">
        <v>0</v>
      </c>
      <c r="AH181" s="41">
        <v>0</v>
      </c>
      <c r="AI181" s="41">
        <v>0</v>
      </c>
      <c r="AJ181" s="41">
        <v>0</v>
      </c>
      <c r="AK181" s="41">
        <v>0</v>
      </c>
      <c r="AL181" s="41">
        <v>0</v>
      </c>
      <c r="AM181" s="41">
        <v>0</v>
      </c>
      <c r="AN181" s="41">
        <v>17825</v>
      </c>
      <c r="AO181" s="41">
        <v>17825</v>
      </c>
      <c r="AP181" s="40"/>
      <c r="AQ181" s="36">
        <v>45117</v>
      </c>
      <c r="AR181" s="36"/>
      <c r="AS181" s="36"/>
      <c r="AT181" s="36">
        <v>45132</v>
      </c>
      <c r="AU181" s="36"/>
      <c r="AV181" s="38"/>
      <c r="AW181" s="40" t="s">
        <v>49</v>
      </c>
    </row>
    <row r="182" spans="1:49" s="34" customFormat="1" ht="64.5" customHeight="1" x14ac:dyDescent="0.3">
      <c r="A182" s="35" t="s">
        <v>3244</v>
      </c>
      <c r="B182" s="38">
        <v>45064</v>
      </c>
      <c r="C182" s="40">
        <v>1416</v>
      </c>
      <c r="D182" s="39" t="s">
        <v>3245</v>
      </c>
      <c r="E182" s="1" t="s">
        <v>3246</v>
      </c>
      <c r="F182" s="36">
        <v>45117</v>
      </c>
      <c r="G182" s="37" t="s">
        <v>3247</v>
      </c>
      <c r="H182" s="40" t="s">
        <v>858</v>
      </c>
      <c r="I182" s="40" t="s">
        <v>3248</v>
      </c>
      <c r="J182" s="57">
        <v>1007497398.6</v>
      </c>
      <c r="K182" s="41">
        <v>5035686.3899999997</v>
      </c>
      <c r="L182" s="30">
        <v>5080614.84</v>
      </c>
      <c r="M182" s="30">
        <v>5080614.84</v>
      </c>
      <c r="N182" s="40" t="s">
        <v>3249</v>
      </c>
      <c r="O182" s="40" t="s">
        <v>3250</v>
      </c>
      <c r="P182" s="40" t="s">
        <v>47</v>
      </c>
      <c r="Q182" s="44">
        <v>100</v>
      </c>
      <c r="R182" s="37">
        <v>0</v>
      </c>
      <c r="S182" s="37" t="s">
        <v>1964</v>
      </c>
      <c r="T182" s="48">
        <v>21</v>
      </c>
      <c r="U182" s="30">
        <v>25.169999999999998</v>
      </c>
      <c r="V182" s="41">
        <v>528.56999999999994</v>
      </c>
      <c r="W182" s="41">
        <v>201852</v>
      </c>
      <c r="X182" s="41">
        <v>201852</v>
      </c>
      <c r="Y182" s="41">
        <v>105</v>
      </c>
      <c r="Z182" s="41">
        <v>2642.85</v>
      </c>
      <c r="AA182" s="41">
        <v>201747</v>
      </c>
      <c r="AB182" s="41">
        <v>5077971.9899999993</v>
      </c>
      <c r="AC182" s="41">
        <v>0</v>
      </c>
      <c r="AD182" s="41">
        <v>0</v>
      </c>
      <c r="AE182" s="41">
        <v>0</v>
      </c>
      <c r="AF182" s="41">
        <v>0</v>
      </c>
      <c r="AG182" s="41">
        <v>0</v>
      </c>
      <c r="AH182" s="41">
        <v>0</v>
      </c>
      <c r="AI182" s="41">
        <v>0</v>
      </c>
      <c r="AJ182" s="41">
        <v>0</v>
      </c>
      <c r="AK182" s="41">
        <v>0</v>
      </c>
      <c r="AL182" s="41">
        <v>0</v>
      </c>
      <c r="AM182" s="41">
        <v>2642.85</v>
      </c>
      <c r="AN182" s="41">
        <v>9612</v>
      </c>
      <c r="AO182" s="41">
        <v>9612</v>
      </c>
      <c r="AP182" s="40"/>
      <c r="AQ182" s="36">
        <v>45170</v>
      </c>
      <c r="AR182" s="36"/>
      <c r="AS182" s="36"/>
      <c r="AT182" s="36">
        <v>45184</v>
      </c>
      <c r="AU182" s="36"/>
      <c r="AV182" s="38"/>
      <c r="AW182" s="40" t="s">
        <v>49</v>
      </c>
    </row>
    <row r="183" spans="1:49" s="34" customFormat="1" ht="64.5" customHeight="1" x14ac:dyDescent="0.3">
      <c r="A183" s="35" t="s">
        <v>3251</v>
      </c>
      <c r="B183" s="38">
        <v>45064</v>
      </c>
      <c r="C183" s="40">
        <v>1416</v>
      </c>
      <c r="D183" s="39" t="s">
        <v>3252</v>
      </c>
      <c r="E183" s="1" t="s">
        <v>3253</v>
      </c>
      <c r="F183" s="36">
        <v>45083</v>
      </c>
      <c r="G183" s="37" t="s">
        <v>3254</v>
      </c>
      <c r="H183" s="40" t="s">
        <v>177</v>
      </c>
      <c r="I183" s="40" t="s">
        <v>3255</v>
      </c>
      <c r="J183" s="57">
        <v>62221424.579999998</v>
      </c>
      <c r="K183" s="41">
        <v>62221424.579999998</v>
      </c>
      <c r="L183" s="30">
        <v>62221424.579999998</v>
      </c>
      <c r="M183" s="30">
        <v>62221424.579999998</v>
      </c>
      <c r="N183" s="40" t="s">
        <v>535</v>
      </c>
      <c r="O183" s="40" t="s">
        <v>536</v>
      </c>
      <c r="P183" s="40" t="s">
        <v>47</v>
      </c>
      <c r="Q183" s="44">
        <v>100</v>
      </c>
      <c r="R183" s="37">
        <v>0</v>
      </c>
      <c r="S183" s="37" t="s">
        <v>1964</v>
      </c>
      <c r="T183" s="48">
        <v>21</v>
      </c>
      <c r="U183" s="30">
        <v>7071.42</v>
      </c>
      <c r="V183" s="41">
        <v>148499.82</v>
      </c>
      <c r="W183" s="41">
        <v>8799</v>
      </c>
      <c r="X183" s="41">
        <v>8799</v>
      </c>
      <c r="Y183" s="41">
        <v>0</v>
      </c>
      <c r="Z183" s="41">
        <v>0</v>
      </c>
      <c r="AA183" s="41">
        <v>8799</v>
      </c>
      <c r="AB183" s="41">
        <v>62221424.579999998</v>
      </c>
      <c r="AC183" s="41">
        <v>0</v>
      </c>
      <c r="AD183" s="41">
        <v>0</v>
      </c>
      <c r="AE183" s="41">
        <v>0</v>
      </c>
      <c r="AF183" s="41">
        <v>0</v>
      </c>
      <c r="AG183" s="41">
        <v>0</v>
      </c>
      <c r="AH183" s="41">
        <v>0</v>
      </c>
      <c r="AI183" s="41">
        <v>0</v>
      </c>
      <c r="AJ183" s="41">
        <v>0</v>
      </c>
      <c r="AK183" s="41">
        <v>0</v>
      </c>
      <c r="AL183" s="41">
        <v>0</v>
      </c>
      <c r="AM183" s="41">
        <v>0</v>
      </c>
      <c r="AN183" s="41">
        <v>419</v>
      </c>
      <c r="AO183" s="41">
        <v>419</v>
      </c>
      <c r="AP183" s="40"/>
      <c r="AQ183" s="36">
        <v>45117</v>
      </c>
      <c r="AR183" s="36"/>
      <c r="AS183" s="36"/>
      <c r="AT183" s="36">
        <v>45132</v>
      </c>
      <c r="AU183" s="36"/>
      <c r="AV183" s="38"/>
      <c r="AW183" s="40" t="s">
        <v>87</v>
      </c>
    </row>
    <row r="184" spans="1:49" ht="62.25" customHeight="1" x14ac:dyDescent="0.3">
      <c r="A184" s="35" t="s">
        <v>3263</v>
      </c>
      <c r="B184" s="38">
        <v>45068</v>
      </c>
      <c r="C184" s="40">
        <v>1416</v>
      </c>
      <c r="D184" s="39" t="s">
        <v>3264</v>
      </c>
      <c r="E184" s="1" t="s">
        <v>3265</v>
      </c>
      <c r="F184" s="36">
        <v>45093</v>
      </c>
      <c r="G184" s="37" t="s">
        <v>3266</v>
      </c>
      <c r="H184" s="40" t="s">
        <v>186</v>
      </c>
      <c r="I184" s="40" t="s">
        <v>3267</v>
      </c>
      <c r="J184" s="57">
        <v>43206818.850000001</v>
      </c>
      <c r="K184" s="41">
        <v>43206818.850000001</v>
      </c>
      <c r="L184" s="30">
        <v>43206818.850000001</v>
      </c>
      <c r="M184" s="30">
        <v>43206818.850000001</v>
      </c>
      <c r="N184" s="40" t="s">
        <v>3268</v>
      </c>
      <c r="O184" s="40" t="s">
        <v>3269</v>
      </c>
      <c r="P184" s="40" t="s">
        <v>3270</v>
      </c>
      <c r="Q184" s="44">
        <v>0</v>
      </c>
      <c r="R184" s="37">
        <v>100</v>
      </c>
      <c r="S184" s="37" t="s">
        <v>219</v>
      </c>
      <c r="T184" s="67">
        <v>11.7</v>
      </c>
      <c r="U184" s="30">
        <v>7941.7000000000007</v>
      </c>
      <c r="V184" s="41">
        <v>92917.89</v>
      </c>
      <c r="W184" s="41">
        <v>5440.5</v>
      </c>
      <c r="X184" s="41">
        <v>2691</v>
      </c>
      <c r="Y184" s="41">
        <v>0</v>
      </c>
      <c r="Z184" s="41">
        <v>0</v>
      </c>
      <c r="AA184" s="41">
        <v>2691</v>
      </c>
      <c r="AB184" s="41">
        <v>21371114.700000003</v>
      </c>
      <c r="AC184" s="41">
        <v>2749.5</v>
      </c>
      <c r="AD184" s="41">
        <v>0</v>
      </c>
      <c r="AE184" s="41">
        <v>0</v>
      </c>
      <c r="AF184" s="41">
        <v>2749.5</v>
      </c>
      <c r="AG184" s="41">
        <v>21835704.150000002</v>
      </c>
      <c r="AH184" s="41">
        <v>0</v>
      </c>
      <c r="AI184" s="41">
        <v>0</v>
      </c>
      <c r="AJ184" s="41">
        <v>0</v>
      </c>
      <c r="AK184" s="41">
        <v>0</v>
      </c>
      <c r="AL184" s="41">
        <v>0</v>
      </c>
      <c r="AM184" s="41">
        <v>0</v>
      </c>
      <c r="AN184" s="41">
        <v>465</v>
      </c>
      <c r="AO184" s="41">
        <v>465</v>
      </c>
      <c r="AP184" s="40"/>
      <c r="AQ184" s="36">
        <v>45117</v>
      </c>
      <c r="AR184" s="36">
        <v>45200</v>
      </c>
      <c r="AS184" s="36"/>
      <c r="AT184" s="36">
        <v>45132</v>
      </c>
      <c r="AU184" s="36">
        <v>45214</v>
      </c>
      <c r="AV184" s="38"/>
      <c r="AW184" s="40" t="s">
        <v>75</v>
      </c>
    </row>
    <row r="185" spans="1:49" ht="62.25" customHeight="1" x14ac:dyDescent="0.3">
      <c r="A185" s="35" t="s">
        <v>3271</v>
      </c>
      <c r="B185" s="38">
        <v>45068</v>
      </c>
      <c r="C185" s="40">
        <v>1416</v>
      </c>
      <c r="D185" s="39" t="s">
        <v>3272</v>
      </c>
      <c r="E185" s="1" t="s">
        <v>3273</v>
      </c>
      <c r="F185" s="36">
        <v>45090</v>
      </c>
      <c r="G185" s="37" t="s">
        <v>3274</v>
      </c>
      <c r="H185" s="40" t="s">
        <v>571</v>
      </c>
      <c r="I185" s="40" t="s">
        <v>738</v>
      </c>
      <c r="J185" s="57">
        <v>19427704</v>
      </c>
      <c r="K185" s="41">
        <v>19325632</v>
      </c>
      <c r="L185" s="30">
        <v>19325632</v>
      </c>
      <c r="M185" s="30">
        <v>19325632</v>
      </c>
      <c r="N185" s="40" t="s">
        <v>739</v>
      </c>
      <c r="O185" s="40" t="s">
        <v>3275</v>
      </c>
      <c r="P185" s="40" t="s">
        <v>47</v>
      </c>
      <c r="Q185" s="44">
        <v>100</v>
      </c>
      <c r="R185" s="37">
        <v>0</v>
      </c>
      <c r="S185" s="37" t="s">
        <v>1964</v>
      </c>
      <c r="T185" s="48">
        <v>50</v>
      </c>
      <c r="U185" s="30">
        <v>22.72</v>
      </c>
      <c r="V185" s="41">
        <v>1136</v>
      </c>
      <c r="W185" s="41">
        <v>850600</v>
      </c>
      <c r="X185" s="41">
        <v>850600</v>
      </c>
      <c r="Y185" s="41">
        <v>15500</v>
      </c>
      <c r="Z185" s="41">
        <v>352160</v>
      </c>
      <c r="AA185" s="41">
        <v>835100</v>
      </c>
      <c r="AB185" s="41">
        <v>18973472</v>
      </c>
      <c r="AC185" s="41">
        <v>0</v>
      </c>
      <c r="AD185" s="41">
        <v>0</v>
      </c>
      <c r="AE185" s="41">
        <v>0</v>
      </c>
      <c r="AF185" s="41">
        <v>0</v>
      </c>
      <c r="AG185" s="41">
        <v>0</v>
      </c>
      <c r="AH185" s="41">
        <v>0</v>
      </c>
      <c r="AI185" s="41">
        <v>0</v>
      </c>
      <c r="AJ185" s="41">
        <v>0</v>
      </c>
      <c r="AK185" s="41">
        <v>0</v>
      </c>
      <c r="AL185" s="41">
        <v>0</v>
      </c>
      <c r="AM185" s="41">
        <v>352160</v>
      </c>
      <c r="AN185" s="41">
        <v>17012</v>
      </c>
      <c r="AO185" s="41">
        <v>17012</v>
      </c>
      <c r="AP185" s="40"/>
      <c r="AQ185" s="36">
        <v>45117</v>
      </c>
      <c r="AR185" s="36"/>
      <c r="AS185" s="36"/>
      <c r="AT185" s="36">
        <v>45132</v>
      </c>
      <c r="AU185" s="36"/>
      <c r="AV185" s="38"/>
      <c r="AW185" s="40" t="s">
        <v>49</v>
      </c>
    </row>
    <row r="186" spans="1:49" ht="62.25" customHeight="1" x14ac:dyDescent="0.3">
      <c r="A186" s="35" t="s">
        <v>3287</v>
      </c>
      <c r="B186" s="38">
        <v>45068</v>
      </c>
      <c r="C186" s="40">
        <v>1416</v>
      </c>
      <c r="D186" s="39" t="s">
        <v>459</v>
      </c>
      <c r="E186" s="1" t="s">
        <v>3288</v>
      </c>
      <c r="F186" s="36" t="s">
        <v>459</v>
      </c>
      <c r="G186" s="37" t="s">
        <v>459</v>
      </c>
      <c r="H186" s="40" t="s">
        <v>459</v>
      </c>
      <c r="I186" s="40" t="s">
        <v>3289</v>
      </c>
      <c r="J186" s="57" t="s">
        <v>3290</v>
      </c>
      <c r="K186" s="41">
        <v>0</v>
      </c>
      <c r="L186" s="30">
        <v>0</v>
      </c>
      <c r="M186" s="30">
        <v>0</v>
      </c>
      <c r="N186" s="40"/>
      <c r="O186" s="40"/>
      <c r="P186" s="40"/>
      <c r="Q186" s="44"/>
      <c r="R186" s="37"/>
      <c r="S186" s="37"/>
      <c r="T186" s="48"/>
      <c r="U186" s="30" t="e">
        <v>#DIV/0!</v>
      </c>
      <c r="V186" s="41" t="e">
        <v>#DIV/0!</v>
      </c>
      <c r="W186" s="41">
        <v>0</v>
      </c>
      <c r="X186" s="41">
        <v>0</v>
      </c>
      <c r="Y186" s="41">
        <v>0</v>
      </c>
      <c r="Z186" s="41" t="e">
        <v>#DIV/0!</v>
      </c>
      <c r="AA186" s="41">
        <v>0</v>
      </c>
      <c r="AB186" s="41" t="e">
        <v>#DIV/0!</v>
      </c>
      <c r="AC186" s="41">
        <v>0</v>
      </c>
      <c r="AD186" s="41">
        <v>0</v>
      </c>
      <c r="AE186" s="41" t="e">
        <v>#DIV/0!</v>
      </c>
      <c r="AF186" s="41">
        <v>0</v>
      </c>
      <c r="AG186" s="41" t="e">
        <v>#DIV/0!</v>
      </c>
      <c r="AH186" s="41">
        <v>0</v>
      </c>
      <c r="AI186" s="41">
        <v>0</v>
      </c>
      <c r="AJ186" s="41">
        <v>0</v>
      </c>
      <c r="AK186" s="41">
        <v>0</v>
      </c>
      <c r="AL186" s="41">
        <v>0</v>
      </c>
      <c r="AM186" s="41" t="e">
        <v>#DIV/0!</v>
      </c>
      <c r="AN186" s="41" t="e">
        <v>#DIV/0!</v>
      </c>
      <c r="AO186" s="41" t="e">
        <v>#DIV/0!</v>
      </c>
      <c r="AP186" s="40"/>
      <c r="AQ186" s="36">
        <v>45122</v>
      </c>
      <c r="AR186" s="36"/>
      <c r="AS186" s="36"/>
      <c r="AT186" s="36"/>
      <c r="AU186" s="36"/>
      <c r="AV186" s="38"/>
      <c r="AW186" s="40"/>
    </row>
    <row r="187" spans="1:49" ht="62.25" customHeight="1" x14ac:dyDescent="0.3">
      <c r="A187" s="35" t="s">
        <v>3308</v>
      </c>
      <c r="B187" s="38">
        <v>45075</v>
      </c>
      <c r="C187" s="40">
        <v>1416</v>
      </c>
      <c r="D187" s="39" t="s">
        <v>3309</v>
      </c>
      <c r="E187" s="1" t="s">
        <v>3310</v>
      </c>
      <c r="F187" s="36">
        <v>45103</v>
      </c>
      <c r="G187" s="37" t="s">
        <v>3311</v>
      </c>
      <c r="H187" s="40" t="s">
        <v>224</v>
      </c>
      <c r="I187" s="40" t="s">
        <v>3312</v>
      </c>
      <c r="J187" s="57">
        <v>362893631.94</v>
      </c>
      <c r="K187" s="41">
        <v>362893631.94</v>
      </c>
      <c r="L187" s="30">
        <v>362893631.94</v>
      </c>
      <c r="M187" s="30">
        <v>362893631.94</v>
      </c>
      <c r="N187" s="40" t="s">
        <v>549</v>
      </c>
      <c r="O187" s="40" t="s">
        <v>3313</v>
      </c>
      <c r="P187" s="40" t="s">
        <v>47</v>
      </c>
      <c r="Q187" s="44">
        <v>100</v>
      </c>
      <c r="R187" s="37">
        <v>0</v>
      </c>
      <c r="S187" s="37" t="s">
        <v>1964</v>
      </c>
      <c r="T187" s="48">
        <v>3</v>
      </c>
      <c r="U187" s="30">
        <v>69666.66</v>
      </c>
      <c r="V187" s="41">
        <v>208999.98</v>
      </c>
      <c r="W187" s="41">
        <v>5209</v>
      </c>
      <c r="X187" s="41">
        <v>5209</v>
      </c>
      <c r="Y187" s="41">
        <v>0</v>
      </c>
      <c r="Z187" s="41">
        <v>0</v>
      </c>
      <c r="AA187" s="41">
        <v>5209</v>
      </c>
      <c r="AB187" s="41">
        <v>362893631.94</v>
      </c>
      <c r="AC187" s="41">
        <v>0</v>
      </c>
      <c r="AD187" s="41">
        <v>0</v>
      </c>
      <c r="AE187" s="41">
        <v>0</v>
      </c>
      <c r="AF187" s="41">
        <v>0</v>
      </c>
      <c r="AG187" s="41">
        <v>0</v>
      </c>
      <c r="AH187" s="41">
        <v>0</v>
      </c>
      <c r="AI187" s="41">
        <v>0</v>
      </c>
      <c r="AJ187" s="41">
        <v>0</v>
      </c>
      <c r="AK187" s="41">
        <v>0</v>
      </c>
      <c r="AL187" s="41">
        <v>0</v>
      </c>
      <c r="AM187" s="41">
        <v>0</v>
      </c>
      <c r="AN187" s="41">
        <v>1736.3333333333333</v>
      </c>
      <c r="AO187" s="41">
        <v>1737</v>
      </c>
      <c r="AP187" s="40"/>
      <c r="AQ187" s="36">
        <v>45122</v>
      </c>
      <c r="AR187" s="36"/>
      <c r="AS187" s="36"/>
      <c r="AT187" s="36">
        <v>45137</v>
      </c>
      <c r="AU187" s="36"/>
      <c r="AV187" s="38"/>
      <c r="AW187" s="40" t="s">
        <v>87</v>
      </c>
    </row>
    <row r="188" spans="1:49" ht="62.25" customHeight="1" x14ac:dyDescent="0.3">
      <c r="A188" s="35" t="s">
        <v>3314</v>
      </c>
      <c r="B188" s="38">
        <v>45075</v>
      </c>
      <c r="C188" s="40">
        <v>1416</v>
      </c>
      <c r="D188" s="39" t="s">
        <v>3315</v>
      </c>
      <c r="E188" s="1" t="s">
        <v>3316</v>
      </c>
      <c r="F188" s="36">
        <v>45097</v>
      </c>
      <c r="G188" s="37" t="s">
        <v>3317</v>
      </c>
      <c r="H188" s="40" t="s">
        <v>224</v>
      </c>
      <c r="I188" s="40" t="s">
        <v>3318</v>
      </c>
      <c r="J188" s="57">
        <v>30304997.100000001</v>
      </c>
      <c r="K188" s="41">
        <v>30304997.100000001</v>
      </c>
      <c r="L188" s="30">
        <v>30304997.100000001</v>
      </c>
      <c r="M188" s="30">
        <v>30304997.100000001</v>
      </c>
      <c r="N188" s="40" t="s">
        <v>549</v>
      </c>
      <c r="O188" s="40" t="s">
        <v>3319</v>
      </c>
      <c r="P188" s="40" t="s">
        <v>218</v>
      </c>
      <c r="Q188" s="44">
        <v>0</v>
      </c>
      <c r="R188" s="37">
        <v>100</v>
      </c>
      <c r="S188" s="37" t="s">
        <v>1964</v>
      </c>
      <c r="T188" s="48">
        <v>3</v>
      </c>
      <c r="U188" s="30">
        <v>69666.66</v>
      </c>
      <c r="V188" s="41">
        <v>208999.98</v>
      </c>
      <c r="W188" s="41">
        <v>435</v>
      </c>
      <c r="X188" s="41">
        <v>435</v>
      </c>
      <c r="Y188" s="41">
        <v>0</v>
      </c>
      <c r="Z188" s="41">
        <v>0</v>
      </c>
      <c r="AA188" s="41">
        <v>435</v>
      </c>
      <c r="AB188" s="41">
        <v>30304997.100000001</v>
      </c>
      <c r="AC188" s="41">
        <v>0</v>
      </c>
      <c r="AD188" s="41">
        <v>0</v>
      </c>
      <c r="AE188" s="41">
        <v>0</v>
      </c>
      <c r="AF188" s="41">
        <v>0</v>
      </c>
      <c r="AG188" s="41">
        <v>0</v>
      </c>
      <c r="AH188" s="41">
        <v>0</v>
      </c>
      <c r="AI188" s="41">
        <v>0</v>
      </c>
      <c r="AJ188" s="41">
        <v>0</v>
      </c>
      <c r="AK188" s="41">
        <v>0</v>
      </c>
      <c r="AL188" s="41">
        <v>0</v>
      </c>
      <c r="AM188" s="41">
        <v>0</v>
      </c>
      <c r="AN188" s="41">
        <v>145</v>
      </c>
      <c r="AO188" s="41">
        <v>145</v>
      </c>
      <c r="AP188" s="40"/>
      <c r="AQ188" s="36">
        <v>45122</v>
      </c>
      <c r="AR188" s="36"/>
      <c r="AS188" s="36"/>
      <c r="AT188" s="36">
        <v>45137</v>
      </c>
      <c r="AU188" s="36"/>
      <c r="AV188" s="38"/>
      <c r="AW188" s="40" t="s">
        <v>87</v>
      </c>
    </row>
    <row r="189" spans="1:49" ht="62.25" customHeight="1" x14ac:dyDescent="0.3">
      <c r="A189" s="35" t="s">
        <v>3326</v>
      </c>
      <c r="B189" s="38">
        <v>45075</v>
      </c>
      <c r="C189" s="40">
        <v>1416</v>
      </c>
      <c r="D189" s="39" t="s">
        <v>459</v>
      </c>
      <c r="E189" s="1" t="s">
        <v>3327</v>
      </c>
      <c r="F189" s="36" t="s">
        <v>459</v>
      </c>
      <c r="G189" s="35" t="s">
        <v>459</v>
      </c>
      <c r="H189" s="40" t="s">
        <v>459</v>
      </c>
      <c r="I189" s="40" t="s">
        <v>2861</v>
      </c>
      <c r="J189" s="57">
        <v>162636344.09999999</v>
      </c>
      <c r="K189" s="41">
        <v>0</v>
      </c>
      <c r="L189" s="30">
        <v>0</v>
      </c>
      <c r="M189" s="30">
        <v>0</v>
      </c>
      <c r="N189" s="40"/>
      <c r="O189" s="40"/>
      <c r="P189" s="40"/>
      <c r="Q189" s="44"/>
      <c r="R189" s="37"/>
      <c r="S189" s="37"/>
      <c r="T189" s="48"/>
      <c r="U189" s="30" t="e">
        <v>#DIV/0!</v>
      </c>
      <c r="V189" s="41" t="e">
        <v>#DIV/0!</v>
      </c>
      <c r="W189" s="41">
        <v>0</v>
      </c>
      <c r="X189" s="41">
        <v>0</v>
      </c>
      <c r="Y189" s="41">
        <v>0</v>
      </c>
      <c r="Z189" s="41" t="e">
        <v>#DIV/0!</v>
      </c>
      <c r="AA189" s="41">
        <v>0</v>
      </c>
      <c r="AB189" s="41" t="e">
        <v>#DIV/0!</v>
      </c>
      <c r="AC189" s="41">
        <v>0</v>
      </c>
      <c r="AD189" s="41">
        <v>0</v>
      </c>
      <c r="AE189" s="41" t="e">
        <v>#DIV/0!</v>
      </c>
      <c r="AF189" s="41">
        <v>0</v>
      </c>
      <c r="AG189" s="41" t="e">
        <v>#DIV/0!</v>
      </c>
      <c r="AH189" s="41">
        <v>0</v>
      </c>
      <c r="AI189" s="41">
        <v>0</v>
      </c>
      <c r="AJ189" s="41">
        <v>0</v>
      </c>
      <c r="AK189" s="41">
        <v>0</v>
      </c>
      <c r="AL189" s="41">
        <v>0</v>
      </c>
      <c r="AM189" s="41" t="e">
        <v>#DIV/0!</v>
      </c>
      <c r="AN189" s="41" t="e">
        <v>#DIV/0!</v>
      </c>
      <c r="AO189" s="41" t="e">
        <v>#DIV/0!</v>
      </c>
      <c r="AP189" s="40"/>
      <c r="AQ189" s="36">
        <v>45260</v>
      </c>
      <c r="AR189" s="36"/>
      <c r="AS189" s="36"/>
      <c r="AT189" s="36"/>
      <c r="AU189" s="36"/>
      <c r="AV189" s="38"/>
      <c r="AW189" s="40"/>
    </row>
    <row r="190" spans="1:49" ht="45" customHeight="1" x14ac:dyDescent="0.3">
      <c r="A190" s="35" t="s">
        <v>3510</v>
      </c>
      <c r="B190" s="38">
        <v>45098</v>
      </c>
      <c r="C190" s="40">
        <v>1416</v>
      </c>
      <c r="D190" s="39" t="s">
        <v>3511</v>
      </c>
      <c r="E190" s="1" t="s">
        <v>3512</v>
      </c>
      <c r="F190" s="36">
        <v>45121</v>
      </c>
      <c r="G190" s="37" t="s">
        <v>3513</v>
      </c>
      <c r="H190" s="40" t="s">
        <v>1971</v>
      </c>
      <c r="I190" s="40" t="s">
        <v>3514</v>
      </c>
      <c r="J190" s="57">
        <v>29839440</v>
      </c>
      <c r="K190" s="41">
        <v>29839440</v>
      </c>
      <c r="L190" s="30">
        <v>29839440</v>
      </c>
      <c r="M190" s="30">
        <v>29839440</v>
      </c>
      <c r="N190" s="40" t="s">
        <v>3515</v>
      </c>
      <c r="O190" s="40" t="s">
        <v>3516</v>
      </c>
      <c r="P190" s="40" t="s">
        <v>2690</v>
      </c>
      <c r="Q190" s="44">
        <v>0</v>
      </c>
      <c r="R190" s="37">
        <v>100</v>
      </c>
      <c r="S190" s="37" t="s">
        <v>229</v>
      </c>
      <c r="T190" s="48">
        <v>2000</v>
      </c>
      <c r="U190" s="30">
        <v>12.12</v>
      </c>
      <c r="V190" s="41">
        <v>24240</v>
      </c>
      <c r="W190" s="41">
        <v>2462000</v>
      </c>
      <c r="X190" s="41">
        <v>2462000</v>
      </c>
      <c r="Y190" s="41">
        <v>2462000</v>
      </c>
      <c r="Z190" s="41">
        <v>29839439.999999996</v>
      </c>
      <c r="AA190" s="41">
        <v>0</v>
      </c>
      <c r="AB190" s="41">
        <v>0</v>
      </c>
      <c r="AC190" s="41">
        <v>0</v>
      </c>
      <c r="AD190" s="41">
        <v>0</v>
      </c>
      <c r="AE190" s="41">
        <v>0</v>
      </c>
      <c r="AF190" s="41">
        <v>0</v>
      </c>
      <c r="AG190" s="41">
        <v>0</v>
      </c>
      <c r="AH190" s="41">
        <v>0</v>
      </c>
      <c r="AI190" s="41">
        <v>0</v>
      </c>
      <c r="AJ190" s="41">
        <v>0</v>
      </c>
      <c r="AK190" s="41">
        <v>0</v>
      </c>
      <c r="AL190" s="41">
        <v>0</v>
      </c>
      <c r="AM190" s="41">
        <v>29839439.999999996</v>
      </c>
      <c r="AN190" s="41">
        <v>1231</v>
      </c>
      <c r="AO190" s="41">
        <v>1231</v>
      </c>
      <c r="AP190" s="40"/>
      <c r="AQ190" s="36">
        <v>45199</v>
      </c>
      <c r="AR190" s="36"/>
      <c r="AS190" s="36"/>
      <c r="AT190" s="36">
        <v>45214</v>
      </c>
      <c r="AU190" s="36"/>
      <c r="AV190" s="38"/>
      <c r="AW190" s="40" t="s">
        <v>49</v>
      </c>
    </row>
    <row r="191" spans="1:49" ht="45" customHeight="1" x14ac:dyDescent="0.3">
      <c r="A191" s="35" t="s">
        <v>3517</v>
      </c>
      <c r="B191" s="38">
        <v>45098</v>
      </c>
      <c r="C191" s="40">
        <v>1416</v>
      </c>
      <c r="D191" s="39" t="s">
        <v>3518</v>
      </c>
      <c r="E191" s="1" t="s">
        <v>3519</v>
      </c>
      <c r="F191" s="36">
        <v>45121</v>
      </c>
      <c r="G191" s="37" t="s">
        <v>3520</v>
      </c>
      <c r="H191" s="40" t="s">
        <v>1971</v>
      </c>
      <c r="I191" s="40" t="s">
        <v>2746</v>
      </c>
      <c r="J191" s="57">
        <v>6000780</v>
      </c>
      <c r="K191" s="41">
        <v>6000780</v>
      </c>
      <c r="L191" s="30">
        <v>6000780</v>
      </c>
      <c r="M191" s="30">
        <v>6000780</v>
      </c>
      <c r="N191" s="40" t="s">
        <v>3515</v>
      </c>
      <c r="O191" s="40" t="s">
        <v>3521</v>
      </c>
      <c r="P191" s="40" t="s">
        <v>2690</v>
      </c>
      <c r="Q191" s="44">
        <v>0</v>
      </c>
      <c r="R191" s="37">
        <v>100</v>
      </c>
      <c r="S191" s="37" t="s">
        <v>229</v>
      </c>
      <c r="T191" s="48">
        <v>500</v>
      </c>
      <c r="U191" s="30">
        <v>12.36</v>
      </c>
      <c r="V191" s="41">
        <v>6180</v>
      </c>
      <c r="W191" s="41">
        <v>485500</v>
      </c>
      <c r="X191" s="41">
        <v>485500</v>
      </c>
      <c r="Y191" s="41">
        <v>485500</v>
      </c>
      <c r="Z191" s="41">
        <v>6000780</v>
      </c>
      <c r="AA191" s="41">
        <v>0</v>
      </c>
      <c r="AB191" s="41">
        <v>0</v>
      </c>
      <c r="AC191" s="41">
        <v>0</v>
      </c>
      <c r="AD191" s="41">
        <v>0</v>
      </c>
      <c r="AE191" s="41">
        <v>0</v>
      </c>
      <c r="AF191" s="41">
        <v>0</v>
      </c>
      <c r="AG191" s="41">
        <v>0</v>
      </c>
      <c r="AH191" s="41">
        <v>0</v>
      </c>
      <c r="AI191" s="41">
        <v>0</v>
      </c>
      <c r="AJ191" s="41">
        <v>0</v>
      </c>
      <c r="AK191" s="41">
        <v>0</v>
      </c>
      <c r="AL191" s="41">
        <v>0</v>
      </c>
      <c r="AM191" s="41">
        <v>6000780</v>
      </c>
      <c r="AN191" s="41">
        <v>971</v>
      </c>
      <c r="AO191" s="41">
        <v>971</v>
      </c>
      <c r="AP191" s="40"/>
      <c r="AQ191" s="36">
        <v>45199</v>
      </c>
      <c r="AR191" s="36"/>
      <c r="AS191" s="36"/>
      <c r="AT191" s="36">
        <v>45214</v>
      </c>
      <c r="AU191" s="36"/>
      <c r="AV191" s="38"/>
      <c r="AW191" s="40" t="s">
        <v>49</v>
      </c>
    </row>
    <row r="192" spans="1:49" ht="45" customHeight="1" x14ac:dyDescent="0.3">
      <c r="A192" s="35" t="s">
        <v>3522</v>
      </c>
      <c r="B192" s="38">
        <v>45098</v>
      </c>
      <c r="C192" s="40">
        <v>1416</v>
      </c>
      <c r="D192" s="39" t="s">
        <v>3523</v>
      </c>
      <c r="E192" s="1" t="s">
        <v>3524</v>
      </c>
      <c r="F192" s="36">
        <v>45121</v>
      </c>
      <c r="G192" s="37" t="s">
        <v>3525</v>
      </c>
      <c r="H192" s="40" t="s">
        <v>1971</v>
      </c>
      <c r="I192" s="40" t="s">
        <v>2721</v>
      </c>
      <c r="J192" s="57">
        <v>39200530</v>
      </c>
      <c r="K192" s="41">
        <v>39200530</v>
      </c>
      <c r="L192" s="30">
        <v>39200530</v>
      </c>
      <c r="M192" s="30">
        <v>39200530</v>
      </c>
      <c r="N192" s="40" t="s">
        <v>3515</v>
      </c>
      <c r="O192" s="40" t="s">
        <v>3526</v>
      </c>
      <c r="P192" s="40" t="s">
        <v>2690</v>
      </c>
      <c r="Q192" s="44">
        <v>0</v>
      </c>
      <c r="R192" s="37">
        <v>100</v>
      </c>
      <c r="S192" s="37" t="s">
        <v>229</v>
      </c>
      <c r="T192" s="48">
        <v>1000</v>
      </c>
      <c r="U192" s="30">
        <v>12.37</v>
      </c>
      <c r="V192" s="41">
        <v>12370</v>
      </c>
      <c r="W192" s="41">
        <v>3169000</v>
      </c>
      <c r="X192" s="41">
        <v>3169000</v>
      </c>
      <c r="Y192" s="41">
        <v>3169000</v>
      </c>
      <c r="Z192" s="41">
        <v>39200530</v>
      </c>
      <c r="AA192" s="41">
        <v>0</v>
      </c>
      <c r="AB192" s="41">
        <v>0</v>
      </c>
      <c r="AC192" s="41">
        <v>0</v>
      </c>
      <c r="AD192" s="41">
        <v>0</v>
      </c>
      <c r="AE192" s="41">
        <v>0</v>
      </c>
      <c r="AF192" s="41">
        <v>0</v>
      </c>
      <c r="AG192" s="41">
        <v>0</v>
      </c>
      <c r="AH192" s="41">
        <v>0</v>
      </c>
      <c r="AI192" s="41">
        <v>0</v>
      </c>
      <c r="AJ192" s="41">
        <v>0</v>
      </c>
      <c r="AK192" s="41">
        <v>0</v>
      </c>
      <c r="AL192" s="41">
        <v>0</v>
      </c>
      <c r="AM192" s="41">
        <v>39200530</v>
      </c>
      <c r="AN192" s="41">
        <v>3169</v>
      </c>
      <c r="AO192" s="41">
        <v>3169</v>
      </c>
      <c r="AP192" s="40"/>
      <c r="AQ192" s="36">
        <v>45199</v>
      </c>
      <c r="AR192" s="36"/>
      <c r="AS192" s="36"/>
      <c r="AT192" s="36">
        <v>45214</v>
      </c>
      <c r="AU192" s="36"/>
      <c r="AV192" s="38"/>
      <c r="AW192" s="40" t="s">
        <v>49</v>
      </c>
    </row>
    <row r="193" spans="1:49" ht="45" customHeight="1" x14ac:dyDescent="0.3">
      <c r="A193" s="35" t="s">
        <v>3527</v>
      </c>
      <c r="B193" s="38">
        <v>45098</v>
      </c>
      <c r="C193" s="40">
        <v>1416</v>
      </c>
      <c r="D193" s="39" t="s">
        <v>3528</v>
      </c>
      <c r="E193" s="1" t="s">
        <v>3529</v>
      </c>
      <c r="F193" s="36">
        <v>45121</v>
      </c>
      <c r="G193" s="37" t="s">
        <v>3530</v>
      </c>
      <c r="H193" s="40" t="s">
        <v>1971</v>
      </c>
      <c r="I193" s="40" t="s">
        <v>2733</v>
      </c>
      <c r="J193" s="57">
        <v>13396710</v>
      </c>
      <c r="K193" s="41">
        <v>13396710</v>
      </c>
      <c r="L193" s="30">
        <v>13396710</v>
      </c>
      <c r="M193" s="30">
        <v>13396710</v>
      </c>
      <c r="N193" s="40" t="s">
        <v>3515</v>
      </c>
      <c r="O193" s="40" t="s">
        <v>3531</v>
      </c>
      <c r="P193" s="40" t="s">
        <v>2690</v>
      </c>
      <c r="Q193" s="44">
        <v>0</v>
      </c>
      <c r="R193" s="37">
        <v>100</v>
      </c>
      <c r="S193" s="37" t="s">
        <v>229</v>
      </c>
      <c r="T193" s="48">
        <v>1500</v>
      </c>
      <c r="U193" s="30">
        <v>12.37</v>
      </c>
      <c r="V193" s="41">
        <v>18555</v>
      </c>
      <c r="W193" s="41">
        <v>1083000</v>
      </c>
      <c r="X193" s="41">
        <v>1083000</v>
      </c>
      <c r="Y193" s="41">
        <v>1083000</v>
      </c>
      <c r="Z193" s="41">
        <v>13396710</v>
      </c>
      <c r="AA193" s="41">
        <v>0</v>
      </c>
      <c r="AB193" s="41">
        <v>0</v>
      </c>
      <c r="AC193" s="41">
        <v>0</v>
      </c>
      <c r="AD193" s="41">
        <v>0</v>
      </c>
      <c r="AE193" s="41">
        <v>0</v>
      </c>
      <c r="AF193" s="41">
        <v>0</v>
      </c>
      <c r="AG193" s="41">
        <v>0</v>
      </c>
      <c r="AH193" s="41">
        <v>0</v>
      </c>
      <c r="AI193" s="41">
        <v>0</v>
      </c>
      <c r="AJ193" s="41">
        <v>0</v>
      </c>
      <c r="AK193" s="41">
        <v>0</v>
      </c>
      <c r="AL193" s="41">
        <v>0</v>
      </c>
      <c r="AM193" s="41">
        <v>13396710</v>
      </c>
      <c r="AN193" s="41">
        <v>722</v>
      </c>
      <c r="AO193" s="41">
        <v>722</v>
      </c>
      <c r="AP193" s="40"/>
      <c r="AQ193" s="36">
        <v>45199</v>
      </c>
      <c r="AR193" s="36"/>
      <c r="AS193" s="36"/>
      <c r="AT193" s="36">
        <v>45214</v>
      </c>
      <c r="AU193" s="36"/>
      <c r="AV193" s="38"/>
      <c r="AW193" s="40" t="s">
        <v>49</v>
      </c>
    </row>
    <row r="194" spans="1:49" ht="45" customHeight="1" x14ac:dyDescent="0.3">
      <c r="A194" s="35" t="s">
        <v>3532</v>
      </c>
      <c r="B194" s="38">
        <v>45098</v>
      </c>
      <c r="C194" s="40">
        <v>1416</v>
      </c>
      <c r="D194" s="39" t="s">
        <v>3533</v>
      </c>
      <c r="E194" s="1" t="s">
        <v>3534</v>
      </c>
      <c r="F194" s="36">
        <v>45121</v>
      </c>
      <c r="G194" s="37" t="s">
        <v>3535</v>
      </c>
      <c r="H194" s="40" t="s">
        <v>224</v>
      </c>
      <c r="I194" s="40" t="s">
        <v>3112</v>
      </c>
      <c r="J194" s="57">
        <v>274483682.55000001</v>
      </c>
      <c r="K194" s="41">
        <v>274483682.55000001</v>
      </c>
      <c r="L194" s="30">
        <v>274483682.55000001</v>
      </c>
      <c r="M194" s="30">
        <v>274483682.55000001</v>
      </c>
      <c r="N194" s="40" t="s">
        <v>936</v>
      </c>
      <c r="O194" s="40" t="s">
        <v>937</v>
      </c>
      <c r="P194" s="40" t="s">
        <v>348</v>
      </c>
      <c r="Q194" s="44">
        <v>0</v>
      </c>
      <c r="R194" s="37">
        <v>100</v>
      </c>
      <c r="S194" s="37" t="s">
        <v>219</v>
      </c>
      <c r="T194" s="48">
        <v>1</v>
      </c>
      <c r="U194" s="30">
        <v>554512.49</v>
      </c>
      <c r="V194" s="41">
        <v>554512.49</v>
      </c>
      <c r="W194" s="41">
        <v>495</v>
      </c>
      <c r="X194" s="41">
        <v>495</v>
      </c>
      <c r="Y194" s="41">
        <v>495</v>
      </c>
      <c r="Z194" s="41">
        <v>274483682.55000001</v>
      </c>
      <c r="AA194" s="41">
        <v>0</v>
      </c>
      <c r="AB194" s="41">
        <v>0</v>
      </c>
      <c r="AC194" s="41">
        <v>0</v>
      </c>
      <c r="AD194" s="41">
        <v>0</v>
      </c>
      <c r="AE194" s="41">
        <v>0</v>
      </c>
      <c r="AF194" s="41">
        <v>0</v>
      </c>
      <c r="AG194" s="41">
        <v>0</v>
      </c>
      <c r="AH194" s="41">
        <v>0</v>
      </c>
      <c r="AI194" s="41">
        <v>0</v>
      </c>
      <c r="AJ194" s="41">
        <v>0</v>
      </c>
      <c r="AK194" s="41">
        <v>0</v>
      </c>
      <c r="AL194" s="41">
        <v>0</v>
      </c>
      <c r="AM194" s="41">
        <v>274483682.55000001</v>
      </c>
      <c r="AN194" s="41">
        <v>495</v>
      </c>
      <c r="AO194" s="41">
        <v>495</v>
      </c>
      <c r="AP194" s="40"/>
      <c r="AQ194" s="36">
        <v>45170</v>
      </c>
      <c r="AR194" s="36"/>
      <c r="AS194" s="36"/>
      <c r="AT194" s="36">
        <v>45184</v>
      </c>
      <c r="AU194" s="36"/>
      <c r="AV194" s="38"/>
      <c r="AW194" s="40" t="s">
        <v>49</v>
      </c>
    </row>
    <row r="195" spans="1:49" ht="45" customHeight="1" x14ac:dyDescent="0.3">
      <c r="A195" s="35" t="s">
        <v>3536</v>
      </c>
      <c r="B195" s="38">
        <v>45098</v>
      </c>
      <c r="C195" s="40">
        <v>1416</v>
      </c>
      <c r="D195" s="39" t="s">
        <v>3537</v>
      </c>
      <c r="E195" s="1" t="s">
        <v>3538</v>
      </c>
      <c r="F195" s="36">
        <v>45121</v>
      </c>
      <c r="G195" s="37" t="s">
        <v>3539</v>
      </c>
      <c r="H195" s="40" t="s">
        <v>353</v>
      </c>
      <c r="I195" s="40" t="s">
        <v>3540</v>
      </c>
      <c r="J195" s="57">
        <v>85748877.5</v>
      </c>
      <c r="K195" s="41">
        <v>85748877.5</v>
      </c>
      <c r="L195" s="30">
        <v>85748877.5</v>
      </c>
      <c r="M195" s="30">
        <v>85748877.5</v>
      </c>
      <c r="N195" s="40" t="s">
        <v>355</v>
      </c>
      <c r="O195" s="40" t="s">
        <v>952</v>
      </c>
      <c r="P195" s="40" t="s">
        <v>357</v>
      </c>
      <c r="Q195" s="44">
        <v>0</v>
      </c>
      <c r="R195" s="37">
        <v>100</v>
      </c>
      <c r="S195" s="37" t="s">
        <v>219</v>
      </c>
      <c r="T195" s="48">
        <v>1</v>
      </c>
      <c r="U195" s="30">
        <v>52768.54</v>
      </c>
      <c r="V195" s="41">
        <v>52768.54</v>
      </c>
      <c r="W195" s="41">
        <v>1625</v>
      </c>
      <c r="X195" s="41">
        <v>1625</v>
      </c>
      <c r="Y195" s="41">
        <v>1625</v>
      </c>
      <c r="Z195" s="41">
        <v>85748877.5</v>
      </c>
      <c r="AA195" s="41">
        <v>0</v>
      </c>
      <c r="AB195" s="41">
        <v>0</v>
      </c>
      <c r="AC195" s="41">
        <v>0</v>
      </c>
      <c r="AD195" s="41">
        <v>0</v>
      </c>
      <c r="AE195" s="41">
        <v>0</v>
      </c>
      <c r="AF195" s="41">
        <v>0</v>
      </c>
      <c r="AG195" s="41">
        <v>0</v>
      </c>
      <c r="AH195" s="41">
        <v>0</v>
      </c>
      <c r="AI195" s="41">
        <v>0</v>
      </c>
      <c r="AJ195" s="41">
        <v>0</v>
      </c>
      <c r="AK195" s="41">
        <v>0</v>
      </c>
      <c r="AL195" s="41">
        <v>0</v>
      </c>
      <c r="AM195" s="41">
        <v>85748877.5</v>
      </c>
      <c r="AN195" s="41">
        <v>1625</v>
      </c>
      <c r="AO195" s="41">
        <v>1625</v>
      </c>
      <c r="AP195" s="40"/>
      <c r="AQ195" s="36">
        <v>45261</v>
      </c>
      <c r="AR195" s="36"/>
      <c r="AS195" s="36"/>
      <c r="AT195" s="36">
        <v>45275</v>
      </c>
      <c r="AU195" s="36"/>
      <c r="AV195" s="38"/>
      <c r="AW195" s="40" t="s">
        <v>49</v>
      </c>
    </row>
    <row r="196" spans="1:49" ht="45" customHeight="1" x14ac:dyDescent="0.3">
      <c r="A196" s="35" t="s">
        <v>3541</v>
      </c>
      <c r="B196" s="38">
        <v>45098</v>
      </c>
      <c r="C196" s="40">
        <v>1416</v>
      </c>
      <c r="D196" s="39" t="s">
        <v>3542</v>
      </c>
      <c r="E196" s="1" t="s">
        <v>3543</v>
      </c>
      <c r="F196" s="36">
        <v>45121</v>
      </c>
      <c r="G196" s="37" t="s">
        <v>3544</v>
      </c>
      <c r="H196" s="40" t="s">
        <v>1971</v>
      </c>
      <c r="I196" s="40" t="s">
        <v>2711</v>
      </c>
      <c r="J196" s="57">
        <v>21301140</v>
      </c>
      <c r="K196" s="41">
        <v>21301140</v>
      </c>
      <c r="L196" s="30">
        <v>21301140</v>
      </c>
      <c r="M196" s="30">
        <v>21301140</v>
      </c>
      <c r="N196" s="40" t="s">
        <v>3515</v>
      </c>
      <c r="O196" s="40" t="s">
        <v>3545</v>
      </c>
      <c r="P196" s="40" t="s">
        <v>2690</v>
      </c>
      <c r="Q196" s="44">
        <v>0</v>
      </c>
      <c r="R196" s="37">
        <v>100</v>
      </c>
      <c r="S196" s="37" t="s">
        <v>229</v>
      </c>
      <c r="T196" s="48">
        <v>3000</v>
      </c>
      <c r="U196" s="30">
        <v>12.37</v>
      </c>
      <c r="V196" s="41">
        <v>37110</v>
      </c>
      <c r="W196" s="41">
        <v>1722000</v>
      </c>
      <c r="X196" s="41">
        <v>1722000</v>
      </c>
      <c r="Y196" s="41">
        <v>1722000</v>
      </c>
      <c r="Z196" s="41">
        <v>21301140</v>
      </c>
      <c r="AA196" s="41">
        <v>0</v>
      </c>
      <c r="AB196" s="41">
        <v>0</v>
      </c>
      <c r="AC196" s="41">
        <v>0</v>
      </c>
      <c r="AD196" s="41">
        <v>0</v>
      </c>
      <c r="AE196" s="41">
        <v>0</v>
      </c>
      <c r="AF196" s="41">
        <v>0</v>
      </c>
      <c r="AG196" s="41">
        <v>0</v>
      </c>
      <c r="AH196" s="41">
        <v>0</v>
      </c>
      <c r="AI196" s="41">
        <v>0</v>
      </c>
      <c r="AJ196" s="41">
        <v>0</v>
      </c>
      <c r="AK196" s="41">
        <v>0</v>
      </c>
      <c r="AL196" s="41">
        <v>0</v>
      </c>
      <c r="AM196" s="41">
        <v>21301140</v>
      </c>
      <c r="AN196" s="41">
        <v>574</v>
      </c>
      <c r="AO196" s="41">
        <v>574</v>
      </c>
      <c r="AP196" s="40"/>
      <c r="AQ196" s="36">
        <v>45199</v>
      </c>
      <c r="AR196" s="36"/>
      <c r="AS196" s="36"/>
      <c r="AT196" s="36">
        <v>45214</v>
      </c>
      <c r="AU196" s="36"/>
      <c r="AV196" s="38"/>
      <c r="AW196" s="40" t="s">
        <v>49</v>
      </c>
    </row>
    <row r="197" spans="1:49" ht="45" customHeight="1" x14ac:dyDescent="0.3">
      <c r="A197" s="35" t="s">
        <v>3546</v>
      </c>
      <c r="B197" s="38">
        <v>45098</v>
      </c>
      <c r="C197" s="40">
        <v>1416</v>
      </c>
      <c r="D197" s="39" t="s">
        <v>3547</v>
      </c>
      <c r="E197" s="1" t="s">
        <v>3548</v>
      </c>
      <c r="F197" s="36">
        <v>45121</v>
      </c>
      <c r="G197" s="37" t="s">
        <v>3549</v>
      </c>
      <c r="H197" s="40" t="s">
        <v>387</v>
      </c>
      <c r="I197" s="40" t="s">
        <v>3550</v>
      </c>
      <c r="J197" s="57">
        <v>3724023.6</v>
      </c>
      <c r="K197" s="41">
        <v>3724023.6</v>
      </c>
      <c r="L197" s="30">
        <v>3724023.6</v>
      </c>
      <c r="M197" s="30">
        <v>3724023.6</v>
      </c>
      <c r="N197" s="40" t="s">
        <v>442</v>
      </c>
      <c r="O197" s="40" t="s">
        <v>443</v>
      </c>
      <c r="P197" s="40" t="s">
        <v>47</v>
      </c>
      <c r="Q197" s="44">
        <v>100</v>
      </c>
      <c r="R197" s="37">
        <v>0</v>
      </c>
      <c r="S197" s="37" t="s">
        <v>219</v>
      </c>
      <c r="T197" s="67">
        <v>1.5</v>
      </c>
      <c r="U197" s="30">
        <v>3065.04</v>
      </c>
      <c r="V197" s="41">
        <v>4597.5599999999995</v>
      </c>
      <c r="W197" s="41">
        <v>1215</v>
      </c>
      <c r="X197" s="41">
        <v>1215</v>
      </c>
      <c r="Y197" s="41">
        <v>1137</v>
      </c>
      <c r="Z197" s="41">
        <v>3484950.48</v>
      </c>
      <c r="AA197" s="41">
        <v>78</v>
      </c>
      <c r="AB197" s="41">
        <v>239073.12</v>
      </c>
      <c r="AC197" s="41">
        <v>0</v>
      </c>
      <c r="AD197" s="41">
        <v>0</v>
      </c>
      <c r="AE197" s="41">
        <v>0</v>
      </c>
      <c r="AF197" s="41">
        <v>0</v>
      </c>
      <c r="AG197" s="41">
        <v>0</v>
      </c>
      <c r="AH197" s="41">
        <v>0</v>
      </c>
      <c r="AI197" s="41">
        <v>0</v>
      </c>
      <c r="AJ197" s="41">
        <v>0</v>
      </c>
      <c r="AK197" s="41">
        <v>0</v>
      </c>
      <c r="AL197" s="41">
        <v>0</v>
      </c>
      <c r="AM197" s="41">
        <v>3484950.48</v>
      </c>
      <c r="AN197" s="41">
        <v>810</v>
      </c>
      <c r="AO197" s="41">
        <v>810</v>
      </c>
      <c r="AP197" s="40"/>
      <c r="AQ197" s="36">
        <v>45170</v>
      </c>
      <c r="AR197" s="36"/>
      <c r="AS197" s="36"/>
      <c r="AT197" s="36">
        <v>45184</v>
      </c>
      <c r="AU197" s="36"/>
      <c r="AV197" s="38"/>
      <c r="AW197" s="40" t="s">
        <v>49</v>
      </c>
    </row>
    <row r="198" spans="1:49" ht="45" customHeight="1" x14ac:dyDescent="0.3">
      <c r="A198" s="35" t="s">
        <v>3551</v>
      </c>
      <c r="B198" s="38">
        <v>45098</v>
      </c>
      <c r="C198" s="40">
        <v>1416</v>
      </c>
      <c r="D198" s="39" t="s">
        <v>3552</v>
      </c>
      <c r="E198" s="1" t="s">
        <v>3553</v>
      </c>
      <c r="F198" s="36">
        <v>45121</v>
      </c>
      <c r="G198" s="37" t="s">
        <v>3554</v>
      </c>
      <c r="H198" s="40" t="s">
        <v>387</v>
      </c>
      <c r="I198" s="40" t="s">
        <v>3555</v>
      </c>
      <c r="J198" s="57">
        <v>31839873.390000001</v>
      </c>
      <c r="K198" s="41">
        <v>31839873.390000001</v>
      </c>
      <c r="L198" s="30">
        <v>31839820.379999999</v>
      </c>
      <c r="M198" s="30">
        <v>31839820.379999999</v>
      </c>
      <c r="N198" s="40" t="s">
        <v>442</v>
      </c>
      <c r="O198" s="40" t="s">
        <v>498</v>
      </c>
      <c r="P198" s="40" t="s">
        <v>47</v>
      </c>
      <c r="Q198" s="44">
        <v>100</v>
      </c>
      <c r="R198" s="37">
        <v>0</v>
      </c>
      <c r="S198" s="37" t="s">
        <v>219</v>
      </c>
      <c r="T198" s="48">
        <v>1.5</v>
      </c>
      <c r="U198" s="30">
        <v>6006.38</v>
      </c>
      <c r="V198" s="41">
        <v>9009.57</v>
      </c>
      <c r="W198" s="41">
        <v>5301</v>
      </c>
      <c r="X198" s="41">
        <v>5301</v>
      </c>
      <c r="Y198" s="41">
        <v>3844.5</v>
      </c>
      <c r="Z198" s="41">
        <v>23091527.91</v>
      </c>
      <c r="AA198" s="41">
        <v>1456.5</v>
      </c>
      <c r="AB198" s="41">
        <v>8748292.4700000007</v>
      </c>
      <c r="AC198" s="41">
        <v>0</v>
      </c>
      <c r="AD198" s="41">
        <v>0</v>
      </c>
      <c r="AE198" s="41">
        <v>0</v>
      </c>
      <c r="AF198" s="41">
        <v>0</v>
      </c>
      <c r="AG198" s="41">
        <v>0</v>
      </c>
      <c r="AH198" s="41">
        <v>0</v>
      </c>
      <c r="AI198" s="41">
        <v>0</v>
      </c>
      <c r="AJ198" s="41">
        <v>0</v>
      </c>
      <c r="AK198" s="41">
        <v>0</v>
      </c>
      <c r="AL198" s="41">
        <v>0</v>
      </c>
      <c r="AM198" s="41">
        <v>23091527.91</v>
      </c>
      <c r="AN198" s="41">
        <v>3534</v>
      </c>
      <c r="AO198" s="41">
        <v>3534</v>
      </c>
      <c r="AP198" s="40"/>
      <c r="AQ198" s="36">
        <v>45170</v>
      </c>
      <c r="AR198" s="36"/>
      <c r="AS198" s="36"/>
      <c r="AT198" s="36">
        <v>45184</v>
      </c>
      <c r="AU198" s="36"/>
      <c r="AV198" s="38"/>
      <c r="AW198" s="40" t="s">
        <v>49</v>
      </c>
    </row>
    <row r="199" spans="1:49" ht="45" customHeight="1" x14ac:dyDescent="0.3">
      <c r="A199" s="35" t="s">
        <v>3556</v>
      </c>
      <c r="B199" s="38">
        <v>45098</v>
      </c>
      <c r="C199" s="40">
        <v>1416</v>
      </c>
      <c r="D199" s="39" t="s">
        <v>3557</v>
      </c>
      <c r="E199" s="1" t="s">
        <v>3558</v>
      </c>
      <c r="F199" s="36">
        <v>45121</v>
      </c>
      <c r="G199" s="37" t="s">
        <v>3559</v>
      </c>
      <c r="H199" s="40" t="s">
        <v>177</v>
      </c>
      <c r="I199" s="40" t="s">
        <v>3560</v>
      </c>
      <c r="J199" s="57">
        <v>13723572.6</v>
      </c>
      <c r="K199" s="41">
        <v>13723572.6</v>
      </c>
      <c r="L199" s="30">
        <v>13723572.6</v>
      </c>
      <c r="M199" s="30">
        <v>13723572.6</v>
      </c>
      <c r="N199" s="40" t="s">
        <v>513</v>
      </c>
      <c r="O199" s="40" t="s">
        <v>514</v>
      </c>
      <c r="P199" s="40" t="s">
        <v>218</v>
      </c>
      <c r="Q199" s="44">
        <v>0</v>
      </c>
      <c r="R199" s="37">
        <v>100</v>
      </c>
      <c r="S199" s="37" t="s">
        <v>1964</v>
      </c>
      <c r="T199" s="48">
        <v>2</v>
      </c>
      <c r="U199" s="30">
        <v>22497.66</v>
      </c>
      <c r="V199" s="41">
        <v>44995.32</v>
      </c>
      <c r="W199" s="41">
        <v>610</v>
      </c>
      <c r="X199" s="41">
        <v>610</v>
      </c>
      <c r="Y199" s="41">
        <v>440</v>
      </c>
      <c r="Z199" s="41">
        <v>9898970.4000000004</v>
      </c>
      <c r="AA199" s="41">
        <v>170</v>
      </c>
      <c r="AB199" s="41">
        <v>3824602.2</v>
      </c>
      <c r="AC199" s="41">
        <v>0</v>
      </c>
      <c r="AD199" s="41">
        <v>0</v>
      </c>
      <c r="AE199" s="41">
        <v>0</v>
      </c>
      <c r="AF199" s="41">
        <v>0</v>
      </c>
      <c r="AG199" s="41">
        <v>0</v>
      </c>
      <c r="AH199" s="41">
        <v>0</v>
      </c>
      <c r="AI199" s="41">
        <v>0</v>
      </c>
      <c r="AJ199" s="41">
        <v>0</v>
      </c>
      <c r="AK199" s="41">
        <v>0</v>
      </c>
      <c r="AL199" s="41">
        <v>0</v>
      </c>
      <c r="AM199" s="41">
        <v>9898970.4000000004</v>
      </c>
      <c r="AN199" s="41">
        <v>305</v>
      </c>
      <c r="AO199" s="41">
        <v>305</v>
      </c>
      <c r="AP199" s="40"/>
      <c r="AQ199" s="36">
        <v>45170</v>
      </c>
      <c r="AR199" s="36"/>
      <c r="AS199" s="36"/>
      <c r="AT199" s="36">
        <v>45184</v>
      </c>
      <c r="AU199" s="36"/>
      <c r="AV199" s="38"/>
      <c r="AW199" s="40" t="s">
        <v>49</v>
      </c>
    </row>
    <row r="200" spans="1:49" ht="45" customHeight="1" x14ac:dyDescent="0.3">
      <c r="A200" s="35" t="s">
        <v>3561</v>
      </c>
      <c r="B200" s="38">
        <v>45098</v>
      </c>
      <c r="C200" s="40">
        <v>1416</v>
      </c>
      <c r="D200" s="39" t="s">
        <v>3562</v>
      </c>
      <c r="E200" s="1" t="s">
        <v>3563</v>
      </c>
      <c r="F200" s="36">
        <v>45121</v>
      </c>
      <c r="G200" s="37" t="s">
        <v>3564</v>
      </c>
      <c r="H200" s="40" t="s">
        <v>3190</v>
      </c>
      <c r="I200" s="40" t="s">
        <v>3205</v>
      </c>
      <c r="J200" s="57">
        <v>9348612.8399999999</v>
      </c>
      <c r="K200" s="41">
        <v>9301869.7799999993</v>
      </c>
      <c r="L200" s="30">
        <v>9301841.6400000006</v>
      </c>
      <c r="M200" s="30">
        <v>9301841.6400000006</v>
      </c>
      <c r="N200" s="40" t="s">
        <v>3192</v>
      </c>
      <c r="O200" s="40" t="s">
        <v>3206</v>
      </c>
      <c r="P200" s="40" t="s">
        <v>583</v>
      </c>
      <c r="Q200" s="44">
        <v>0</v>
      </c>
      <c r="R200" s="37">
        <v>100</v>
      </c>
      <c r="S200" s="37" t="s">
        <v>584</v>
      </c>
      <c r="T200" s="67">
        <v>1.2</v>
      </c>
      <c r="U200" s="30">
        <v>12728.300000000001</v>
      </c>
      <c r="V200" s="41">
        <v>15273.960000000001</v>
      </c>
      <c r="W200" s="41">
        <v>730.8</v>
      </c>
      <c r="X200" s="41">
        <v>730.8</v>
      </c>
      <c r="Y200" s="41">
        <v>730.8</v>
      </c>
      <c r="Z200" s="41">
        <v>9301841.6400000006</v>
      </c>
      <c r="AA200" s="41">
        <v>0</v>
      </c>
      <c r="AB200" s="41">
        <v>0</v>
      </c>
      <c r="AC200" s="41">
        <v>0</v>
      </c>
      <c r="AD200" s="41">
        <v>0</v>
      </c>
      <c r="AE200" s="41">
        <v>0</v>
      </c>
      <c r="AF200" s="41">
        <v>0</v>
      </c>
      <c r="AG200" s="41">
        <v>0</v>
      </c>
      <c r="AH200" s="41">
        <v>0</v>
      </c>
      <c r="AI200" s="41">
        <v>0</v>
      </c>
      <c r="AJ200" s="41">
        <v>0</v>
      </c>
      <c r="AK200" s="41">
        <v>0</v>
      </c>
      <c r="AL200" s="41">
        <v>0</v>
      </c>
      <c r="AM200" s="41">
        <v>9301841.6400000006</v>
      </c>
      <c r="AN200" s="41">
        <v>609</v>
      </c>
      <c r="AO200" s="41">
        <v>609</v>
      </c>
      <c r="AP200" s="40"/>
      <c r="AQ200" s="36">
        <v>45199</v>
      </c>
      <c r="AR200" s="36"/>
      <c r="AS200" s="36"/>
      <c r="AT200" s="36">
        <v>45214</v>
      </c>
      <c r="AU200" s="36"/>
      <c r="AV200" s="38"/>
      <c r="AW200" s="40" t="s">
        <v>49</v>
      </c>
    </row>
    <row r="201" spans="1:49" ht="45" customHeight="1" x14ac:dyDescent="0.3">
      <c r="A201" s="35" t="s">
        <v>3565</v>
      </c>
      <c r="B201" s="38">
        <v>45104</v>
      </c>
      <c r="C201" s="40">
        <v>1416</v>
      </c>
      <c r="D201" s="39" t="s">
        <v>3566</v>
      </c>
      <c r="E201" s="1" t="s">
        <v>3567</v>
      </c>
      <c r="F201" s="36">
        <v>45125</v>
      </c>
      <c r="G201" s="37" t="s">
        <v>3568</v>
      </c>
      <c r="H201" s="40" t="s">
        <v>186</v>
      </c>
      <c r="I201" s="40" t="s">
        <v>2861</v>
      </c>
      <c r="J201" s="57">
        <v>122427900</v>
      </c>
      <c r="K201" s="41">
        <v>122427900</v>
      </c>
      <c r="L201" s="30">
        <v>122427900</v>
      </c>
      <c r="M201" s="30">
        <v>122427900</v>
      </c>
      <c r="N201" s="40" t="s">
        <v>819</v>
      </c>
      <c r="O201" s="40" t="s">
        <v>820</v>
      </c>
      <c r="P201" s="40" t="s">
        <v>47</v>
      </c>
      <c r="Q201" s="44">
        <v>100</v>
      </c>
      <c r="R201" s="37">
        <v>0</v>
      </c>
      <c r="S201" s="37" t="s">
        <v>584</v>
      </c>
      <c r="T201" s="48">
        <v>15</v>
      </c>
      <c r="U201" s="30">
        <v>194.33</v>
      </c>
      <c r="V201" s="41">
        <v>2914.9500000000003</v>
      </c>
      <c r="W201" s="41">
        <v>630000</v>
      </c>
      <c r="X201" s="41">
        <v>630000</v>
      </c>
      <c r="Y201" s="41">
        <v>616245</v>
      </c>
      <c r="Z201" s="41">
        <v>119754890.85000001</v>
      </c>
      <c r="AA201" s="41">
        <v>13755</v>
      </c>
      <c r="AB201" s="41">
        <v>2673009.1500000004</v>
      </c>
      <c r="AC201" s="41">
        <v>0</v>
      </c>
      <c r="AD201" s="41">
        <v>0</v>
      </c>
      <c r="AE201" s="41">
        <v>0</v>
      </c>
      <c r="AF201" s="41">
        <v>0</v>
      </c>
      <c r="AG201" s="41">
        <v>0</v>
      </c>
      <c r="AH201" s="41">
        <v>0</v>
      </c>
      <c r="AI201" s="41">
        <v>0</v>
      </c>
      <c r="AJ201" s="41">
        <v>0</v>
      </c>
      <c r="AK201" s="41">
        <v>0</v>
      </c>
      <c r="AL201" s="41">
        <v>0</v>
      </c>
      <c r="AM201" s="41">
        <v>119754890.85000001</v>
      </c>
      <c r="AN201" s="41">
        <v>42000</v>
      </c>
      <c r="AO201" s="41">
        <v>42000</v>
      </c>
      <c r="AP201" s="40"/>
      <c r="AQ201" s="36">
        <v>45199</v>
      </c>
      <c r="AR201" s="36"/>
      <c r="AS201" s="36"/>
      <c r="AT201" s="36">
        <v>45214</v>
      </c>
      <c r="AU201" s="36"/>
      <c r="AV201" s="38"/>
      <c r="AW201" s="40" t="s">
        <v>49</v>
      </c>
    </row>
    <row r="202" spans="1:49" ht="48" customHeight="1" x14ac:dyDescent="0.3">
      <c r="A202" s="35" t="s">
        <v>3576</v>
      </c>
      <c r="B202" s="38">
        <v>45104</v>
      </c>
      <c r="C202" s="40">
        <v>1416</v>
      </c>
      <c r="D202" s="39"/>
      <c r="E202" s="1" t="s">
        <v>3577</v>
      </c>
      <c r="F202" s="36">
        <v>45132</v>
      </c>
      <c r="G202" s="37" t="s">
        <v>3578</v>
      </c>
      <c r="H202" s="40" t="s">
        <v>224</v>
      </c>
      <c r="I202" s="40" t="s">
        <v>3124</v>
      </c>
      <c r="J202" s="57">
        <v>445774032.99000001</v>
      </c>
      <c r="K202" s="41">
        <v>445774032.99000001</v>
      </c>
      <c r="L202" s="30">
        <v>445774032.99000001</v>
      </c>
      <c r="M202" s="30">
        <v>445774032.99000001</v>
      </c>
      <c r="N202" s="40" t="s">
        <v>731</v>
      </c>
      <c r="O202" s="40" t="s">
        <v>3579</v>
      </c>
      <c r="P202" s="40" t="s">
        <v>218</v>
      </c>
      <c r="Q202" s="44">
        <v>0</v>
      </c>
      <c r="R202" s="37">
        <v>100</v>
      </c>
      <c r="S202" s="37" t="s">
        <v>219</v>
      </c>
      <c r="T202" s="48">
        <v>3</v>
      </c>
      <c r="U202" s="30">
        <v>63582.090000000004</v>
      </c>
      <c r="V202" s="41">
        <v>190746.27000000002</v>
      </c>
      <c r="W202" s="41">
        <v>7011</v>
      </c>
      <c r="X202" s="41">
        <v>7011</v>
      </c>
      <c r="Y202" s="41">
        <v>7011</v>
      </c>
      <c r="Z202" s="41">
        <v>445774032.99000001</v>
      </c>
      <c r="AA202" s="41">
        <v>0</v>
      </c>
      <c r="AB202" s="41">
        <v>0</v>
      </c>
      <c r="AC202" s="41">
        <v>0</v>
      </c>
      <c r="AD202" s="41">
        <v>0</v>
      </c>
      <c r="AE202" s="41">
        <v>0</v>
      </c>
      <c r="AF202" s="41">
        <v>0</v>
      </c>
      <c r="AG202" s="41">
        <v>0</v>
      </c>
      <c r="AH202" s="41">
        <v>0</v>
      </c>
      <c r="AI202" s="41">
        <v>0</v>
      </c>
      <c r="AJ202" s="41">
        <v>0</v>
      </c>
      <c r="AK202" s="41">
        <v>0</v>
      </c>
      <c r="AL202" s="41">
        <v>0</v>
      </c>
      <c r="AM202" s="41">
        <v>445774032.99000001</v>
      </c>
      <c r="AN202" s="41">
        <v>2337</v>
      </c>
      <c r="AO202" s="41">
        <v>2337</v>
      </c>
      <c r="AP202" s="40"/>
      <c r="AQ202" s="36">
        <v>45231</v>
      </c>
      <c r="AR202" s="36"/>
      <c r="AS202" s="36"/>
      <c r="AT202" s="36">
        <v>45245</v>
      </c>
      <c r="AU202" s="36"/>
      <c r="AV202" s="38"/>
      <c r="AW202" s="40" t="s">
        <v>49</v>
      </c>
    </row>
    <row r="203" spans="1:49" ht="48" customHeight="1" x14ac:dyDescent="0.3">
      <c r="A203" s="35" t="s">
        <v>3580</v>
      </c>
      <c r="B203" s="38">
        <v>45104</v>
      </c>
      <c r="C203" s="40">
        <v>1416</v>
      </c>
      <c r="D203" s="39"/>
      <c r="E203" s="1" t="s">
        <v>3581</v>
      </c>
      <c r="F203" s="36">
        <v>45132</v>
      </c>
      <c r="G203" s="37" t="s">
        <v>3582</v>
      </c>
      <c r="H203" s="40" t="s">
        <v>353</v>
      </c>
      <c r="I203" s="40" t="s">
        <v>3583</v>
      </c>
      <c r="J203" s="57">
        <v>381727618.36000001</v>
      </c>
      <c r="K203" s="41">
        <v>381727618.36000001</v>
      </c>
      <c r="L203" s="30">
        <v>381727618.36000001</v>
      </c>
      <c r="M203" s="30">
        <v>381727618.36000001</v>
      </c>
      <c r="N203" s="40" t="s">
        <v>355</v>
      </c>
      <c r="O203" s="40" t="s">
        <v>1005</v>
      </c>
      <c r="P203" s="40" t="s">
        <v>357</v>
      </c>
      <c r="Q203" s="44">
        <v>0</v>
      </c>
      <c r="R203" s="37">
        <v>100</v>
      </c>
      <c r="S203" s="37" t="s">
        <v>219</v>
      </c>
      <c r="T203" s="67">
        <v>0.4</v>
      </c>
      <c r="U203" s="30">
        <v>263842.7</v>
      </c>
      <c r="V203" s="41">
        <v>105537.08000000002</v>
      </c>
      <c r="W203" s="41">
        <v>1446.8</v>
      </c>
      <c r="X203" s="41">
        <v>1333.6</v>
      </c>
      <c r="Y203" s="41">
        <v>1304.8</v>
      </c>
      <c r="Z203" s="41">
        <v>344261954.95999998</v>
      </c>
      <c r="AA203" s="41">
        <v>28.8</v>
      </c>
      <c r="AB203" s="41">
        <v>7598669.7600000007</v>
      </c>
      <c r="AC203" s="41">
        <v>113.2</v>
      </c>
      <c r="AD203" s="41">
        <v>113.2</v>
      </c>
      <c r="AE203" s="41">
        <v>29866993.640000001</v>
      </c>
      <c r="AF203" s="41">
        <v>0</v>
      </c>
      <c r="AG203" s="41">
        <v>0</v>
      </c>
      <c r="AH203" s="41">
        <v>0</v>
      </c>
      <c r="AI203" s="41">
        <v>0</v>
      </c>
      <c r="AJ203" s="41">
        <v>0</v>
      </c>
      <c r="AK203" s="41">
        <v>0</v>
      </c>
      <c r="AL203" s="41">
        <v>0</v>
      </c>
      <c r="AM203" s="41">
        <v>374128948.59999996</v>
      </c>
      <c r="AN203" s="41">
        <v>3616.9999999999995</v>
      </c>
      <c r="AO203" s="41">
        <v>3617</v>
      </c>
      <c r="AP203" s="40"/>
      <c r="AQ203" s="36">
        <v>45170</v>
      </c>
      <c r="AR203" s="36">
        <v>45261</v>
      </c>
      <c r="AS203" s="36"/>
      <c r="AT203" s="36">
        <v>45184</v>
      </c>
      <c r="AU203" s="36">
        <v>45275</v>
      </c>
      <c r="AV203" s="38"/>
      <c r="AW203" s="40" t="s">
        <v>49</v>
      </c>
    </row>
    <row r="204" spans="1:49" ht="48" customHeight="1" x14ac:dyDescent="0.3">
      <c r="A204" s="35" t="s">
        <v>3590</v>
      </c>
      <c r="B204" s="38">
        <v>45105</v>
      </c>
      <c r="C204" s="40">
        <v>1416</v>
      </c>
      <c r="D204" s="39" t="s">
        <v>3591</v>
      </c>
      <c r="E204" s="1" t="s">
        <v>3592</v>
      </c>
      <c r="F204" s="36">
        <v>45127</v>
      </c>
      <c r="G204" s="37" t="s">
        <v>3593</v>
      </c>
      <c r="H204" s="40" t="s">
        <v>186</v>
      </c>
      <c r="I204" s="40" t="s">
        <v>2727</v>
      </c>
      <c r="J204" s="57">
        <v>2684700</v>
      </c>
      <c r="K204" s="41">
        <v>2684700</v>
      </c>
      <c r="L204" s="30">
        <v>2684700</v>
      </c>
      <c r="M204" s="30">
        <v>2684700</v>
      </c>
      <c r="N204" s="40" t="s">
        <v>671</v>
      </c>
      <c r="O204" s="40" t="s">
        <v>3594</v>
      </c>
      <c r="P204" s="40" t="s">
        <v>47</v>
      </c>
      <c r="Q204" s="44">
        <v>100</v>
      </c>
      <c r="R204" s="37">
        <v>0</v>
      </c>
      <c r="S204" s="37" t="s">
        <v>229</v>
      </c>
      <c r="T204" s="48">
        <v>1000</v>
      </c>
      <c r="U204" s="30">
        <v>7.85</v>
      </c>
      <c r="V204" s="41">
        <v>7850</v>
      </c>
      <c r="W204" s="41">
        <v>342000</v>
      </c>
      <c r="X204" s="41">
        <v>342000</v>
      </c>
      <c r="Y204" s="41">
        <v>342000</v>
      </c>
      <c r="Z204" s="41">
        <v>2684700</v>
      </c>
      <c r="AA204" s="41">
        <v>0</v>
      </c>
      <c r="AB204" s="41">
        <v>0</v>
      </c>
      <c r="AC204" s="41">
        <v>0</v>
      </c>
      <c r="AD204" s="41">
        <v>0</v>
      </c>
      <c r="AE204" s="41">
        <v>0</v>
      </c>
      <c r="AF204" s="41">
        <v>0</v>
      </c>
      <c r="AG204" s="41">
        <v>0</v>
      </c>
      <c r="AH204" s="41">
        <v>0</v>
      </c>
      <c r="AI204" s="41">
        <v>0</v>
      </c>
      <c r="AJ204" s="41">
        <v>0</v>
      </c>
      <c r="AK204" s="41">
        <v>0</v>
      </c>
      <c r="AL204" s="41">
        <v>0</v>
      </c>
      <c r="AM204" s="41">
        <v>2684700</v>
      </c>
      <c r="AN204" s="41">
        <v>342</v>
      </c>
      <c r="AO204" s="41">
        <v>342</v>
      </c>
      <c r="AP204" s="40"/>
      <c r="AQ204" s="36">
        <v>45200</v>
      </c>
      <c r="AR204" s="36"/>
      <c r="AS204" s="36"/>
      <c r="AT204" s="36">
        <v>45214</v>
      </c>
      <c r="AU204" s="36"/>
      <c r="AV204" s="38"/>
      <c r="AW204" s="40" t="s">
        <v>49</v>
      </c>
    </row>
    <row r="205" spans="1:49" ht="48" customHeight="1" x14ac:dyDescent="0.3">
      <c r="A205" s="35" t="s">
        <v>3595</v>
      </c>
      <c r="B205" s="38">
        <v>45106</v>
      </c>
      <c r="C205" s="40">
        <v>1416</v>
      </c>
      <c r="D205" s="39" t="s">
        <v>3596</v>
      </c>
      <c r="E205" s="1" t="s">
        <v>3597</v>
      </c>
      <c r="F205" s="36">
        <v>45126</v>
      </c>
      <c r="G205" s="37" t="s">
        <v>3598</v>
      </c>
      <c r="H205" s="40" t="s">
        <v>186</v>
      </c>
      <c r="I205" s="40" t="s">
        <v>3227</v>
      </c>
      <c r="J205" s="57">
        <v>60798873.07</v>
      </c>
      <c r="K205" s="41">
        <v>60494815.920000002</v>
      </c>
      <c r="L205" s="30">
        <v>60494815.920000002</v>
      </c>
      <c r="M205" s="30">
        <v>60494815.920000002</v>
      </c>
      <c r="N205" s="40" t="s">
        <v>590</v>
      </c>
      <c r="O205" s="40" t="s">
        <v>3599</v>
      </c>
      <c r="P205" s="40" t="s">
        <v>47</v>
      </c>
      <c r="Q205" s="44">
        <v>100</v>
      </c>
      <c r="R205" s="37">
        <v>0</v>
      </c>
      <c r="S205" s="37" t="s">
        <v>584</v>
      </c>
      <c r="T205" s="67">
        <v>2.4</v>
      </c>
      <c r="U205" s="30">
        <v>13537.15</v>
      </c>
      <c r="V205" s="41">
        <v>32489.159999999996</v>
      </c>
      <c r="W205" s="41">
        <v>4468.8</v>
      </c>
      <c r="X205" s="41">
        <v>4468.8</v>
      </c>
      <c r="Y205" s="41">
        <v>4468.8</v>
      </c>
      <c r="Z205" s="41">
        <v>60494815.920000002</v>
      </c>
      <c r="AA205" s="41">
        <v>0</v>
      </c>
      <c r="AB205" s="41">
        <v>0</v>
      </c>
      <c r="AC205" s="41">
        <v>0</v>
      </c>
      <c r="AD205" s="41">
        <v>0</v>
      </c>
      <c r="AE205" s="41">
        <v>0</v>
      </c>
      <c r="AF205" s="41">
        <v>0</v>
      </c>
      <c r="AG205" s="41">
        <v>0</v>
      </c>
      <c r="AH205" s="41">
        <v>0</v>
      </c>
      <c r="AI205" s="41">
        <v>0</v>
      </c>
      <c r="AJ205" s="41">
        <v>0</v>
      </c>
      <c r="AK205" s="41">
        <v>0</v>
      </c>
      <c r="AL205" s="41">
        <v>0</v>
      </c>
      <c r="AM205" s="41">
        <v>60494815.920000002</v>
      </c>
      <c r="AN205" s="41">
        <v>1862.0000000000002</v>
      </c>
      <c r="AO205" s="41">
        <v>1862</v>
      </c>
      <c r="AP205" s="40"/>
      <c r="AQ205" s="36">
        <v>45199</v>
      </c>
      <c r="AR205" s="36"/>
      <c r="AS205" s="36"/>
      <c r="AT205" s="36">
        <v>45214</v>
      </c>
      <c r="AU205" s="36"/>
      <c r="AV205" s="38"/>
      <c r="AW205" s="40" t="s">
        <v>49</v>
      </c>
    </row>
    <row r="206" spans="1:49" ht="48" customHeight="1" x14ac:dyDescent="0.3">
      <c r="A206" s="35" t="s">
        <v>3602</v>
      </c>
      <c r="B206" s="38">
        <v>45106</v>
      </c>
      <c r="C206" s="40">
        <v>1416</v>
      </c>
      <c r="D206" s="39" t="s">
        <v>3603</v>
      </c>
      <c r="E206" s="1" t="s">
        <v>3604</v>
      </c>
      <c r="F206" s="36">
        <v>45128</v>
      </c>
      <c r="G206" s="37" t="s">
        <v>3605</v>
      </c>
      <c r="H206" s="40" t="s">
        <v>224</v>
      </c>
      <c r="I206" s="40" t="s">
        <v>843</v>
      </c>
      <c r="J206" s="57">
        <v>47944624</v>
      </c>
      <c r="K206" s="41">
        <v>47944624</v>
      </c>
      <c r="L206" s="30">
        <v>47944624</v>
      </c>
      <c r="M206" s="30">
        <v>47944624</v>
      </c>
      <c r="N206" s="40" t="s">
        <v>3606</v>
      </c>
      <c r="O206" s="40" t="s">
        <v>3607</v>
      </c>
      <c r="P206" s="40" t="s">
        <v>263</v>
      </c>
      <c r="Q206" s="44">
        <v>0</v>
      </c>
      <c r="R206" s="37">
        <v>100</v>
      </c>
      <c r="S206" s="37" t="s">
        <v>229</v>
      </c>
      <c r="T206" s="48">
        <v>800</v>
      </c>
      <c r="U206" s="30">
        <v>25.33</v>
      </c>
      <c r="V206" s="41">
        <v>20264</v>
      </c>
      <c r="W206" s="41">
        <v>1892800</v>
      </c>
      <c r="X206" s="41">
        <v>1892800</v>
      </c>
      <c r="Y206" s="41">
        <v>1892800</v>
      </c>
      <c r="Z206" s="41">
        <v>47944624</v>
      </c>
      <c r="AA206" s="41">
        <v>0</v>
      </c>
      <c r="AB206" s="41">
        <v>0</v>
      </c>
      <c r="AC206" s="41">
        <v>0</v>
      </c>
      <c r="AD206" s="41">
        <v>0</v>
      </c>
      <c r="AE206" s="41">
        <v>0</v>
      </c>
      <c r="AF206" s="41">
        <v>0</v>
      </c>
      <c r="AG206" s="41">
        <v>0</v>
      </c>
      <c r="AH206" s="41">
        <v>0</v>
      </c>
      <c r="AI206" s="41">
        <v>0</v>
      </c>
      <c r="AJ206" s="41">
        <v>0</v>
      </c>
      <c r="AK206" s="41">
        <v>0</v>
      </c>
      <c r="AL206" s="41">
        <v>0</v>
      </c>
      <c r="AM206" s="41">
        <v>47944624</v>
      </c>
      <c r="AN206" s="41">
        <v>2366</v>
      </c>
      <c r="AO206" s="41">
        <v>2366</v>
      </c>
      <c r="AP206" s="40"/>
      <c r="AQ206" s="36">
        <v>45280</v>
      </c>
      <c r="AR206" s="36"/>
      <c r="AS206" s="36"/>
      <c r="AT206" s="36">
        <v>45285</v>
      </c>
      <c r="AU206" s="36"/>
      <c r="AV206" s="38"/>
      <c r="AW206" s="40" t="s">
        <v>49</v>
      </c>
    </row>
    <row r="207" spans="1:49" ht="48" customHeight="1" x14ac:dyDescent="0.3">
      <c r="A207" s="35" t="s">
        <v>3608</v>
      </c>
      <c r="B207" s="38">
        <v>45106</v>
      </c>
      <c r="C207" s="40">
        <v>1416</v>
      </c>
      <c r="D207" s="39" t="s">
        <v>3609</v>
      </c>
      <c r="E207" s="1" t="s">
        <v>3610</v>
      </c>
      <c r="F207" s="36">
        <v>45128</v>
      </c>
      <c r="G207" s="37" t="s">
        <v>3611</v>
      </c>
      <c r="H207" s="40" t="s">
        <v>3612</v>
      </c>
      <c r="I207" s="40" t="s">
        <v>3191</v>
      </c>
      <c r="J207" s="57">
        <v>65606106.240000002</v>
      </c>
      <c r="K207" s="41">
        <v>65606106.240000002</v>
      </c>
      <c r="L207" s="30">
        <v>65606106.240000002</v>
      </c>
      <c r="M207" s="30">
        <v>65606106.240000002</v>
      </c>
      <c r="N207" s="40" t="s">
        <v>3192</v>
      </c>
      <c r="O207" s="40" t="s">
        <v>3193</v>
      </c>
      <c r="P207" s="40" t="s">
        <v>583</v>
      </c>
      <c r="Q207" s="44">
        <v>0</v>
      </c>
      <c r="R207" s="37">
        <v>100</v>
      </c>
      <c r="S207" s="37" t="s">
        <v>584</v>
      </c>
      <c r="T207" s="67">
        <v>4.8</v>
      </c>
      <c r="U207" s="30">
        <v>13399.94</v>
      </c>
      <c r="V207" s="41">
        <v>64319.712</v>
      </c>
      <c r="W207" s="41">
        <v>4896</v>
      </c>
      <c r="X207" s="41">
        <v>4896</v>
      </c>
      <c r="Y207" s="41">
        <v>4896</v>
      </c>
      <c r="Z207" s="41">
        <v>65606106.240000002</v>
      </c>
      <c r="AA207" s="41">
        <v>0</v>
      </c>
      <c r="AB207" s="41">
        <v>0</v>
      </c>
      <c r="AC207" s="41">
        <v>0</v>
      </c>
      <c r="AD207" s="41">
        <v>0</v>
      </c>
      <c r="AE207" s="41">
        <v>0</v>
      </c>
      <c r="AF207" s="41">
        <v>0</v>
      </c>
      <c r="AG207" s="41">
        <v>0</v>
      </c>
      <c r="AH207" s="41">
        <v>0</v>
      </c>
      <c r="AI207" s="41">
        <v>0</v>
      </c>
      <c r="AJ207" s="41">
        <v>0</v>
      </c>
      <c r="AK207" s="41">
        <v>0</v>
      </c>
      <c r="AL207" s="41">
        <v>0</v>
      </c>
      <c r="AM207" s="41">
        <v>65606106.240000002</v>
      </c>
      <c r="AN207" s="41">
        <v>1020</v>
      </c>
      <c r="AO207" s="41">
        <v>1020</v>
      </c>
      <c r="AP207" s="40"/>
      <c r="AQ207" s="36">
        <v>45199</v>
      </c>
      <c r="AR207" s="36"/>
      <c r="AS207" s="36"/>
      <c r="AT207" s="36">
        <v>45214</v>
      </c>
      <c r="AU207" s="36"/>
      <c r="AV207" s="38"/>
      <c r="AW207" s="40" t="s">
        <v>49</v>
      </c>
    </row>
    <row r="208" spans="1:49" ht="48" customHeight="1" x14ac:dyDescent="0.3">
      <c r="A208" s="35" t="s">
        <v>3613</v>
      </c>
      <c r="B208" s="38">
        <v>45106</v>
      </c>
      <c r="C208" s="40">
        <v>1416</v>
      </c>
      <c r="D208" s="39" t="s">
        <v>3614</v>
      </c>
      <c r="E208" s="1" t="s">
        <v>3615</v>
      </c>
      <c r="F208" s="36">
        <v>45125</v>
      </c>
      <c r="G208" s="37" t="s">
        <v>3616</v>
      </c>
      <c r="H208" s="40" t="s">
        <v>353</v>
      </c>
      <c r="I208" s="40" t="s">
        <v>2912</v>
      </c>
      <c r="J208" s="57">
        <v>56990046.960000001</v>
      </c>
      <c r="K208" s="41">
        <v>56990046.960000001</v>
      </c>
      <c r="L208" s="30">
        <v>56990046.960000001</v>
      </c>
      <c r="M208" s="30">
        <v>56990046.960000001</v>
      </c>
      <c r="N208" s="40" t="s">
        <v>355</v>
      </c>
      <c r="O208" s="40" t="s">
        <v>946</v>
      </c>
      <c r="P208" s="40" t="s">
        <v>357</v>
      </c>
      <c r="Q208" s="44">
        <v>0</v>
      </c>
      <c r="R208" s="37">
        <v>100</v>
      </c>
      <c r="S208" s="37" t="s">
        <v>219</v>
      </c>
      <c r="T208" s="48">
        <v>1</v>
      </c>
      <c r="U208" s="30">
        <v>263842.81</v>
      </c>
      <c r="V208" s="41">
        <v>263842.81</v>
      </c>
      <c r="W208" s="41">
        <v>216</v>
      </c>
      <c r="X208" s="41">
        <v>216</v>
      </c>
      <c r="Y208" s="41">
        <v>216</v>
      </c>
      <c r="Z208" s="41">
        <v>56990046.960000001</v>
      </c>
      <c r="AA208" s="41">
        <v>0</v>
      </c>
      <c r="AB208" s="41">
        <v>0</v>
      </c>
      <c r="AC208" s="41">
        <v>0</v>
      </c>
      <c r="AD208" s="41">
        <v>0</v>
      </c>
      <c r="AE208" s="41">
        <v>0</v>
      </c>
      <c r="AF208" s="41">
        <v>0</v>
      </c>
      <c r="AG208" s="41">
        <v>0</v>
      </c>
      <c r="AH208" s="41">
        <v>0</v>
      </c>
      <c r="AI208" s="41">
        <v>0</v>
      </c>
      <c r="AJ208" s="41">
        <v>0</v>
      </c>
      <c r="AK208" s="41">
        <v>0</v>
      </c>
      <c r="AL208" s="41">
        <v>0</v>
      </c>
      <c r="AM208" s="41">
        <v>56990046.960000001</v>
      </c>
      <c r="AN208" s="41">
        <v>216</v>
      </c>
      <c r="AO208" s="41">
        <v>216</v>
      </c>
      <c r="AP208" s="40"/>
      <c r="AQ208" s="36">
        <v>45170</v>
      </c>
      <c r="AR208" s="36"/>
      <c r="AS208" s="36"/>
      <c r="AT208" s="36">
        <v>45184</v>
      </c>
      <c r="AU208" s="36"/>
      <c r="AV208" s="38"/>
      <c r="AW208" s="40" t="s">
        <v>49</v>
      </c>
    </row>
    <row r="209" spans="1:49" ht="48" customHeight="1" x14ac:dyDescent="0.3">
      <c r="A209" s="35" t="s">
        <v>3624</v>
      </c>
      <c r="B209" s="38">
        <v>45106</v>
      </c>
      <c r="C209" s="40">
        <v>1416</v>
      </c>
      <c r="D209" s="39" t="s">
        <v>3625</v>
      </c>
      <c r="E209" s="1" t="s">
        <v>3626</v>
      </c>
      <c r="F209" s="36">
        <v>45125</v>
      </c>
      <c r="G209" s="37" t="s">
        <v>3627</v>
      </c>
      <c r="H209" s="40" t="s">
        <v>224</v>
      </c>
      <c r="I209" s="40" t="s">
        <v>2822</v>
      </c>
      <c r="J209" s="57">
        <v>8065728</v>
      </c>
      <c r="K209" s="41">
        <v>8065728</v>
      </c>
      <c r="L209" s="30">
        <v>8065728</v>
      </c>
      <c r="M209" s="30">
        <v>8065728</v>
      </c>
      <c r="N209" s="40" t="s">
        <v>3628</v>
      </c>
      <c r="O209" s="40" t="s">
        <v>3629</v>
      </c>
      <c r="P209" s="40" t="s">
        <v>263</v>
      </c>
      <c r="Q209" s="44">
        <v>0</v>
      </c>
      <c r="R209" s="37">
        <v>100</v>
      </c>
      <c r="S209" s="37" t="s">
        <v>229</v>
      </c>
      <c r="T209" s="48">
        <v>400</v>
      </c>
      <c r="U209" s="30">
        <v>29.48</v>
      </c>
      <c r="V209" s="41">
        <v>11792</v>
      </c>
      <c r="W209" s="41">
        <v>273600</v>
      </c>
      <c r="X209" s="41">
        <v>273600</v>
      </c>
      <c r="Y209" s="41">
        <v>273600</v>
      </c>
      <c r="Z209" s="41">
        <v>8065728</v>
      </c>
      <c r="AA209" s="41">
        <v>0</v>
      </c>
      <c r="AB209" s="41">
        <v>0</v>
      </c>
      <c r="AC209" s="41">
        <v>0</v>
      </c>
      <c r="AD209" s="41">
        <v>0</v>
      </c>
      <c r="AE209" s="41">
        <v>0</v>
      </c>
      <c r="AF209" s="41">
        <v>0</v>
      </c>
      <c r="AG209" s="41">
        <v>0</v>
      </c>
      <c r="AH209" s="41">
        <v>0</v>
      </c>
      <c r="AI209" s="41">
        <v>0</v>
      </c>
      <c r="AJ209" s="41">
        <v>0</v>
      </c>
      <c r="AK209" s="41">
        <v>0</v>
      </c>
      <c r="AL209" s="41">
        <v>0</v>
      </c>
      <c r="AM209" s="41">
        <v>8065728</v>
      </c>
      <c r="AN209" s="41">
        <v>684</v>
      </c>
      <c r="AO209" s="41">
        <v>684</v>
      </c>
      <c r="AP209" s="40"/>
      <c r="AQ209" s="36">
        <v>45148</v>
      </c>
      <c r="AR209" s="36"/>
      <c r="AS209" s="36"/>
      <c r="AT209" s="36">
        <v>45163</v>
      </c>
      <c r="AU209" s="36"/>
      <c r="AV209" s="38"/>
      <c r="AW209" s="40" t="s">
        <v>87</v>
      </c>
    </row>
    <row r="210" spans="1:49" s="34" customFormat="1" ht="48" customHeight="1" x14ac:dyDescent="0.3">
      <c r="A210" s="35" t="s">
        <v>3651</v>
      </c>
      <c r="B210" s="38">
        <v>45106</v>
      </c>
      <c r="C210" s="40">
        <v>1416</v>
      </c>
      <c r="D210" s="39"/>
      <c r="E210" s="1" t="s">
        <v>3652</v>
      </c>
      <c r="F210" s="36">
        <v>45128</v>
      </c>
      <c r="G210" s="37" t="s">
        <v>3653</v>
      </c>
      <c r="H210" s="40" t="s">
        <v>878</v>
      </c>
      <c r="I210" s="40" t="s">
        <v>3654</v>
      </c>
      <c r="J210" s="57">
        <v>1301150.3999999999</v>
      </c>
      <c r="K210" s="41">
        <v>1301150.3999999999</v>
      </c>
      <c r="L210" s="30">
        <v>1301150.3999999999</v>
      </c>
      <c r="M210" s="30">
        <v>1301150.3999999999</v>
      </c>
      <c r="N210" s="40" t="s">
        <v>880</v>
      </c>
      <c r="O210" s="40" t="s">
        <v>881</v>
      </c>
      <c r="P210" s="40" t="s">
        <v>583</v>
      </c>
      <c r="Q210" s="44">
        <v>0</v>
      </c>
      <c r="R210" s="37">
        <v>100</v>
      </c>
      <c r="S210" s="37" t="s">
        <v>882</v>
      </c>
      <c r="T210" s="48">
        <v>120</v>
      </c>
      <c r="U210" s="30">
        <v>142.66999999999999</v>
      </c>
      <c r="V210" s="41">
        <v>17120.399999999998</v>
      </c>
      <c r="W210" s="41">
        <v>9120</v>
      </c>
      <c r="X210" s="41">
        <v>9120</v>
      </c>
      <c r="Y210" s="41">
        <v>0</v>
      </c>
      <c r="Z210" s="41">
        <v>0</v>
      </c>
      <c r="AA210" s="41">
        <v>0</v>
      </c>
      <c r="AB210" s="41">
        <v>0</v>
      </c>
      <c r="AC210" s="41">
        <v>0</v>
      </c>
      <c r="AD210" s="41">
        <v>0</v>
      </c>
      <c r="AE210" s="41">
        <v>0</v>
      </c>
      <c r="AF210" s="41">
        <v>0</v>
      </c>
      <c r="AG210" s="41">
        <v>0</v>
      </c>
      <c r="AH210" s="41">
        <v>0</v>
      </c>
      <c r="AI210" s="41">
        <v>0</v>
      </c>
      <c r="AJ210" s="41">
        <v>0</v>
      </c>
      <c r="AK210" s="41">
        <v>0</v>
      </c>
      <c r="AL210" s="41">
        <v>0</v>
      </c>
      <c r="AM210" s="41">
        <v>0</v>
      </c>
      <c r="AN210" s="41">
        <v>76</v>
      </c>
      <c r="AO210" s="41">
        <v>76</v>
      </c>
      <c r="AP210" s="40"/>
      <c r="AQ210" s="36">
        <v>45170</v>
      </c>
      <c r="AR210" s="36"/>
      <c r="AS210" s="36"/>
      <c r="AT210" s="36">
        <v>45184</v>
      </c>
      <c r="AU210" s="36"/>
      <c r="AV210" s="38"/>
      <c r="AW210" s="40" t="s">
        <v>49</v>
      </c>
    </row>
    <row r="211" spans="1:49" s="34" customFormat="1" ht="48" customHeight="1" x14ac:dyDescent="0.3">
      <c r="A211" s="35" t="s">
        <v>3666</v>
      </c>
      <c r="B211" s="38">
        <v>45106</v>
      </c>
      <c r="C211" s="40">
        <v>1416</v>
      </c>
      <c r="D211" s="39" t="s">
        <v>3667</v>
      </c>
      <c r="E211" s="1" t="s">
        <v>3668</v>
      </c>
      <c r="F211" s="36">
        <v>45125</v>
      </c>
      <c r="G211" s="37" t="s">
        <v>3669</v>
      </c>
      <c r="H211" s="40" t="s">
        <v>186</v>
      </c>
      <c r="I211" s="40" t="s">
        <v>795</v>
      </c>
      <c r="J211" s="57">
        <v>187522450.5</v>
      </c>
      <c r="K211" s="41">
        <v>187522450.5</v>
      </c>
      <c r="L211" s="30">
        <v>187522450.5</v>
      </c>
      <c r="M211" s="30">
        <v>187522450.5</v>
      </c>
      <c r="N211" s="40" t="s">
        <v>796</v>
      </c>
      <c r="O211" s="40" t="s">
        <v>3670</v>
      </c>
      <c r="P211" s="40" t="s">
        <v>47</v>
      </c>
      <c r="Q211" s="44">
        <v>100</v>
      </c>
      <c r="R211" s="37">
        <v>0</v>
      </c>
      <c r="S211" s="37" t="s">
        <v>219</v>
      </c>
      <c r="T211" s="48">
        <v>15</v>
      </c>
      <c r="U211" s="30">
        <v>401.59</v>
      </c>
      <c r="V211" s="41">
        <v>6023.8499999999995</v>
      </c>
      <c r="W211" s="41">
        <v>466950</v>
      </c>
      <c r="X211" s="41">
        <v>466950</v>
      </c>
      <c r="Y211" s="41">
        <v>466950</v>
      </c>
      <c r="Z211" s="41">
        <v>187522450.5</v>
      </c>
      <c r="AA211" s="41">
        <v>0</v>
      </c>
      <c r="AB211" s="41">
        <v>0</v>
      </c>
      <c r="AC211" s="41">
        <v>0</v>
      </c>
      <c r="AD211" s="41">
        <v>0</v>
      </c>
      <c r="AE211" s="41">
        <v>0</v>
      </c>
      <c r="AF211" s="41">
        <v>0</v>
      </c>
      <c r="AG211" s="41">
        <v>0</v>
      </c>
      <c r="AH211" s="41">
        <v>0</v>
      </c>
      <c r="AI211" s="41">
        <v>0</v>
      </c>
      <c r="AJ211" s="41">
        <v>0</v>
      </c>
      <c r="AK211" s="41">
        <v>0</v>
      </c>
      <c r="AL211" s="41">
        <v>0</v>
      </c>
      <c r="AM211" s="41">
        <v>187522450.5</v>
      </c>
      <c r="AN211" s="41">
        <v>31130</v>
      </c>
      <c r="AO211" s="41">
        <v>31130</v>
      </c>
      <c r="AP211" s="40"/>
      <c r="AQ211" s="36">
        <v>45171</v>
      </c>
      <c r="AR211" s="36"/>
      <c r="AS211" s="36"/>
      <c r="AT211" s="36">
        <v>45186</v>
      </c>
      <c r="AU211" s="36"/>
      <c r="AV211" s="38"/>
      <c r="AW211" s="40" t="s">
        <v>49</v>
      </c>
    </row>
    <row r="212" spans="1:49" s="34" customFormat="1" ht="48" customHeight="1" x14ac:dyDescent="0.3">
      <c r="A212" s="35" t="s">
        <v>3686</v>
      </c>
      <c r="B212" s="38">
        <v>45107</v>
      </c>
      <c r="C212" s="40">
        <v>1416</v>
      </c>
      <c r="D212" s="39" t="s">
        <v>3687</v>
      </c>
      <c r="E212" s="1" t="s">
        <v>3688</v>
      </c>
      <c r="F212" s="36">
        <v>45128</v>
      </c>
      <c r="G212" s="37" t="s">
        <v>3689</v>
      </c>
      <c r="H212" s="40" t="s">
        <v>186</v>
      </c>
      <c r="I212" s="40" t="s">
        <v>473</v>
      </c>
      <c r="J212" s="57">
        <v>146923062</v>
      </c>
      <c r="K212" s="41">
        <v>146923062</v>
      </c>
      <c r="L212" s="30">
        <v>146923062</v>
      </c>
      <c r="M212" s="30">
        <v>146923062</v>
      </c>
      <c r="N212" s="40" t="s">
        <v>2937</v>
      </c>
      <c r="O212" s="40" t="s">
        <v>475</v>
      </c>
      <c r="P212" s="40" t="s">
        <v>190</v>
      </c>
      <c r="Q212" s="44">
        <v>0</v>
      </c>
      <c r="R212" s="37">
        <v>100</v>
      </c>
      <c r="S212" s="37" t="s">
        <v>1964</v>
      </c>
      <c r="T212" s="48">
        <v>1</v>
      </c>
      <c r="U212" s="30">
        <v>85800</v>
      </c>
      <c r="V212" s="41">
        <v>85800</v>
      </c>
      <c r="W212" s="41">
        <v>1712.39</v>
      </c>
      <c r="X212" s="41">
        <v>1712.39</v>
      </c>
      <c r="Y212" s="41">
        <v>0</v>
      </c>
      <c r="Z212" s="41">
        <v>0</v>
      </c>
      <c r="AA212" s="41">
        <v>1712.39</v>
      </c>
      <c r="AB212" s="41">
        <v>146923062</v>
      </c>
      <c r="AC212" s="41">
        <v>0</v>
      </c>
      <c r="AD212" s="41">
        <v>0</v>
      </c>
      <c r="AE212" s="41">
        <v>0</v>
      </c>
      <c r="AF212" s="41">
        <v>0</v>
      </c>
      <c r="AG212" s="41">
        <v>0</v>
      </c>
      <c r="AH212" s="41">
        <v>0</v>
      </c>
      <c r="AI212" s="41">
        <v>0</v>
      </c>
      <c r="AJ212" s="41">
        <v>0</v>
      </c>
      <c r="AK212" s="41">
        <v>0</v>
      </c>
      <c r="AL212" s="41">
        <v>0</v>
      </c>
      <c r="AM212" s="41">
        <v>0</v>
      </c>
      <c r="AN212" s="41">
        <v>1712.39</v>
      </c>
      <c r="AO212" s="41">
        <v>1713</v>
      </c>
      <c r="AP212" s="40"/>
      <c r="AQ212" s="36">
        <v>45170</v>
      </c>
      <c r="AR212" s="36"/>
      <c r="AS212" s="36"/>
      <c r="AT212" s="36">
        <v>45184</v>
      </c>
      <c r="AU212" s="36"/>
      <c r="AV212" s="38"/>
      <c r="AW212" s="40" t="s">
        <v>49</v>
      </c>
    </row>
    <row r="213" spans="1:49" s="34" customFormat="1" ht="48" customHeight="1" x14ac:dyDescent="0.3">
      <c r="A213" s="35" t="s">
        <v>3690</v>
      </c>
      <c r="B213" s="38">
        <v>45107</v>
      </c>
      <c r="C213" s="40">
        <v>1416</v>
      </c>
      <c r="D213" s="39" t="s">
        <v>3691</v>
      </c>
      <c r="E213" s="1" t="s">
        <v>3692</v>
      </c>
      <c r="F213" s="36">
        <v>45128</v>
      </c>
      <c r="G213" s="37" t="s">
        <v>3693</v>
      </c>
      <c r="H213" s="40" t="s">
        <v>693</v>
      </c>
      <c r="I213" s="40" t="s">
        <v>3694</v>
      </c>
      <c r="J213" s="57">
        <v>264835358.40000001</v>
      </c>
      <c r="K213" s="41">
        <v>264835358.40000001</v>
      </c>
      <c r="L213" s="30">
        <v>264835358.40000001</v>
      </c>
      <c r="M213" s="30">
        <v>264835358.40000001</v>
      </c>
      <c r="N213" s="40" t="s">
        <v>695</v>
      </c>
      <c r="O213" s="40" t="s">
        <v>696</v>
      </c>
      <c r="P213" s="40" t="s">
        <v>697</v>
      </c>
      <c r="Q213" s="44">
        <v>0</v>
      </c>
      <c r="R213" s="37">
        <v>100</v>
      </c>
      <c r="S213" s="37" t="s">
        <v>219</v>
      </c>
      <c r="T213" s="48">
        <v>3</v>
      </c>
      <c r="U213" s="30">
        <v>50773.65</v>
      </c>
      <c r="V213" s="41">
        <v>152320.95000000001</v>
      </c>
      <c r="W213" s="41">
        <v>5216</v>
      </c>
      <c r="X213" s="41">
        <v>5216</v>
      </c>
      <c r="Y213" s="41">
        <v>0</v>
      </c>
      <c r="Z213" s="41">
        <v>0</v>
      </c>
      <c r="AA213" s="41">
        <v>0</v>
      </c>
      <c r="AB213" s="41">
        <v>0</v>
      </c>
      <c r="AC213" s="41">
        <v>0</v>
      </c>
      <c r="AD213" s="41">
        <v>0</v>
      </c>
      <c r="AE213" s="41">
        <v>0</v>
      </c>
      <c r="AF213" s="41">
        <v>0</v>
      </c>
      <c r="AG213" s="41">
        <v>0</v>
      </c>
      <c r="AH213" s="41">
        <v>0</v>
      </c>
      <c r="AI213" s="41">
        <v>0</v>
      </c>
      <c r="AJ213" s="41">
        <v>0</v>
      </c>
      <c r="AK213" s="41">
        <v>0</v>
      </c>
      <c r="AL213" s="41">
        <v>0</v>
      </c>
      <c r="AM213" s="41">
        <v>0</v>
      </c>
      <c r="AN213" s="41">
        <v>1738.6666666666667</v>
      </c>
      <c r="AO213" s="41">
        <v>1739</v>
      </c>
      <c r="AP213" s="40"/>
      <c r="AQ213" s="36">
        <v>45170</v>
      </c>
      <c r="AR213" s="36"/>
      <c r="AS213" s="36"/>
      <c r="AT213" s="36">
        <v>45184</v>
      </c>
      <c r="AU213" s="36"/>
      <c r="AV213" s="38"/>
      <c r="AW213" s="40" t="s">
        <v>49</v>
      </c>
    </row>
    <row r="214" spans="1:49" s="34" customFormat="1" ht="48" customHeight="1" x14ac:dyDescent="0.3">
      <c r="A214" s="35" t="s">
        <v>3695</v>
      </c>
      <c r="B214" s="38">
        <v>45107</v>
      </c>
      <c r="C214" s="40">
        <v>1416</v>
      </c>
      <c r="D214" s="39" t="s">
        <v>3696</v>
      </c>
      <c r="E214" s="1" t="s">
        <v>3697</v>
      </c>
      <c r="F214" s="36">
        <v>45128</v>
      </c>
      <c r="G214" s="37" t="s">
        <v>3698</v>
      </c>
      <c r="H214" s="40" t="s">
        <v>224</v>
      </c>
      <c r="I214" s="40" t="s">
        <v>3699</v>
      </c>
      <c r="J214" s="57">
        <v>43038288</v>
      </c>
      <c r="K214" s="41">
        <v>43038288</v>
      </c>
      <c r="L214" s="30">
        <v>43038288</v>
      </c>
      <c r="M214" s="30">
        <v>43038288</v>
      </c>
      <c r="N214" s="40" t="s">
        <v>642</v>
      </c>
      <c r="O214" s="40" t="s">
        <v>643</v>
      </c>
      <c r="P214" s="40" t="s">
        <v>218</v>
      </c>
      <c r="Q214" s="44">
        <v>0</v>
      </c>
      <c r="R214" s="37">
        <v>100</v>
      </c>
      <c r="S214" s="37" t="s">
        <v>3700</v>
      </c>
      <c r="T214" s="48">
        <v>400</v>
      </c>
      <c r="U214" s="30">
        <v>175.81</v>
      </c>
      <c r="V214" s="41">
        <v>70324</v>
      </c>
      <c r="W214" s="41">
        <v>244800</v>
      </c>
      <c r="X214" s="41">
        <v>244800</v>
      </c>
      <c r="Y214" s="41">
        <v>0</v>
      </c>
      <c r="Z214" s="41">
        <v>0</v>
      </c>
      <c r="AA214" s="41">
        <v>0</v>
      </c>
      <c r="AB214" s="41">
        <v>0</v>
      </c>
      <c r="AC214" s="41">
        <v>0</v>
      </c>
      <c r="AD214" s="41">
        <v>0</v>
      </c>
      <c r="AE214" s="41">
        <v>0</v>
      </c>
      <c r="AF214" s="41">
        <v>0</v>
      </c>
      <c r="AG214" s="41">
        <v>0</v>
      </c>
      <c r="AH214" s="41">
        <v>0</v>
      </c>
      <c r="AI214" s="41">
        <v>0</v>
      </c>
      <c r="AJ214" s="41">
        <v>0</v>
      </c>
      <c r="AK214" s="41">
        <v>0</v>
      </c>
      <c r="AL214" s="41">
        <v>0</v>
      </c>
      <c r="AM214" s="41">
        <v>0</v>
      </c>
      <c r="AN214" s="41">
        <v>612</v>
      </c>
      <c r="AO214" s="41">
        <v>612</v>
      </c>
      <c r="AP214" s="40"/>
      <c r="AQ214" s="36">
        <v>45153</v>
      </c>
      <c r="AR214" s="36"/>
      <c r="AS214" s="36"/>
      <c r="AT214" s="36">
        <v>45168</v>
      </c>
      <c r="AU214" s="36"/>
      <c r="AV214" s="38"/>
      <c r="AW214" s="40" t="s">
        <v>49</v>
      </c>
    </row>
    <row r="215" spans="1:49" s="34" customFormat="1" ht="48" customHeight="1" x14ac:dyDescent="0.3">
      <c r="A215" s="35" t="s">
        <v>3701</v>
      </c>
      <c r="B215" s="38">
        <v>45107</v>
      </c>
      <c r="C215" s="40">
        <v>1416</v>
      </c>
      <c r="D215" s="39" t="s">
        <v>3702</v>
      </c>
      <c r="E215" s="1" t="s">
        <v>3703</v>
      </c>
      <c r="F215" s="36">
        <v>45128</v>
      </c>
      <c r="G215" s="37" t="s">
        <v>3704</v>
      </c>
      <c r="H215" s="40" t="s">
        <v>344</v>
      </c>
      <c r="I215" s="40" t="s">
        <v>3233</v>
      </c>
      <c r="J215" s="57">
        <v>176142367.59999999</v>
      </c>
      <c r="K215" s="41">
        <v>176137890.59999999</v>
      </c>
      <c r="L215" s="30">
        <v>176137890.59999999</v>
      </c>
      <c r="M215" s="30">
        <v>176137890.59999999</v>
      </c>
      <c r="N215" s="40" t="s">
        <v>3068</v>
      </c>
      <c r="O215" s="40" t="s">
        <v>396</v>
      </c>
      <c r="P215" s="40" t="s">
        <v>348</v>
      </c>
      <c r="Q215" s="44">
        <v>0</v>
      </c>
      <c r="R215" s="37">
        <v>100</v>
      </c>
      <c r="S215" s="37" t="s">
        <v>219</v>
      </c>
      <c r="T215" s="48">
        <v>20</v>
      </c>
      <c r="U215" s="30">
        <v>2919.0899999999997</v>
      </c>
      <c r="V215" s="41">
        <v>58381.799999999996</v>
      </c>
      <c r="W215" s="41">
        <v>60340</v>
      </c>
      <c r="X215" s="41">
        <v>60340</v>
      </c>
      <c r="Y215" s="41">
        <v>0</v>
      </c>
      <c r="Z215" s="41">
        <v>0</v>
      </c>
      <c r="AA215" s="41">
        <v>60340</v>
      </c>
      <c r="AB215" s="41">
        <v>176137890.59999999</v>
      </c>
      <c r="AC215" s="41">
        <v>0</v>
      </c>
      <c r="AD215" s="41">
        <v>0</v>
      </c>
      <c r="AE215" s="41">
        <v>0</v>
      </c>
      <c r="AF215" s="41">
        <v>0</v>
      </c>
      <c r="AG215" s="41">
        <v>0</v>
      </c>
      <c r="AH215" s="41">
        <v>0</v>
      </c>
      <c r="AI215" s="41">
        <v>0</v>
      </c>
      <c r="AJ215" s="41">
        <v>0</v>
      </c>
      <c r="AK215" s="41">
        <v>0</v>
      </c>
      <c r="AL215" s="41">
        <v>0</v>
      </c>
      <c r="AM215" s="41">
        <v>0</v>
      </c>
      <c r="AN215" s="41">
        <v>3017</v>
      </c>
      <c r="AO215" s="41">
        <v>3017</v>
      </c>
      <c r="AP215" s="40"/>
      <c r="AQ215" s="36">
        <v>45170</v>
      </c>
      <c r="AR215" s="36"/>
      <c r="AS215" s="36"/>
      <c r="AT215" s="36">
        <v>45184</v>
      </c>
      <c r="AU215" s="36"/>
      <c r="AV215" s="38"/>
      <c r="AW215" s="40" t="s">
        <v>49</v>
      </c>
    </row>
    <row r="216" spans="1:49" s="34" customFormat="1" ht="48" customHeight="1" x14ac:dyDescent="0.3">
      <c r="A216" s="35" t="s">
        <v>3705</v>
      </c>
      <c r="B216" s="38">
        <v>45107</v>
      </c>
      <c r="C216" s="40">
        <v>1416</v>
      </c>
      <c r="D216" s="39"/>
      <c r="E216" s="1" t="s">
        <v>3706</v>
      </c>
      <c r="F216" s="36">
        <v>45135</v>
      </c>
      <c r="G216" s="37" t="s">
        <v>3707</v>
      </c>
      <c r="H216" s="40" t="s">
        <v>177</v>
      </c>
      <c r="I216" s="40" t="s">
        <v>3289</v>
      </c>
      <c r="J216" s="57">
        <v>655478205.48000002</v>
      </c>
      <c r="K216" s="41">
        <v>609594675.48000002</v>
      </c>
      <c r="L216" s="30">
        <v>655445475.72000003</v>
      </c>
      <c r="M216" s="30">
        <v>655445475.72000003</v>
      </c>
      <c r="N216" s="40" t="s">
        <v>3708</v>
      </c>
      <c r="O216" s="40" t="s">
        <v>3709</v>
      </c>
      <c r="P216" s="40" t="s">
        <v>47</v>
      </c>
      <c r="Q216" s="44">
        <v>100</v>
      </c>
      <c r="R216" s="37">
        <v>0</v>
      </c>
      <c r="S216" s="37" t="s">
        <v>1964</v>
      </c>
      <c r="T216" s="48">
        <v>21</v>
      </c>
      <c r="U216" s="30">
        <v>13152.84</v>
      </c>
      <c r="V216" s="41">
        <v>276209.64</v>
      </c>
      <c r="W216" s="41">
        <v>49833</v>
      </c>
      <c r="X216" s="41">
        <v>49833</v>
      </c>
      <c r="Y216" s="41">
        <v>0</v>
      </c>
      <c r="Z216" s="41">
        <v>0</v>
      </c>
      <c r="AA216" s="41">
        <v>49833</v>
      </c>
      <c r="AB216" s="41">
        <v>655445475.72000003</v>
      </c>
      <c r="AC216" s="41">
        <v>0</v>
      </c>
      <c r="AD216" s="41">
        <v>0</v>
      </c>
      <c r="AE216" s="41">
        <v>0</v>
      </c>
      <c r="AF216" s="41">
        <v>0</v>
      </c>
      <c r="AG216" s="41">
        <v>0</v>
      </c>
      <c r="AH216" s="41">
        <v>0</v>
      </c>
      <c r="AI216" s="41">
        <v>0</v>
      </c>
      <c r="AJ216" s="41">
        <v>0</v>
      </c>
      <c r="AK216" s="41">
        <v>0</v>
      </c>
      <c r="AL216" s="41">
        <v>0</v>
      </c>
      <c r="AM216" s="41">
        <v>0</v>
      </c>
      <c r="AN216" s="41">
        <v>2373</v>
      </c>
      <c r="AO216" s="41">
        <v>2373</v>
      </c>
      <c r="AP216" s="40"/>
      <c r="AQ216" s="36">
        <v>45170</v>
      </c>
      <c r="AR216" s="36"/>
      <c r="AS216" s="36"/>
      <c r="AT216" s="36">
        <v>45184</v>
      </c>
      <c r="AU216" s="36"/>
      <c r="AV216" s="38"/>
      <c r="AW216" s="40" t="s">
        <v>49</v>
      </c>
    </row>
    <row r="217" spans="1:49" s="34" customFormat="1" ht="48" customHeight="1" x14ac:dyDescent="0.3">
      <c r="A217" s="35" t="s">
        <v>3710</v>
      </c>
      <c r="B217" s="38">
        <v>45107</v>
      </c>
      <c r="C217" s="40">
        <v>1416</v>
      </c>
      <c r="D217" s="39" t="s">
        <v>3711</v>
      </c>
      <c r="E217" s="1" t="s">
        <v>3712</v>
      </c>
      <c r="F217" s="36">
        <v>45128</v>
      </c>
      <c r="G217" s="37" t="s">
        <v>3713</v>
      </c>
      <c r="H217" s="40" t="s">
        <v>802</v>
      </c>
      <c r="I217" s="40" t="s">
        <v>2765</v>
      </c>
      <c r="J217" s="57">
        <v>36968569.5</v>
      </c>
      <c r="K217" s="41">
        <v>36968569.5</v>
      </c>
      <c r="L217" s="30">
        <v>36968569.5</v>
      </c>
      <c r="M217" s="30">
        <v>36968569.5</v>
      </c>
      <c r="N217" s="40" t="s">
        <v>804</v>
      </c>
      <c r="O217" s="40" t="s">
        <v>805</v>
      </c>
      <c r="P217" s="40" t="s">
        <v>218</v>
      </c>
      <c r="Q217" s="44">
        <v>0</v>
      </c>
      <c r="R217" s="37">
        <v>100</v>
      </c>
      <c r="S217" s="37" t="s">
        <v>219</v>
      </c>
      <c r="T217" s="48">
        <v>5</v>
      </c>
      <c r="U217" s="30">
        <v>7950.23</v>
      </c>
      <c r="V217" s="41">
        <v>39751.149999999994</v>
      </c>
      <c r="W217" s="41">
        <v>4650</v>
      </c>
      <c r="X217" s="41">
        <v>4650</v>
      </c>
      <c r="Y217" s="41">
        <v>4650</v>
      </c>
      <c r="Z217" s="41">
        <v>36968569.5</v>
      </c>
      <c r="AA217" s="41">
        <v>0</v>
      </c>
      <c r="AB217" s="41">
        <v>0</v>
      </c>
      <c r="AC217" s="41">
        <v>0</v>
      </c>
      <c r="AD217" s="41">
        <v>0</v>
      </c>
      <c r="AE217" s="41">
        <v>0</v>
      </c>
      <c r="AF217" s="41">
        <v>0</v>
      </c>
      <c r="AG217" s="41">
        <v>0</v>
      </c>
      <c r="AH217" s="41">
        <v>0</v>
      </c>
      <c r="AI217" s="41">
        <v>0</v>
      </c>
      <c r="AJ217" s="41">
        <v>0</v>
      </c>
      <c r="AK217" s="41">
        <v>0</v>
      </c>
      <c r="AL217" s="41">
        <v>0</v>
      </c>
      <c r="AM217" s="41">
        <v>36968569.5</v>
      </c>
      <c r="AN217" s="41">
        <v>930</v>
      </c>
      <c r="AO217" s="41">
        <v>930</v>
      </c>
      <c r="AP217" s="40"/>
      <c r="AQ217" s="36">
        <v>45245</v>
      </c>
      <c r="AR217" s="36"/>
      <c r="AS217" s="36"/>
      <c r="AT217" s="36">
        <v>45260</v>
      </c>
      <c r="AU217" s="36"/>
      <c r="AV217" s="38"/>
      <c r="AW217" s="40" t="s">
        <v>49</v>
      </c>
    </row>
    <row r="218" spans="1:49" s="34" customFormat="1" ht="48" customHeight="1" x14ac:dyDescent="0.3">
      <c r="A218" s="35" t="s">
        <v>3714</v>
      </c>
      <c r="B218" s="38">
        <v>45107</v>
      </c>
      <c r="C218" s="40">
        <v>1416</v>
      </c>
      <c r="D218" s="39" t="s">
        <v>3715</v>
      </c>
      <c r="E218" s="1" t="s">
        <v>3716</v>
      </c>
      <c r="F218" s="36">
        <v>45128</v>
      </c>
      <c r="G218" s="37" t="s">
        <v>3717</v>
      </c>
      <c r="H218" s="40" t="s">
        <v>224</v>
      </c>
      <c r="I218" s="40" t="s">
        <v>2781</v>
      </c>
      <c r="J218" s="57">
        <v>121578660.72</v>
      </c>
      <c r="K218" s="41">
        <v>121578660.72</v>
      </c>
      <c r="L218" s="30">
        <v>121578660.72</v>
      </c>
      <c r="M218" s="30">
        <v>121578660.72</v>
      </c>
      <c r="N218" s="40" t="s">
        <v>3718</v>
      </c>
      <c r="O218" s="40" t="s">
        <v>3719</v>
      </c>
      <c r="P218" s="40" t="s">
        <v>218</v>
      </c>
      <c r="Q218" s="44">
        <v>0</v>
      </c>
      <c r="R218" s="37">
        <v>100</v>
      </c>
      <c r="S218" s="37" t="s">
        <v>219</v>
      </c>
      <c r="T218" s="48">
        <v>5</v>
      </c>
      <c r="U218" s="30">
        <v>18607.079999999998</v>
      </c>
      <c r="V218" s="41">
        <v>93035.4</v>
      </c>
      <c r="W218" s="41">
        <v>6534</v>
      </c>
      <c r="X218" s="41">
        <v>6534</v>
      </c>
      <c r="Y218" s="41">
        <v>6534</v>
      </c>
      <c r="Z218" s="41">
        <v>121578660.71999998</v>
      </c>
      <c r="AA218" s="41">
        <v>0</v>
      </c>
      <c r="AB218" s="41">
        <v>0</v>
      </c>
      <c r="AC218" s="41">
        <v>0</v>
      </c>
      <c r="AD218" s="41">
        <v>0</v>
      </c>
      <c r="AE218" s="41">
        <v>0</v>
      </c>
      <c r="AF218" s="41">
        <v>0</v>
      </c>
      <c r="AG218" s="41">
        <v>0</v>
      </c>
      <c r="AH218" s="41">
        <v>0</v>
      </c>
      <c r="AI218" s="41">
        <v>0</v>
      </c>
      <c r="AJ218" s="41">
        <v>0</v>
      </c>
      <c r="AK218" s="41">
        <v>0</v>
      </c>
      <c r="AL218" s="41">
        <v>0</v>
      </c>
      <c r="AM218" s="41">
        <v>121578660.71999998</v>
      </c>
      <c r="AN218" s="41">
        <v>1306.8</v>
      </c>
      <c r="AO218" s="41">
        <v>1307</v>
      </c>
      <c r="AP218" s="40"/>
      <c r="AQ218" s="36">
        <v>45261</v>
      </c>
      <c r="AR218" s="36"/>
      <c r="AS218" s="36"/>
      <c r="AT218" s="36">
        <v>45275</v>
      </c>
      <c r="AU218" s="36"/>
      <c r="AV218" s="38"/>
      <c r="AW218" s="40" t="s">
        <v>49</v>
      </c>
    </row>
    <row r="219" spans="1:49" ht="48" customHeight="1" x14ac:dyDescent="0.3">
      <c r="A219" s="35" t="s">
        <v>3722</v>
      </c>
      <c r="B219" s="38">
        <v>45107</v>
      </c>
      <c r="C219" s="40">
        <v>1416</v>
      </c>
      <c r="D219" s="39"/>
      <c r="E219" s="1" t="s">
        <v>3723</v>
      </c>
      <c r="F219" s="36">
        <v>45135</v>
      </c>
      <c r="G219" s="37" t="s">
        <v>3724</v>
      </c>
      <c r="H219" s="40" t="s">
        <v>3725</v>
      </c>
      <c r="I219" s="40" t="s">
        <v>811</v>
      </c>
      <c r="J219" s="57">
        <v>755013540.39999998</v>
      </c>
      <c r="K219" s="41">
        <v>755013540.39999998</v>
      </c>
      <c r="L219" s="30">
        <v>755013540.39999998</v>
      </c>
      <c r="M219" s="30">
        <v>755013540.39999998</v>
      </c>
      <c r="N219" s="40" t="s">
        <v>812</v>
      </c>
      <c r="O219" s="40" t="s">
        <v>2811</v>
      </c>
      <c r="P219" s="40" t="s">
        <v>47</v>
      </c>
      <c r="Q219" s="44">
        <v>100</v>
      </c>
      <c r="R219" s="37">
        <v>0</v>
      </c>
      <c r="S219" s="37" t="s">
        <v>219</v>
      </c>
      <c r="T219" s="48">
        <v>30</v>
      </c>
      <c r="U219" s="30">
        <v>9102.7999999999993</v>
      </c>
      <c r="V219" s="41">
        <v>273084</v>
      </c>
      <c r="W219" s="41">
        <v>82943</v>
      </c>
      <c r="X219" s="41">
        <v>82943</v>
      </c>
      <c r="Y219" s="41">
        <v>82943</v>
      </c>
      <c r="Z219" s="41">
        <v>755013540.39999998</v>
      </c>
      <c r="AA219" s="41">
        <v>0</v>
      </c>
      <c r="AB219" s="41">
        <v>0</v>
      </c>
      <c r="AC219" s="41">
        <v>0</v>
      </c>
      <c r="AD219" s="41">
        <v>0</v>
      </c>
      <c r="AE219" s="41">
        <v>0</v>
      </c>
      <c r="AF219" s="41">
        <v>0</v>
      </c>
      <c r="AG219" s="41">
        <v>0</v>
      </c>
      <c r="AH219" s="41">
        <v>0</v>
      </c>
      <c r="AI219" s="41">
        <v>0</v>
      </c>
      <c r="AJ219" s="41">
        <v>0</v>
      </c>
      <c r="AK219" s="41">
        <v>0</v>
      </c>
      <c r="AL219" s="41">
        <v>0</v>
      </c>
      <c r="AM219" s="41">
        <v>755013540.39999998</v>
      </c>
      <c r="AN219" s="41">
        <v>2764.7666666666669</v>
      </c>
      <c r="AO219" s="41">
        <v>2765</v>
      </c>
      <c r="AP219" s="40"/>
      <c r="AQ219" s="36">
        <v>45245</v>
      </c>
      <c r="AR219" s="36"/>
      <c r="AS219" s="36"/>
      <c r="AT219" s="36">
        <v>45260</v>
      </c>
      <c r="AU219" s="36"/>
      <c r="AV219" s="38"/>
      <c r="AW219" s="40" t="s">
        <v>49</v>
      </c>
    </row>
    <row r="220" spans="1:49" ht="48" customHeight="1" x14ac:dyDescent="0.3">
      <c r="A220" s="35" t="s">
        <v>3726</v>
      </c>
      <c r="B220" s="38">
        <v>45107</v>
      </c>
      <c r="C220" s="40">
        <v>1416</v>
      </c>
      <c r="D220" s="39"/>
      <c r="E220" s="1" t="s">
        <v>3727</v>
      </c>
      <c r="F220" s="36">
        <v>45135</v>
      </c>
      <c r="G220" s="37" t="s">
        <v>3728</v>
      </c>
      <c r="H220" s="40" t="s">
        <v>186</v>
      </c>
      <c r="I220" s="40" t="s">
        <v>409</v>
      </c>
      <c r="J220" s="57">
        <v>431271120</v>
      </c>
      <c r="K220" s="41">
        <v>431271120</v>
      </c>
      <c r="L220" s="30">
        <v>431271120</v>
      </c>
      <c r="M220" s="30">
        <v>431271120</v>
      </c>
      <c r="N220" s="40" t="s">
        <v>3729</v>
      </c>
      <c r="O220" s="40" t="s">
        <v>3730</v>
      </c>
      <c r="P220" s="40" t="s">
        <v>543</v>
      </c>
      <c r="Q220" s="44">
        <v>0</v>
      </c>
      <c r="R220" s="37">
        <v>100</v>
      </c>
      <c r="S220" s="37" t="s">
        <v>229</v>
      </c>
      <c r="T220" s="48">
        <v>1000</v>
      </c>
      <c r="U220" s="30">
        <v>12.39</v>
      </c>
      <c r="V220" s="41">
        <v>12390</v>
      </c>
      <c r="W220" s="41">
        <v>34808000</v>
      </c>
      <c r="X220" s="41">
        <v>34808000</v>
      </c>
      <c r="Y220" s="41">
        <v>34808000</v>
      </c>
      <c r="Z220" s="41">
        <v>431271120</v>
      </c>
      <c r="AA220" s="41">
        <v>0</v>
      </c>
      <c r="AB220" s="41">
        <v>0</v>
      </c>
      <c r="AC220" s="41">
        <v>0</v>
      </c>
      <c r="AD220" s="41">
        <v>0</v>
      </c>
      <c r="AE220" s="41">
        <v>0</v>
      </c>
      <c r="AF220" s="41">
        <v>0</v>
      </c>
      <c r="AG220" s="41">
        <v>0</v>
      </c>
      <c r="AH220" s="41">
        <v>0</v>
      </c>
      <c r="AI220" s="41">
        <v>0</v>
      </c>
      <c r="AJ220" s="41">
        <v>0</v>
      </c>
      <c r="AK220" s="41">
        <v>0</v>
      </c>
      <c r="AL220" s="41">
        <v>0</v>
      </c>
      <c r="AM220" s="41">
        <v>431271120</v>
      </c>
      <c r="AN220" s="41">
        <v>34808</v>
      </c>
      <c r="AO220" s="41">
        <v>34808</v>
      </c>
      <c r="AP220" s="40"/>
      <c r="AQ220" s="36">
        <v>45275</v>
      </c>
      <c r="AR220" s="36"/>
      <c r="AS220" s="36"/>
      <c r="AT220" s="36">
        <v>45285</v>
      </c>
      <c r="AU220" s="36"/>
      <c r="AV220" s="38"/>
      <c r="AW220" s="40" t="s">
        <v>49</v>
      </c>
    </row>
    <row r="221" spans="1:49" ht="48" customHeight="1" x14ac:dyDescent="0.3">
      <c r="A221" s="35" t="s">
        <v>3731</v>
      </c>
      <c r="B221" s="38">
        <v>45107</v>
      </c>
      <c r="C221" s="40">
        <v>1416</v>
      </c>
      <c r="D221" s="39"/>
      <c r="E221" s="1" t="s">
        <v>3732</v>
      </c>
      <c r="F221" s="36">
        <v>45133</v>
      </c>
      <c r="G221" s="37" t="s">
        <v>3733</v>
      </c>
      <c r="H221" s="40" t="s">
        <v>186</v>
      </c>
      <c r="I221" s="40" t="s">
        <v>418</v>
      </c>
      <c r="J221" s="57">
        <v>55478680</v>
      </c>
      <c r="K221" s="41">
        <v>55478680</v>
      </c>
      <c r="L221" s="30">
        <v>55478680</v>
      </c>
      <c r="M221" s="30">
        <v>55478680</v>
      </c>
      <c r="N221" s="40" t="s">
        <v>419</v>
      </c>
      <c r="O221" s="40" t="s">
        <v>420</v>
      </c>
      <c r="P221" s="40" t="s">
        <v>263</v>
      </c>
      <c r="Q221" s="44">
        <v>0</v>
      </c>
      <c r="R221" s="37">
        <v>100</v>
      </c>
      <c r="S221" s="37" t="s">
        <v>229</v>
      </c>
      <c r="T221" s="48">
        <v>500</v>
      </c>
      <c r="U221" s="30">
        <v>13.04</v>
      </c>
      <c r="V221" s="41">
        <v>6520</v>
      </c>
      <c r="W221" s="41">
        <v>4254500</v>
      </c>
      <c r="X221" s="41">
        <v>4254500</v>
      </c>
      <c r="Y221" s="41">
        <v>4254500</v>
      </c>
      <c r="Z221" s="41">
        <v>55478680</v>
      </c>
      <c r="AA221" s="41">
        <v>0</v>
      </c>
      <c r="AB221" s="41">
        <v>0</v>
      </c>
      <c r="AC221" s="41">
        <v>0</v>
      </c>
      <c r="AD221" s="41">
        <v>0</v>
      </c>
      <c r="AE221" s="41">
        <v>0</v>
      </c>
      <c r="AF221" s="41">
        <v>0</v>
      </c>
      <c r="AG221" s="41">
        <v>0</v>
      </c>
      <c r="AH221" s="41">
        <v>0</v>
      </c>
      <c r="AI221" s="41">
        <v>0</v>
      </c>
      <c r="AJ221" s="41">
        <v>0</v>
      </c>
      <c r="AK221" s="41">
        <v>0</v>
      </c>
      <c r="AL221" s="41">
        <v>0</v>
      </c>
      <c r="AM221" s="41">
        <v>55478680</v>
      </c>
      <c r="AN221" s="41">
        <v>8509</v>
      </c>
      <c r="AO221" s="41">
        <v>8509</v>
      </c>
      <c r="AP221" s="40"/>
      <c r="AQ221" s="36">
        <v>45275</v>
      </c>
      <c r="AR221" s="36"/>
      <c r="AS221" s="36"/>
      <c r="AT221" s="36">
        <v>45285</v>
      </c>
      <c r="AU221" s="36"/>
      <c r="AV221" s="38"/>
      <c r="AW221" s="40" t="s">
        <v>49</v>
      </c>
    </row>
    <row r="222" spans="1:49" ht="48" customHeight="1" x14ac:dyDescent="0.3">
      <c r="A222" s="35" t="s">
        <v>3734</v>
      </c>
      <c r="B222" s="38">
        <v>45107</v>
      </c>
      <c r="C222" s="40">
        <v>1416</v>
      </c>
      <c r="D222" s="39"/>
      <c r="E222" s="1" t="s">
        <v>3735</v>
      </c>
      <c r="F222" s="36">
        <v>45133</v>
      </c>
      <c r="G222" s="37" t="s">
        <v>3736</v>
      </c>
      <c r="H222" s="40" t="s">
        <v>387</v>
      </c>
      <c r="I222" s="40" t="s">
        <v>3555</v>
      </c>
      <c r="J222" s="57">
        <v>12559361.49</v>
      </c>
      <c r="K222" s="41">
        <v>12559340.58</v>
      </c>
      <c r="L222" s="30">
        <v>12559340.58</v>
      </c>
      <c r="M222" s="30">
        <v>12559340.58</v>
      </c>
      <c r="N222" s="40" t="s">
        <v>442</v>
      </c>
      <c r="O222" s="40" t="s">
        <v>3737</v>
      </c>
      <c r="P222" s="40" t="s">
        <v>47</v>
      </c>
      <c r="Q222" s="44">
        <v>100</v>
      </c>
      <c r="R222" s="37">
        <v>0</v>
      </c>
      <c r="S222" s="37" t="s">
        <v>219</v>
      </c>
      <c r="T222" s="67">
        <v>1.5</v>
      </c>
      <c r="U222" s="30">
        <v>6006.38</v>
      </c>
      <c r="V222" s="41">
        <v>9009.57</v>
      </c>
      <c r="W222" s="41">
        <v>2091</v>
      </c>
      <c r="X222" s="41">
        <v>2091</v>
      </c>
      <c r="Y222" s="41">
        <v>2091</v>
      </c>
      <c r="Z222" s="41">
        <v>12559340.58</v>
      </c>
      <c r="AA222" s="41">
        <v>0</v>
      </c>
      <c r="AB222" s="41">
        <v>0</v>
      </c>
      <c r="AC222" s="41">
        <v>0</v>
      </c>
      <c r="AD222" s="41">
        <v>0</v>
      </c>
      <c r="AE222" s="41">
        <v>0</v>
      </c>
      <c r="AF222" s="41">
        <v>0</v>
      </c>
      <c r="AG222" s="41">
        <v>0</v>
      </c>
      <c r="AH222" s="41">
        <v>0</v>
      </c>
      <c r="AI222" s="41">
        <v>0</v>
      </c>
      <c r="AJ222" s="41">
        <v>0</v>
      </c>
      <c r="AK222" s="41">
        <v>0</v>
      </c>
      <c r="AL222" s="41">
        <v>0</v>
      </c>
      <c r="AM222" s="41">
        <v>12559340.58</v>
      </c>
      <c r="AN222" s="41">
        <v>1394</v>
      </c>
      <c r="AO222" s="41">
        <v>1394</v>
      </c>
      <c r="AP222" s="40"/>
      <c r="AQ222" s="36">
        <v>45214</v>
      </c>
      <c r="AR222" s="36"/>
      <c r="AS222" s="36"/>
      <c r="AT222" s="36">
        <v>45229</v>
      </c>
      <c r="AU222" s="36"/>
      <c r="AV222" s="38"/>
      <c r="AW222" s="40" t="s">
        <v>49</v>
      </c>
    </row>
    <row r="223" spans="1:49" ht="48" customHeight="1" x14ac:dyDescent="0.3">
      <c r="A223" s="35" t="s">
        <v>3746</v>
      </c>
      <c r="B223" s="38">
        <v>45107</v>
      </c>
      <c r="C223" s="40">
        <v>1416</v>
      </c>
      <c r="D223" s="39"/>
      <c r="E223" s="1" t="s">
        <v>3747</v>
      </c>
      <c r="F223" s="36">
        <v>45135</v>
      </c>
      <c r="G223" s="37" t="s">
        <v>3748</v>
      </c>
      <c r="H223" s="40" t="s">
        <v>353</v>
      </c>
      <c r="I223" s="40" t="s">
        <v>3749</v>
      </c>
      <c r="J223" s="57">
        <v>335766220.01999998</v>
      </c>
      <c r="K223" s="41">
        <v>335766220.01999998</v>
      </c>
      <c r="L223" s="30">
        <v>335766220.01999998</v>
      </c>
      <c r="M223" s="30">
        <v>335766220.01999998</v>
      </c>
      <c r="N223" s="40" t="s">
        <v>355</v>
      </c>
      <c r="O223" s="40" t="s">
        <v>356</v>
      </c>
      <c r="P223" s="40" t="s">
        <v>357</v>
      </c>
      <c r="Q223" s="44">
        <v>0</v>
      </c>
      <c r="R223" s="37">
        <v>100</v>
      </c>
      <c r="S223" s="37" t="s">
        <v>219</v>
      </c>
      <c r="T223" s="67">
        <v>0.7</v>
      </c>
      <c r="U223" s="30">
        <v>263842.7</v>
      </c>
      <c r="V223" s="41">
        <v>184689.88999999998</v>
      </c>
      <c r="W223" s="41">
        <v>1272.5999999999999</v>
      </c>
      <c r="X223" s="41">
        <v>1272.5999999999999</v>
      </c>
      <c r="Y223" s="41">
        <v>1272.5999999999999</v>
      </c>
      <c r="Z223" s="41">
        <v>335766220.01999998</v>
      </c>
      <c r="AA223" s="41">
        <v>0</v>
      </c>
      <c r="AB223" s="41">
        <v>0</v>
      </c>
      <c r="AC223" s="41">
        <v>0</v>
      </c>
      <c r="AD223" s="41">
        <v>0</v>
      </c>
      <c r="AE223" s="41">
        <v>0</v>
      </c>
      <c r="AF223" s="41">
        <v>0</v>
      </c>
      <c r="AG223" s="41">
        <v>0</v>
      </c>
      <c r="AH223" s="41">
        <v>0</v>
      </c>
      <c r="AI223" s="41">
        <v>0</v>
      </c>
      <c r="AJ223" s="41">
        <v>0</v>
      </c>
      <c r="AK223" s="41">
        <v>0</v>
      </c>
      <c r="AL223" s="41">
        <v>0</v>
      </c>
      <c r="AM223" s="41">
        <v>335766220.01999998</v>
      </c>
      <c r="AN223" s="41">
        <v>1818</v>
      </c>
      <c r="AO223" s="41">
        <v>1818</v>
      </c>
      <c r="AP223" s="40"/>
      <c r="AQ223" s="36">
        <v>45184</v>
      </c>
      <c r="AR223" s="36"/>
      <c r="AS223" s="36"/>
      <c r="AT223" s="36">
        <v>45199</v>
      </c>
      <c r="AU223" s="36"/>
      <c r="AV223" s="38"/>
      <c r="AW223" s="40" t="s">
        <v>49</v>
      </c>
    </row>
    <row r="224" spans="1:49" ht="48" customHeight="1" x14ac:dyDescent="0.3">
      <c r="A224" s="35" t="s">
        <v>3790</v>
      </c>
      <c r="B224" s="38">
        <v>45107</v>
      </c>
      <c r="C224" s="40">
        <v>1416</v>
      </c>
      <c r="D224" s="39"/>
      <c r="E224" s="1" t="s">
        <v>3791</v>
      </c>
      <c r="F224" s="36">
        <v>45131</v>
      </c>
      <c r="G224" s="37" t="s">
        <v>3792</v>
      </c>
      <c r="H224" s="40" t="s">
        <v>186</v>
      </c>
      <c r="I224" s="40" t="s">
        <v>3793</v>
      </c>
      <c r="J224" s="57">
        <v>13344939.779999999</v>
      </c>
      <c r="K224" s="41">
        <v>13344939.779999999</v>
      </c>
      <c r="L224" s="30">
        <v>13344939.779999999</v>
      </c>
      <c r="M224" s="30">
        <v>13344939.779999999</v>
      </c>
      <c r="N224" s="40" t="s">
        <v>865</v>
      </c>
      <c r="O224" s="40" t="s">
        <v>3794</v>
      </c>
      <c r="P224" s="40" t="s">
        <v>357</v>
      </c>
      <c r="Q224" s="44">
        <v>0</v>
      </c>
      <c r="R224" s="37">
        <v>100</v>
      </c>
      <c r="S224" s="37" t="s">
        <v>219</v>
      </c>
      <c r="T224" s="48">
        <v>10</v>
      </c>
      <c r="U224" s="30">
        <v>1934.61</v>
      </c>
      <c r="V224" s="41">
        <v>19346.099999999999</v>
      </c>
      <c r="W224" s="41">
        <v>6898</v>
      </c>
      <c r="X224" s="41">
        <v>6898</v>
      </c>
      <c r="Y224" s="41">
        <v>0</v>
      </c>
      <c r="Z224" s="41">
        <v>0</v>
      </c>
      <c r="AA224" s="41">
        <v>6898</v>
      </c>
      <c r="AB224" s="41">
        <v>13344939.779999999</v>
      </c>
      <c r="AC224" s="41">
        <v>0</v>
      </c>
      <c r="AD224" s="41">
        <v>0</v>
      </c>
      <c r="AE224" s="41">
        <v>0</v>
      </c>
      <c r="AF224" s="41">
        <v>0</v>
      </c>
      <c r="AG224" s="41">
        <v>0</v>
      </c>
      <c r="AH224" s="41">
        <v>0</v>
      </c>
      <c r="AI224" s="41">
        <v>0</v>
      </c>
      <c r="AJ224" s="41">
        <v>0</v>
      </c>
      <c r="AK224" s="41">
        <v>0</v>
      </c>
      <c r="AL224" s="41">
        <v>0</v>
      </c>
      <c r="AM224" s="41">
        <v>0</v>
      </c>
      <c r="AN224" s="41">
        <v>689.8</v>
      </c>
      <c r="AO224" s="41">
        <v>690</v>
      </c>
      <c r="AP224" s="40"/>
      <c r="AQ224" s="36">
        <v>45170</v>
      </c>
      <c r="AR224" s="36"/>
      <c r="AS224" s="36"/>
      <c r="AT224" s="36">
        <v>45184</v>
      </c>
      <c r="AU224" s="36"/>
      <c r="AV224" s="38"/>
      <c r="AW224" s="40" t="s">
        <v>49</v>
      </c>
    </row>
    <row r="225" spans="1:49" ht="48" customHeight="1" x14ac:dyDescent="0.3">
      <c r="A225" s="35" t="s">
        <v>3798</v>
      </c>
      <c r="B225" s="38">
        <v>45107</v>
      </c>
      <c r="C225" s="40">
        <v>1416</v>
      </c>
      <c r="D225" s="39"/>
      <c r="E225" s="1" t="s">
        <v>3799</v>
      </c>
      <c r="F225" s="36">
        <v>45131</v>
      </c>
      <c r="G225" s="37" t="s">
        <v>3800</v>
      </c>
      <c r="H225" s="40" t="s">
        <v>186</v>
      </c>
      <c r="I225" s="40" t="s">
        <v>3801</v>
      </c>
      <c r="J225" s="57">
        <v>47423220</v>
      </c>
      <c r="K225" s="41">
        <v>47423220</v>
      </c>
      <c r="L225" s="30">
        <v>47423220</v>
      </c>
      <c r="M225" s="30">
        <v>47423220</v>
      </c>
      <c r="N225" s="40" t="s">
        <v>455</v>
      </c>
      <c r="O225" s="40" t="s">
        <v>456</v>
      </c>
      <c r="P225" s="40" t="s">
        <v>263</v>
      </c>
      <c r="Q225" s="44">
        <v>0</v>
      </c>
      <c r="R225" s="37">
        <v>100</v>
      </c>
      <c r="S225" s="37" t="s">
        <v>3700</v>
      </c>
      <c r="T225" s="48">
        <v>1000</v>
      </c>
      <c r="U225" s="30">
        <v>48.49</v>
      </c>
      <c r="V225" s="41">
        <v>48490</v>
      </c>
      <c r="W225" s="41">
        <v>978000</v>
      </c>
      <c r="X225" s="41">
        <v>978000</v>
      </c>
      <c r="Y225" s="41">
        <v>0</v>
      </c>
      <c r="Z225" s="41">
        <v>0</v>
      </c>
      <c r="AA225" s="41">
        <v>978000</v>
      </c>
      <c r="AB225" s="41">
        <v>47423220</v>
      </c>
      <c r="AC225" s="41">
        <v>0</v>
      </c>
      <c r="AD225" s="41">
        <v>0</v>
      </c>
      <c r="AE225" s="41">
        <v>0</v>
      </c>
      <c r="AF225" s="41">
        <v>0</v>
      </c>
      <c r="AG225" s="41">
        <v>0</v>
      </c>
      <c r="AH225" s="41">
        <v>0</v>
      </c>
      <c r="AI225" s="41">
        <v>0</v>
      </c>
      <c r="AJ225" s="41">
        <v>0</v>
      </c>
      <c r="AK225" s="41">
        <v>0</v>
      </c>
      <c r="AL225" s="41">
        <v>0</v>
      </c>
      <c r="AM225" s="41">
        <v>0</v>
      </c>
      <c r="AN225" s="41">
        <v>978</v>
      </c>
      <c r="AO225" s="41">
        <v>978</v>
      </c>
      <c r="AP225" s="40"/>
      <c r="AQ225" s="36">
        <v>45170</v>
      </c>
      <c r="AR225" s="36"/>
      <c r="AS225" s="36"/>
      <c r="AT225" s="36">
        <v>45184</v>
      </c>
      <c r="AU225" s="36"/>
      <c r="AV225" s="38"/>
      <c r="AW225" s="40" t="s">
        <v>49</v>
      </c>
    </row>
    <row r="226" spans="1:49" ht="48" customHeight="1" x14ac:dyDescent="0.3">
      <c r="A226" s="35" t="s">
        <v>3834</v>
      </c>
      <c r="B226" s="38">
        <v>45107</v>
      </c>
      <c r="C226" s="40">
        <v>1416</v>
      </c>
      <c r="D226" s="39" t="s">
        <v>459</v>
      </c>
      <c r="E226" s="1" t="s">
        <v>3835</v>
      </c>
      <c r="F226" s="36" t="s">
        <v>459</v>
      </c>
      <c r="G226" s="37" t="s">
        <v>459</v>
      </c>
      <c r="H226" s="40" t="s">
        <v>459</v>
      </c>
      <c r="I226" s="40" t="s">
        <v>3836</v>
      </c>
      <c r="J226" s="57">
        <v>7350988.3600000003</v>
      </c>
      <c r="K226" s="41">
        <v>0</v>
      </c>
      <c r="L226" s="30">
        <v>0</v>
      </c>
      <c r="M226" s="30">
        <v>0</v>
      </c>
      <c r="N226" s="40"/>
      <c r="O226" s="40"/>
      <c r="P226" s="40"/>
      <c r="Q226" s="44"/>
      <c r="R226" s="37"/>
      <c r="S226" s="37"/>
      <c r="T226" s="48"/>
      <c r="U226" s="30" t="e">
        <v>#DIV/0!</v>
      </c>
      <c r="V226" s="41" t="e">
        <v>#DIV/0!</v>
      </c>
      <c r="W226" s="41">
        <v>0</v>
      </c>
      <c r="X226" s="41">
        <v>0</v>
      </c>
      <c r="Y226" s="41">
        <v>0</v>
      </c>
      <c r="Z226" s="41" t="e">
        <v>#DIV/0!</v>
      </c>
      <c r="AA226" s="41">
        <v>0</v>
      </c>
      <c r="AB226" s="41" t="e">
        <v>#DIV/0!</v>
      </c>
      <c r="AC226" s="41">
        <v>0</v>
      </c>
      <c r="AD226" s="41">
        <v>0</v>
      </c>
      <c r="AE226" s="41" t="e">
        <v>#DIV/0!</v>
      </c>
      <c r="AF226" s="41">
        <v>0</v>
      </c>
      <c r="AG226" s="41" t="e">
        <v>#DIV/0!</v>
      </c>
      <c r="AH226" s="41">
        <v>0</v>
      </c>
      <c r="AI226" s="41">
        <v>0</v>
      </c>
      <c r="AJ226" s="41">
        <v>0</v>
      </c>
      <c r="AK226" s="41">
        <v>0</v>
      </c>
      <c r="AL226" s="41">
        <v>0</v>
      </c>
      <c r="AM226" s="41" t="e">
        <v>#DIV/0!</v>
      </c>
      <c r="AN226" s="41" t="e">
        <v>#DIV/0!</v>
      </c>
      <c r="AO226" s="41" t="e">
        <v>#DIV/0!</v>
      </c>
      <c r="AP226" s="40"/>
      <c r="AQ226" s="36">
        <v>45170</v>
      </c>
      <c r="AR226" s="36"/>
      <c r="AS226" s="36"/>
      <c r="AT226" s="36"/>
      <c r="AU226" s="36"/>
      <c r="AV226" s="38"/>
      <c r="AW226" s="40"/>
    </row>
    <row r="227" spans="1:49" ht="48" customHeight="1" x14ac:dyDescent="0.3">
      <c r="A227" s="35" t="s">
        <v>3842</v>
      </c>
      <c r="B227" s="38">
        <v>45107</v>
      </c>
      <c r="C227" s="40">
        <v>1416</v>
      </c>
      <c r="D227" s="39"/>
      <c r="E227" s="1" t="s">
        <v>3843</v>
      </c>
      <c r="F227" s="36">
        <v>45131</v>
      </c>
      <c r="G227" s="37" t="s">
        <v>3844</v>
      </c>
      <c r="H227" s="40" t="s">
        <v>224</v>
      </c>
      <c r="I227" s="40" t="s">
        <v>3845</v>
      </c>
      <c r="J227" s="57">
        <v>1601491.2</v>
      </c>
      <c r="K227" s="41">
        <v>1601491.2</v>
      </c>
      <c r="L227" s="30">
        <v>1601491.2</v>
      </c>
      <c r="M227" s="30">
        <v>1601491.2</v>
      </c>
      <c r="N227" s="40" t="s">
        <v>278</v>
      </c>
      <c r="O227" s="40" t="s">
        <v>293</v>
      </c>
      <c r="P227" s="40" t="s">
        <v>47</v>
      </c>
      <c r="Q227" s="44">
        <v>100</v>
      </c>
      <c r="R227" s="37">
        <v>0</v>
      </c>
      <c r="S227" s="37" t="s">
        <v>1964</v>
      </c>
      <c r="T227" s="48">
        <v>60</v>
      </c>
      <c r="U227" s="30">
        <v>111.67999999999999</v>
      </c>
      <c r="V227" s="41">
        <v>6700.7999999999993</v>
      </c>
      <c r="W227" s="41">
        <v>14340</v>
      </c>
      <c r="X227" s="41">
        <v>14340</v>
      </c>
      <c r="Y227" s="41">
        <v>14340</v>
      </c>
      <c r="Z227" s="41">
        <v>1601491.2</v>
      </c>
      <c r="AA227" s="41">
        <v>0</v>
      </c>
      <c r="AB227" s="41">
        <v>0</v>
      </c>
      <c r="AC227" s="41">
        <v>0</v>
      </c>
      <c r="AD227" s="41">
        <v>0</v>
      </c>
      <c r="AE227" s="41">
        <v>0</v>
      </c>
      <c r="AF227" s="41">
        <v>0</v>
      </c>
      <c r="AG227" s="41">
        <v>0</v>
      </c>
      <c r="AH227" s="41">
        <v>0</v>
      </c>
      <c r="AI227" s="41">
        <v>0</v>
      </c>
      <c r="AJ227" s="41">
        <v>0</v>
      </c>
      <c r="AK227" s="41">
        <v>0</v>
      </c>
      <c r="AL227" s="41">
        <v>0</v>
      </c>
      <c r="AM227" s="41">
        <v>1601491.2</v>
      </c>
      <c r="AN227" s="41">
        <v>239</v>
      </c>
      <c r="AO227" s="41">
        <v>239</v>
      </c>
      <c r="AP227" s="40"/>
      <c r="AQ227" s="36">
        <v>45139</v>
      </c>
      <c r="AR227" s="36"/>
      <c r="AS227" s="36"/>
      <c r="AT227" s="36">
        <v>45153</v>
      </c>
      <c r="AU227" s="36"/>
      <c r="AV227" s="38"/>
      <c r="AW227" s="40" t="s">
        <v>49</v>
      </c>
    </row>
    <row r="228" spans="1:49" s="34" customFormat="1" ht="48" customHeight="1" x14ac:dyDescent="0.3">
      <c r="A228" s="35" t="s">
        <v>3850</v>
      </c>
      <c r="B228" s="38">
        <v>45107</v>
      </c>
      <c r="C228" s="40">
        <v>1416</v>
      </c>
      <c r="D228" s="39"/>
      <c r="E228" s="1" t="s">
        <v>3851</v>
      </c>
      <c r="F228" s="36">
        <v>45131</v>
      </c>
      <c r="G228" s="37" t="s">
        <v>3852</v>
      </c>
      <c r="H228" s="40" t="s">
        <v>177</v>
      </c>
      <c r="I228" s="40" t="s">
        <v>2917</v>
      </c>
      <c r="J228" s="57">
        <v>745976.55</v>
      </c>
      <c r="K228" s="41">
        <v>745976.55</v>
      </c>
      <c r="L228" s="30">
        <v>745976.55</v>
      </c>
      <c r="M228" s="30">
        <v>745976.55</v>
      </c>
      <c r="N228" s="40" t="s">
        <v>3853</v>
      </c>
      <c r="O228" s="40" t="s">
        <v>3854</v>
      </c>
      <c r="P228" s="40" t="s">
        <v>47</v>
      </c>
      <c r="Q228" s="44">
        <v>100</v>
      </c>
      <c r="R228" s="37">
        <v>0</v>
      </c>
      <c r="S228" s="37" t="s">
        <v>1964</v>
      </c>
      <c r="T228" s="48">
        <v>15</v>
      </c>
      <c r="U228" s="30">
        <v>1212.97</v>
      </c>
      <c r="V228" s="41">
        <v>18194.55</v>
      </c>
      <c r="W228" s="41">
        <v>615</v>
      </c>
      <c r="X228" s="41">
        <v>615</v>
      </c>
      <c r="Y228" s="41">
        <v>615</v>
      </c>
      <c r="Z228" s="41">
        <v>745976.55</v>
      </c>
      <c r="AA228" s="41">
        <v>0</v>
      </c>
      <c r="AB228" s="41">
        <v>0</v>
      </c>
      <c r="AC228" s="41">
        <v>0</v>
      </c>
      <c r="AD228" s="41">
        <v>0</v>
      </c>
      <c r="AE228" s="41">
        <v>0</v>
      </c>
      <c r="AF228" s="41">
        <v>0</v>
      </c>
      <c r="AG228" s="41">
        <v>0</v>
      </c>
      <c r="AH228" s="41">
        <v>0</v>
      </c>
      <c r="AI228" s="41">
        <v>0</v>
      </c>
      <c r="AJ228" s="41">
        <v>0</v>
      </c>
      <c r="AK228" s="41">
        <v>0</v>
      </c>
      <c r="AL228" s="41">
        <v>0</v>
      </c>
      <c r="AM228" s="41">
        <v>745976.55</v>
      </c>
      <c r="AN228" s="41">
        <v>41</v>
      </c>
      <c r="AO228" s="41">
        <v>41</v>
      </c>
      <c r="AP228" s="40"/>
      <c r="AQ228" s="36">
        <v>45170</v>
      </c>
      <c r="AR228" s="36"/>
      <c r="AS228" s="36"/>
      <c r="AT228" s="36">
        <v>45184</v>
      </c>
      <c r="AU228" s="36"/>
      <c r="AV228" s="38"/>
      <c r="AW228" s="40" t="s">
        <v>49</v>
      </c>
    </row>
  </sheetData>
  <autoFilter ref="A2:BD49"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100" r:id="rId1" xr:uid="{2F1F77AB-4F30-4949-92A7-4EB51F452A4D}"/>
    <hyperlink ref="E14" r:id="rId2" xr:uid="{72241F08-60A5-4921-99C7-40CF29A5DBA0}"/>
    <hyperlink ref="E15" r:id="rId3" xr:uid="{762EF74A-981D-4317-92C0-9D2CAEB3C8A3}"/>
    <hyperlink ref="E6" r:id="rId4" xr:uid="{BA50D4D3-DF4E-4A08-BC64-30176215106C}"/>
    <hyperlink ref="E13" r:id="rId5" xr:uid="{A3314E03-0A8F-4893-80A8-0B6BBB199D85}"/>
    <hyperlink ref="E56" r:id="rId6" xr:uid="{B37D4EDB-FE00-4DD5-8562-59A9C0DE62F1}"/>
    <hyperlink ref="E21" r:id="rId7" xr:uid="{183A0ABE-8F5E-4049-92A1-BB999CBD4FED}"/>
    <hyperlink ref="E30" r:id="rId8" xr:uid="{F949B9E3-8B3C-4FFE-9F4D-4D0B7E875F03}"/>
    <hyperlink ref="E31" r:id="rId9" xr:uid="{68C8404A-978C-4731-9D3E-3331D7B3D40F}"/>
    <hyperlink ref="E52" r:id="rId10" xr:uid="{C63B3658-886A-48A9-86E7-E849EEDE598C}"/>
    <hyperlink ref="E78" r:id="rId11" xr:uid="{94E02902-F7D5-4289-91EF-37D788D027E3}"/>
    <hyperlink ref="E79" r:id="rId12" xr:uid="{94AEAA07-EA9F-4160-ACC2-FE0D5797C64A}"/>
    <hyperlink ref="E71" r:id="rId13" xr:uid="{FE573A0F-58F7-4435-85A7-39887BF3F1D0}"/>
    <hyperlink ref="E91" r:id="rId14" xr:uid="{F1F0B043-308C-47EC-96BE-055EA304B335}"/>
    <hyperlink ref="E12" r:id="rId15" xr:uid="{673DFFB2-D825-4BBE-8838-5DC1A60DA04A}"/>
    <hyperlink ref="E3" r:id="rId16" xr:uid="{B4088EBA-A8F1-40C2-B1BF-562ABE4E7F89}"/>
    <hyperlink ref="E10" r:id="rId17" xr:uid="{84199114-7ED7-4B99-83A2-89AD61BD7C30}"/>
    <hyperlink ref="E11" r:id="rId18" xr:uid="{645AD6C7-4B90-42E9-8D94-60D122CA48D5}"/>
    <hyperlink ref="E96" r:id="rId19" xr:uid="{4F434323-4B6E-49D3-BB4E-8379BF32157B}"/>
    <hyperlink ref="E94" r:id="rId20" xr:uid="{F9F0136D-0D01-4F07-87D2-CE11D6A9344A}"/>
    <hyperlink ref="E92" r:id="rId21" xr:uid="{A0938DB3-15A2-440B-9579-B1F7D991B7F5}"/>
    <hyperlink ref="E4" r:id="rId22" xr:uid="{D59804DF-EA51-4B2B-9D9A-2545BE1AE5C4}"/>
    <hyperlink ref="E5" r:id="rId23" xr:uid="{DDA6D966-75F0-4B4C-9503-90DE30018EB9}"/>
    <hyperlink ref="E8" r:id="rId24" xr:uid="{BC6EEF3E-8FE4-43B9-94AF-5D15CBF6B95A}"/>
    <hyperlink ref="E7" r:id="rId25" xr:uid="{844EB184-3DC2-485E-AD3F-850A7A444BEB}"/>
    <hyperlink ref="E9" r:id="rId26" xr:uid="{607EE9FB-C1D1-485A-8215-C184E48D335D}"/>
    <hyperlink ref="E110" r:id="rId27" xr:uid="{F69F9DC2-93A0-49DD-B3D9-3F54614E141D}"/>
    <hyperlink ref="E111" r:id="rId28" xr:uid="{317EF01F-0DC4-41D5-A1B2-C47899A1EE34}"/>
    <hyperlink ref="E112" r:id="rId29" xr:uid="{E287BFC8-6994-4A05-81D8-828E6C3A1D3A}"/>
    <hyperlink ref="E113" r:id="rId30" xr:uid="{C32EAC2A-1498-45CE-930E-6A618E6DFEC4}"/>
    <hyperlink ref="E114" r:id="rId31" xr:uid="{7CE27F11-0AF1-4FC5-BCA0-0425B730D54D}"/>
    <hyperlink ref="E115" r:id="rId32" xr:uid="{6AC75209-BD80-4B8B-B4BE-BDE990C433E4}"/>
    <hyperlink ref="E116" r:id="rId33" xr:uid="{99C92EA9-AE06-4DA3-8990-2222861DDE8B}"/>
    <hyperlink ref="E117" r:id="rId34" xr:uid="{2CD95DFC-5B33-4927-B61E-3B19031AF49E}"/>
    <hyperlink ref="E118" r:id="rId35" xr:uid="{7B0D1A6A-C9E0-4744-8418-42ACBD12E6B3}"/>
    <hyperlink ref="E119" r:id="rId36" xr:uid="{ED3A619E-98F8-4647-8949-82DB68B81723}"/>
    <hyperlink ref="E120" r:id="rId37" xr:uid="{EE13A40B-B5D0-460E-A62C-A01F4BBF06E4}"/>
    <hyperlink ref="E121" r:id="rId38" xr:uid="{9D12EFA3-568A-4DC9-AB7D-897639EEC05C}"/>
    <hyperlink ref="E122" r:id="rId39" xr:uid="{230BA9C0-6988-477E-90AE-6762605E8DE0}"/>
    <hyperlink ref="E123" r:id="rId40" xr:uid="{A164CC18-9B27-48E4-96DC-983B34E1D040}"/>
    <hyperlink ref="E124" r:id="rId41" xr:uid="{84B55FB5-E931-40B6-A5A7-F6C189454543}"/>
    <hyperlink ref="E125" r:id="rId42" xr:uid="{48AEEDFB-947C-4BA5-B30D-84C40CF67BFF}"/>
    <hyperlink ref="E126" r:id="rId43" xr:uid="{CF2D9F6A-D894-4D5E-894D-7BF70C89ED9C}"/>
    <hyperlink ref="E127" r:id="rId44" xr:uid="{06162463-A418-443F-8D93-7E12B602212B}"/>
    <hyperlink ref="E128" r:id="rId45" xr:uid="{4751A7F2-F75C-4290-AD0B-657C1F998C90}"/>
    <hyperlink ref="E129" r:id="rId46" xr:uid="{23866655-1F21-4EFF-8D9A-F35F459CD1B5}"/>
    <hyperlink ref="E130" r:id="rId47" xr:uid="{6DDC5185-FA18-4379-89F2-F8F8B788EACD}"/>
    <hyperlink ref="E131" r:id="rId48" xr:uid="{082FABD4-2044-4568-8248-D55A50085256}"/>
    <hyperlink ref="E132" r:id="rId49" xr:uid="{A22DFA8A-1146-4E4A-9887-09D3190BEE50}"/>
    <hyperlink ref="E133" r:id="rId50" xr:uid="{26E59A1A-CBBF-403C-BBA1-2F96355B62B7}"/>
    <hyperlink ref="E134" r:id="rId51" xr:uid="{DCE76CB3-CF7C-4168-9B2A-81988A12D126}"/>
    <hyperlink ref="E135" r:id="rId52" xr:uid="{8726A8C9-7202-482E-BA4D-D30803FE92D1}"/>
    <hyperlink ref="E136" r:id="rId53" xr:uid="{F16E1E42-A2AC-41D4-91A4-8F570532541E}"/>
    <hyperlink ref="E137" r:id="rId54" xr:uid="{DFB4A9F4-C904-44CE-93EE-21EA6D21ECAD}"/>
    <hyperlink ref="E138" r:id="rId55" xr:uid="{F1963B67-CA4F-40E7-A53D-F815BD691BB4}"/>
    <hyperlink ref="E139" r:id="rId56" xr:uid="{F17C9CC2-BEFB-46F9-A07A-0E76B6E39D59}"/>
    <hyperlink ref="E140" r:id="rId57" xr:uid="{39808AC8-B2C2-4838-A5E3-20C72C6B8B7A}"/>
    <hyperlink ref="E141" r:id="rId58" xr:uid="{96EED420-7645-476E-8B45-2E290ADAB47C}"/>
    <hyperlink ref="E142" r:id="rId59" xr:uid="{A35EC3C3-CA9D-45B7-9EFA-2170F6A74D8F}"/>
    <hyperlink ref="E143" r:id="rId60" xr:uid="{79CBE796-216D-430E-BD9A-EDF48DC65C0A}"/>
    <hyperlink ref="E145" r:id="rId61" xr:uid="{8417C2D6-6739-41C1-BAD9-4BD93F3800FF}"/>
    <hyperlink ref="E144" r:id="rId62" xr:uid="{209FD341-65E4-4C2C-8828-DCCC50B2CE52}"/>
    <hyperlink ref="E146" r:id="rId63" xr:uid="{FDD983F3-257C-4AE5-9775-8FAB1F55DF10}"/>
    <hyperlink ref="E147" r:id="rId64" xr:uid="{DA06AC83-5B99-4596-82F7-2CD229C95E2E}"/>
    <hyperlink ref="E148" r:id="rId65" xr:uid="{4E910630-97BB-4100-83E0-D7FA2A1C05BF}"/>
    <hyperlink ref="E149" r:id="rId66" xr:uid="{62B9D7F6-8867-4C8F-BEE8-CB54BE379887}"/>
    <hyperlink ref="E150" r:id="rId67" xr:uid="{DFFF4AD4-D343-41B3-9C11-42D73A573067}"/>
    <hyperlink ref="E151" r:id="rId68" xr:uid="{FCFD9D6F-790D-4C49-AAD7-D12057940F1B}"/>
    <hyperlink ref="E152" r:id="rId69" xr:uid="{2C6BDB5A-013F-48AE-A364-5C79D34EC951}"/>
    <hyperlink ref="E153" r:id="rId70" xr:uid="{9106E091-8F04-400F-A7DC-0339A3183A61}"/>
    <hyperlink ref="E154" r:id="rId71" xr:uid="{ACC619C5-BF22-4506-B59C-E2E48D82DCEA}"/>
    <hyperlink ref="E155" r:id="rId72" xr:uid="{40716BB3-A999-4141-BDB1-B06039B21F32}"/>
    <hyperlink ref="E156" r:id="rId73" xr:uid="{28CFA839-FEB0-407D-AA62-6F07D9291FEF}"/>
    <hyperlink ref="E157" r:id="rId74" xr:uid="{1114913A-F170-4ACB-B8C3-8CEC573EB3C0}"/>
    <hyperlink ref="E158" r:id="rId75" xr:uid="{AB3A957C-E5C3-4113-9141-79CD58BB63BF}"/>
    <hyperlink ref="E159" r:id="rId76" xr:uid="{FB9A0BD4-1673-4FEE-8698-7482392A6E54}"/>
    <hyperlink ref="E160" r:id="rId77" xr:uid="{B592E34F-9EF4-46C4-8F60-6CE9DFEB0984}"/>
    <hyperlink ref="E161" r:id="rId78" xr:uid="{4D7CE35F-D2AF-453A-8A95-E377EA1F27E2}"/>
    <hyperlink ref="E162" r:id="rId79" xr:uid="{2256D99B-9BE8-4367-89CC-1B7465DC66A1}"/>
    <hyperlink ref="E163" r:id="rId80" xr:uid="{CA44EA51-31F0-4900-9574-3BF6F387F4D2}"/>
    <hyperlink ref="E164" r:id="rId81" xr:uid="{54B95DD0-059C-49ED-A7BA-71B06EDA89E2}"/>
    <hyperlink ref="E165" r:id="rId82" xr:uid="{4130EFD0-0C4E-4731-9110-A8F860844EDC}"/>
    <hyperlink ref="E166" r:id="rId83" xr:uid="{F25B56AD-E31D-4093-8BFD-8048FFA080B3}"/>
    <hyperlink ref="E167" r:id="rId84" xr:uid="{61E0E99F-F0D3-4F52-A616-4AB58A7F8591}"/>
    <hyperlink ref="E168" r:id="rId85" xr:uid="{4447B550-65C3-480A-BFE2-B74CD2E8D13E}"/>
    <hyperlink ref="E169" r:id="rId86" xr:uid="{38848303-A16F-4505-ADBB-6D6CA93B7ACC}"/>
    <hyperlink ref="E170" r:id="rId87" xr:uid="{313750B2-054D-46AA-B13F-D6DDF04C977D}"/>
    <hyperlink ref="E171" r:id="rId88" xr:uid="{E5282B1A-01FC-4FEE-A467-856CA8078B25}"/>
    <hyperlink ref="E172" r:id="rId89" xr:uid="{0AB7E35F-AE82-4679-AB95-6A9909E7CA36}"/>
    <hyperlink ref="E173" r:id="rId90" xr:uid="{3E20AAF1-C603-4116-819E-35A949DF4525}"/>
    <hyperlink ref="E174" r:id="rId91" xr:uid="{76A05C34-F691-4580-A962-27432200AD74}"/>
    <hyperlink ref="E175" r:id="rId92" xr:uid="{E03C8C20-3E9D-4E8D-BD9F-073B0F0F3BB5}"/>
    <hyperlink ref="E176" r:id="rId93" xr:uid="{C8D15FF1-5662-45D1-9ADB-A4338172E1D7}"/>
    <hyperlink ref="E177" r:id="rId94" xr:uid="{7CC349EF-EF4D-488A-BA82-0CF8767A912D}"/>
    <hyperlink ref="E178" r:id="rId95" xr:uid="{040E89D9-6FD5-4F54-AFEF-2F40C0758999}"/>
    <hyperlink ref="E179" r:id="rId96" xr:uid="{27ADF680-6FAC-4CA8-81B4-24BF3F005291}"/>
    <hyperlink ref="E180" r:id="rId97" xr:uid="{6BDE7D16-E37A-419A-A222-A7B5A5DAACEF}"/>
    <hyperlink ref="E181" r:id="rId98" xr:uid="{157881B7-5B95-44EF-9608-34612C7C59F7}"/>
    <hyperlink ref="E182" r:id="rId99" xr:uid="{7E398343-BAA0-4448-A9A2-6D60A42F255A}"/>
    <hyperlink ref="E183" r:id="rId100" xr:uid="{CED68F02-D04F-4FBA-B356-D26FDD8888D3}"/>
    <hyperlink ref="E184" r:id="rId101" xr:uid="{B26D16B7-59CA-4338-A6C7-9AFF111D90CB}"/>
    <hyperlink ref="E185" r:id="rId102" xr:uid="{0F594F00-13A3-4364-BC14-87B6829E814C}"/>
    <hyperlink ref="E186" r:id="rId103" xr:uid="{CF1B836E-3A61-42F7-A0E1-AA83712A13D5}"/>
    <hyperlink ref="E187" r:id="rId104" xr:uid="{54D5A87B-6233-4BBE-9B49-060BE928B603}"/>
    <hyperlink ref="E188" r:id="rId105" xr:uid="{D24965A7-C4F4-4705-9262-AB37C2107CEF}"/>
    <hyperlink ref="E190" r:id="rId106" xr:uid="{BDD15A43-461A-4AA6-8839-F4444555D52D}"/>
    <hyperlink ref="E191" r:id="rId107" xr:uid="{1ECEBD98-8658-4B12-9B23-252DC7D4E02B}"/>
    <hyperlink ref="E192" r:id="rId108" xr:uid="{B8282C32-F380-4A92-B378-925BEC168DC5}"/>
    <hyperlink ref="E193" r:id="rId109" xr:uid="{A94F0286-D315-4DE3-9470-7C41A0F848C9}"/>
    <hyperlink ref="E194" r:id="rId110" xr:uid="{6BEB36A8-D364-4540-A1F1-F464ABDAAD2D}"/>
    <hyperlink ref="E195" r:id="rId111" xr:uid="{4DC1926D-35B5-4960-9B3F-3A56796AEA56}"/>
    <hyperlink ref="E196" r:id="rId112" xr:uid="{95AD5ACC-F7B3-4903-BA75-03ED9AE9F144}"/>
    <hyperlink ref="E197" r:id="rId113" xr:uid="{6CC2833C-50BC-4B69-83ED-A90ACC5DD28D}"/>
    <hyperlink ref="E198" r:id="rId114" xr:uid="{5C2B1B1E-CEFB-4A34-B182-18298B83007E}"/>
    <hyperlink ref="E199" r:id="rId115" xr:uid="{DE0D0971-5D39-43FA-9776-459B247DA329}"/>
    <hyperlink ref="E200" r:id="rId116" xr:uid="{38FEEDA2-947B-4629-97B6-FE738F7D2C56}"/>
    <hyperlink ref="E201" r:id="rId117" xr:uid="{97DAD3B7-4CED-4A08-9522-AD8BB11FAEE7}"/>
    <hyperlink ref="E202" r:id="rId118" xr:uid="{B3FD8485-C41F-41EC-A760-560E558F27E9}"/>
    <hyperlink ref="E203" r:id="rId119" xr:uid="{94577158-4D44-4942-872E-4FB9725FDCAB}"/>
    <hyperlink ref="E204" r:id="rId120" xr:uid="{54C7B70A-5E88-41D9-87B8-C7E54A317918}"/>
    <hyperlink ref="E205" r:id="rId121" xr:uid="{DA6DA12B-9C45-4611-84FD-A19D2911B11E}"/>
    <hyperlink ref="E206" r:id="rId122" xr:uid="{B53198CD-301C-44E5-9303-825567412A82}"/>
    <hyperlink ref="E207" r:id="rId123" xr:uid="{12E6D4F1-CAB7-4EE1-A242-8CFB52EFE953}"/>
    <hyperlink ref="E208" r:id="rId124" xr:uid="{AB8202DE-BF87-40DF-AE4A-BE993F28E5DE}"/>
    <hyperlink ref="E209" r:id="rId125" xr:uid="{AF46C5C2-32E8-4DC6-8337-E9FBD5D8155F}"/>
    <hyperlink ref="E210" r:id="rId126" xr:uid="{84776E4A-0E11-44BB-B2B3-DBA896F47832}"/>
    <hyperlink ref="E211" r:id="rId127" xr:uid="{61F8C99B-6542-4BE6-A940-C61D19FFA4FE}"/>
    <hyperlink ref="E212" r:id="rId128" xr:uid="{AD3D9A34-CD1A-476E-AE5B-F8D13F44D3F1}"/>
    <hyperlink ref="E213" r:id="rId129" xr:uid="{3932F13D-A9BC-4BA0-9EB5-769E26AE5D25}"/>
    <hyperlink ref="E214" r:id="rId130" xr:uid="{DF018496-E2F6-4823-9F4F-C580975E9449}"/>
    <hyperlink ref="E215" r:id="rId131" xr:uid="{3A3AB4F0-C8C2-4934-8B4A-3D7F27D38B9C}"/>
    <hyperlink ref="E216" r:id="rId132" xr:uid="{3DDED91C-3421-44E2-A9E6-7538F09C5A6B}"/>
    <hyperlink ref="E217" r:id="rId133" xr:uid="{A93C0403-6D6F-4854-BFED-C0B007F1F06B}"/>
    <hyperlink ref="E218" r:id="rId134" xr:uid="{21EF8BBF-A30E-4DCC-B628-5950B62660B4}"/>
    <hyperlink ref="E219" r:id="rId135" xr:uid="{D80C7634-55CC-461A-828D-AE5C61DFDB14}"/>
    <hyperlink ref="E220" r:id="rId136" xr:uid="{BDFB2E91-E842-4DFD-8454-43152AF4934F}"/>
    <hyperlink ref="E221" r:id="rId137" xr:uid="{C8EFE08F-8BEF-40A5-8BE4-33BFDFB8C49F}"/>
    <hyperlink ref="E222" r:id="rId138" xr:uid="{58804C0B-C0B7-4A67-80F5-0119FDED16B8}"/>
    <hyperlink ref="E223" r:id="rId139" xr:uid="{48D18384-558F-4F4E-953E-343B5D02AD3E}"/>
    <hyperlink ref="E224" r:id="rId140" xr:uid="{013B097A-5CE6-4028-986D-B9A4355107D2}"/>
    <hyperlink ref="E225" r:id="rId141" xr:uid="{977A0B68-9E1E-4547-B431-689D287A6E49}"/>
    <hyperlink ref="E226" r:id="rId142" xr:uid="{4AAADFF0-2BBA-40BC-BE1C-E9A570587864}"/>
    <hyperlink ref="E227" r:id="rId143" xr:uid="{0870E348-2F5C-42DF-9BC7-6B26809FAB7B}"/>
    <hyperlink ref="E228" r:id="rId144" xr:uid="{3CE22923-23EC-40AF-AD9F-E26014D61DF4}"/>
  </hyperlinks>
  <pageMargins left="0.7" right="0.7" top="0.75" bottom="0.75" header="0.3" footer="0.3"/>
  <pageSetup paperSize="9" orientation="portrait" r:id="rId1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37D88-95A0-404A-9019-09F5FA1F4C0C}">
  <dimension ref="A1:BD151"/>
  <sheetViews>
    <sheetView zoomScale="70" zoomScaleNormal="70" workbookViewId="0">
      <pane xSplit="1" ySplit="2" topLeftCell="B3" activePane="bottomRight" state="frozen"/>
      <selection pane="topRight" activeCell="D1" sqref="D1"/>
      <selection pane="bottomLeft" activeCell="A3" sqref="A3"/>
      <selection pane="bottomRight" activeCell="C9" sqref="C9"/>
    </sheetView>
  </sheetViews>
  <sheetFormatPr defaultColWidth="9.109375" defaultRowHeight="15.6" x14ac:dyDescent="0.3"/>
  <cols>
    <col min="1" max="1" width="24.6640625" style="19" customWidth="1"/>
    <col min="2" max="2" width="14.44140625" style="71" customWidth="1"/>
    <col min="3" max="3" width="17.109375" style="19" customWidth="1"/>
    <col min="4" max="4" width="24.44140625" style="88" customWidth="1"/>
    <col min="5" max="5" width="22.5546875" style="65" customWidth="1"/>
    <col min="6" max="6" width="13" style="71" customWidth="1"/>
    <col min="7" max="7" width="30.88671875" style="19" customWidth="1"/>
    <col min="8" max="8" width="20.33203125" style="65" customWidth="1"/>
    <col min="9" max="9" width="30.88671875" style="65" customWidth="1"/>
    <col min="10" max="10" width="20.6640625" style="19" customWidth="1"/>
    <col min="11" max="11" width="21.44140625" style="19" customWidth="1"/>
    <col min="12" max="12" width="22" style="62" customWidth="1"/>
    <col min="13" max="13" width="23.33203125" style="19" customWidth="1"/>
    <col min="14" max="14" width="24.44140625" style="65" customWidth="1"/>
    <col min="15" max="15" width="35" style="65" customWidth="1"/>
    <col min="16" max="16" width="14.109375" style="65" customWidth="1"/>
    <col min="17" max="17" width="16.6640625" style="19" customWidth="1"/>
    <col min="18" max="18" width="15.6640625" style="19" customWidth="1"/>
    <col min="19" max="19" width="12.6640625" style="19" customWidth="1"/>
    <col min="20" max="20" width="15.33203125" style="66" customWidth="1"/>
    <col min="21" max="21" width="14.44140625" style="19" customWidth="1"/>
    <col min="22" max="22" width="15.33203125" style="71" customWidth="1"/>
    <col min="23" max="23" width="22.6640625" style="19" customWidth="1"/>
    <col min="24" max="24" width="15.33203125" style="19" customWidth="1"/>
    <col min="25" max="25" width="16.5546875" style="19" customWidth="1"/>
    <col min="26" max="26" width="23.6640625" style="19" customWidth="1"/>
    <col min="27" max="27" width="17.5546875" style="19" customWidth="1"/>
    <col min="28" max="28" width="24.6640625" style="19" customWidth="1"/>
    <col min="29" max="29" width="15.33203125" style="19" customWidth="1"/>
    <col min="30" max="30" width="14" style="19" customWidth="1"/>
    <col min="31" max="31" width="23.6640625" style="19" customWidth="1"/>
    <col min="32" max="32" width="17.5546875" style="19" customWidth="1"/>
    <col min="33" max="33" width="27.88671875" style="19" customWidth="1"/>
    <col min="34" max="34" width="15.33203125" style="62" customWidth="1"/>
    <col min="35" max="35" width="14" style="62" customWidth="1"/>
    <col min="36" max="36" width="23.6640625" style="62" customWidth="1"/>
    <col min="37" max="37" width="17.5546875" style="62" customWidth="1"/>
    <col min="38" max="38" width="24.6640625" style="62" customWidth="1"/>
    <col min="39" max="39" width="28.33203125" style="62" customWidth="1"/>
    <col min="40" max="40" width="24.5546875" style="62" customWidth="1"/>
    <col min="41" max="41" width="21" style="62" customWidth="1"/>
    <col min="42" max="42" width="30.88671875" style="65" customWidth="1"/>
    <col min="43" max="43" width="16.109375" style="71" customWidth="1"/>
    <col min="44" max="44" width="15.109375" style="71" customWidth="1"/>
    <col min="45" max="45" width="13.33203125" style="71" customWidth="1"/>
    <col min="46" max="46" width="13" style="71" customWidth="1"/>
    <col min="47" max="47" width="14.6640625" style="71" customWidth="1"/>
    <col min="48" max="48" width="12.88671875" style="89" customWidth="1"/>
    <col min="49" max="49" width="16.6640625" style="65" customWidth="1"/>
    <col min="50" max="16384" width="9.109375" style="19"/>
  </cols>
  <sheetData>
    <row r="1" spans="1:49"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row>
    <row r="2" spans="1:49" ht="40.950000000000003" customHeight="1" x14ac:dyDescent="0.3">
      <c r="A2" s="20"/>
      <c r="B2" s="21"/>
      <c r="C2" s="24"/>
      <c r="D2" s="25"/>
      <c r="E2" s="23"/>
      <c r="F2" s="22"/>
      <c r="G2" s="23"/>
      <c r="H2" s="23"/>
      <c r="I2" s="26"/>
      <c r="J2" s="27"/>
      <c r="K2" s="26"/>
      <c r="L2" s="26"/>
      <c r="M2" s="26"/>
      <c r="N2" s="28"/>
      <c r="O2" s="28"/>
      <c r="P2" s="28"/>
      <c r="Q2" s="26"/>
      <c r="R2" s="26"/>
      <c r="S2" s="27"/>
      <c r="T2" s="29"/>
      <c r="U2" s="27"/>
      <c r="V2" s="21"/>
      <c r="W2" s="30" t="s">
        <v>27</v>
      </c>
      <c r="X2" s="30" t="s">
        <v>28</v>
      </c>
      <c r="Y2" s="30" t="s">
        <v>29</v>
      </c>
      <c r="Z2" s="30" t="s">
        <v>30</v>
      </c>
      <c r="AA2" s="30" t="s">
        <v>31</v>
      </c>
      <c r="AB2" s="30" t="s">
        <v>32</v>
      </c>
      <c r="AC2" s="30" t="s">
        <v>33</v>
      </c>
      <c r="AD2" s="30" t="s">
        <v>29</v>
      </c>
      <c r="AE2" s="30" t="s">
        <v>30</v>
      </c>
      <c r="AF2" s="30" t="s">
        <v>31</v>
      </c>
      <c r="AG2" s="30" t="s">
        <v>32</v>
      </c>
      <c r="AH2" s="30" t="s">
        <v>34</v>
      </c>
      <c r="AI2" s="30" t="s">
        <v>29</v>
      </c>
      <c r="AJ2" s="30" t="s">
        <v>30</v>
      </c>
      <c r="AK2" s="30" t="s">
        <v>31</v>
      </c>
      <c r="AL2" s="30" t="s">
        <v>32</v>
      </c>
      <c r="AM2" s="30" t="s">
        <v>35</v>
      </c>
      <c r="AN2" s="30" t="s">
        <v>36</v>
      </c>
      <c r="AO2" s="30" t="s">
        <v>37</v>
      </c>
      <c r="AP2" s="31"/>
      <c r="AQ2" s="32" t="s">
        <v>28</v>
      </c>
      <c r="AR2" s="32" t="s">
        <v>33</v>
      </c>
      <c r="AS2" s="32" t="s">
        <v>34</v>
      </c>
      <c r="AT2" s="32" t="s">
        <v>28</v>
      </c>
      <c r="AU2" s="32" t="s">
        <v>33</v>
      </c>
      <c r="AV2" s="32" t="s">
        <v>34</v>
      </c>
      <c r="AW2" s="28"/>
    </row>
    <row r="3" spans="1:49" ht="44.25" customHeight="1" x14ac:dyDescent="0.3">
      <c r="A3" s="49" t="s">
        <v>161</v>
      </c>
      <c r="B3" s="50">
        <v>44267</v>
      </c>
      <c r="C3" s="52" t="s">
        <v>162</v>
      </c>
      <c r="D3" s="49" t="s">
        <v>163</v>
      </c>
      <c r="E3" s="53" t="s">
        <v>164</v>
      </c>
      <c r="F3" s="50">
        <v>44302</v>
      </c>
      <c r="G3" s="49" t="s">
        <v>165</v>
      </c>
      <c r="H3" s="52" t="s">
        <v>166</v>
      </c>
      <c r="I3" s="52" t="s">
        <v>167</v>
      </c>
      <c r="J3" s="41">
        <v>18652328397.779999</v>
      </c>
      <c r="K3" s="41">
        <v>6217442799.2600002</v>
      </c>
      <c r="L3" s="30">
        <v>6217442799.2600002</v>
      </c>
      <c r="M3" s="30">
        <v>18652328397.779999</v>
      </c>
      <c r="N3" s="40" t="s">
        <v>168</v>
      </c>
      <c r="O3" s="40" t="s">
        <v>169</v>
      </c>
      <c r="P3" s="37" t="s">
        <v>47</v>
      </c>
      <c r="Q3" s="44">
        <v>100</v>
      </c>
      <c r="R3" s="37">
        <v>0</v>
      </c>
      <c r="S3" s="48" t="s">
        <v>170</v>
      </c>
      <c r="T3" s="54">
        <v>30</v>
      </c>
      <c r="U3" s="30">
        <v>204.82</v>
      </c>
      <c r="V3" s="43">
        <v>6144.5999999999995</v>
      </c>
      <c r="W3" s="41">
        <v>91066929</v>
      </c>
      <c r="X3" s="41" t="s">
        <v>171</v>
      </c>
      <c r="Y3" s="41"/>
      <c r="Z3" s="41"/>
      <c r="AA3" s="41"/>
      <c r="AB3" s="41"/>
      <c r="AC3" s="41">
        <v>30355643</v>
      </c>
      <c r="AD3" s="41"/>
      <c r="AE3" s="41"/>
      <c r="AF3" s="41"/>
      <c r="AG3" s="41"/>
      <c r="AH3" s="41">
        <v>30355643</v>
      </c>
      <c r="AI3" s="41"/>
      <c r="AJ3" s="41"/>
      <c r="AK3" s="41"/>
      <c r="AL3" s="41"/>
      <c r="AM3" s="41">
        <v>0</v>
      </c>
      <c r="AN3" s="42">
        <v>1011854.7666666667</v>
      </c>
      <c r="AO3" s="55">
        <v>1011855</v>
      </c>
      <c r="AP3" s="41"/>
      <c r="AQ3" s="36">
        <v>44378</v>
      </c>
      <c r="AR3" s="36">
        <v>44651</v>
      </c>
      <c r="AS3" s="36">
        <v>45016</v>
      </c>
      <c r="AT3" s="36">
        <v>44392</v>
      </c>
      <c r="AU3" s="36">
        <v>44666</v>
      </c>
      <c r="AV3" s="38">
        <v>45031</v>
      </c>
      <c r="AW3" s="56" t="s">
        <v>172</v>
      </c>
    </row>
    <row r="4" spans="1:49" ht="119.25" customHeight="1" x14ac:dyDescent="0.3">
      <c r="A4" s="49" t="s">
        <v>173</v>
      </c>
      <c r="B4" s="50">
        <v>44267</v>
      </c>
      <c r="C4" s="52" t="s">
        <v>162</v>
      </c>
      <c r="D4" s="49" t="s">
        <v>174</v>
      </c>
      <c r="E4" s="53" t="s">
        <v>175</v>
      </c>
      <c r="F4" s="50">
        <v>44305</v>
      </c>
      <c r="G4" s="49" t="s">
        <v>176</v>
      </c>
      <c r="H4" s="37" t="s">
        <v>177</v>
      </c>
      <c r="I4" s="52" t="s">
        <v>178</v>
      </c>
      <c r="J4" s="42">
        <v>13544179118.040001</v>
      </c>
      <c r="K4" s="42">
        <v>4514726372.6800003</v>
      </c>
      <c r="L4" s="43">
        <v>4515280448.6800003</v>
      </c>
      <c r="M4" s="43">
        <v>13544733194.040001</v>
      </c>
      <c r="N4" s="52" t="s">
        <v>179</v>
      </c>
      <c r="O4" s="52" t="s">
        <v>180</v>
      </c>
      <c r="P4" s="51" t="s">
        <v>47</v>
      </c>
      <c r="Q4" s="55">
        <v>100</v>
      </c>
      <c r="R4" s="51">
        <v>0</v>
      </c>
      <c r="S4" s="59" t="s">
        <v>170</v>
      </c>
      <c r="T4" s="52">
        <v>60</v>
      </c>
      <c r="U4" s="43">
        <v>307.82</v>
      </c>
      <c r="V4" s="43">
        <v>18469.2</v>
      </c>
      <c r="W4" s="42">
        <v>44002122</v>
      </c>
      <c r="X4" s="42">
        <v>6360000</v>
      </c>
      <c r="Y4" s="42"/>
      <c r="Z4" s="42"/>
      <c r="AA4" s="42"/>
      <c r="AB4" s="42"/>
      <c r="AC4" s="42">
        <v>4200000</v>
      </c>
      <c r="AD4" s="42"/>
      <c r="AE4" s="42"/>
      <c r="AF4" s="42"/>
      <c r="AG4" s="42"/>
      <c r="AH4" s="42">
        <v>4106774</v>
      </c>
      <c r="AI4" s="42"/>
      <c r="AJ4" s="42"/>
      <c r="AK4" s="42"/>
      <c r="AL4" s="42"/>
      <c r="AM4" s="41">
        <v>0</v>
      </c>
      <c r="AN4" s="42">
        <v>70000</v>
      </c>
      <c r="AO4" s="55">
        <v>70000</v>
      </c>
      <c r="AP4" s="42"/>
      <c r="AQ4" s="50">
        <v>44561</v>
      </c>
      <c r="AR4" s="50">
        <v>44926</v>
      </c>
      <c r="AS4" s="50">
        <v>45291</v>
      </c>
      <c r="AT4" s="50">
        <v>44561</v>
      </c>
      <c r="AU4" s="50">
        <v>44926</v>
      </c>
      <c r="AV4" s="58">
        <v>45291</v>
      </c>
      <c r="AW4" s="56" t="s">
        <v>181</v>
      </c>
    </row>
    <row r="5" spans="1:49" ht="44.25" customHeight="1" x14ac:dyDescent="0.3">
      <c r="A5" s="49" t="s">
        <v>182</v>
      </c>
      <c r="B5" s="50">
        <v>44267</v>
      </c>
      <c r="C5" s="52" t="s">
        <v>162</v>
      </c>
      <c r="D5" s="49" t="s">
        <v>183</v>
      </c>
      <c r="E5" s="53" t="s">
        <v>184</v>
      </c>
      <c r="F5" s="50">
        <v>44306</v>
      </c>
      <c r="G5" s="49" t="s">
        <v>185</v>
      </c>
      <c r="H5" s="37" t="s">
        <v>186</v>
      </c>
      <c r="I5" s="52" t="s">
        <v>187</v>
      </c>
      <c r="J5" s="42">
        <v>8269045237.5600004</v>
      </c>
      <c r="K5" s="42">
        <v>2756348412.52</v>
      </c>
      <c r="L5" s="43">
        <v>2419915673.1999998</v>
      </c>
      <c r="M5" s="43">
        <v>7622532400.5799999</v>
      </c>
      <c r="N5" s="52" t="s">
        <v>188</v>
      </c>
      <c r="O5" s="52" t="s">
        <v>189</v>
      </c>
      <c r="P5" s="51" t="s">
        <v>190</v>
      </c>
      <c r="Q5" s="55">
        <v>0</v>
      </c>
      <c r="R5" s="51">
        <v>100</v>
      </c>
      <c r="S5" s="59" t="s">
        <v>170</v>
      </c>
      <c r="T5" s="52">
        <v>60</v>
      </c>
      <c r="U5" s="43">
        <v>201.97</v>
      </c>
      <c r="V5" s="43">
        <v>12118.2</v>
      </c>
      <c r="W5" s="42">
        <v>37740914</v>
      </c>
      <c r="X5" s="42">
        <v>13647316</v>
      </c>
      <c r="Y5" s="42"/>
      <c r="Z5" s="42"/>
      <c r="AA5" s="42"/>
      <c r="AB5" s="42"/>
      <c r="AC5" s="42">
        <v>12112038</v>
      </c>
      <c r="AD5" s="42"/>
      <c r="AE5" s="42"/>
      <c r="AF5" s="42"/>
      <c r="AG5" s="42"/>
      <c r="AH5" s="42">
        <v>11981560</v>
      </c>
      <c r="AI5" s="42"/>
      <c r="AJ5" s="42"/>
      <c r="AK5" s="42"/>
      <c r="AL5" s="42"/>
      <c r="AM5" s="41">
        <v>0</v>
      </c>
      <c r="AN5" s="42">
        <v>201867.3</v>
      </c>
      <c r="AO5" s="55">
        <v>201868</v>
      </c>
      <c r="AP5" s="42"/>
      <c r="AQ5" s="50">
        <v>44530</v>
      </c>
      <c r="AR5" s="50">
        <v>44774</v>
      </c>
      <c r="AS5" s="50">
        <v>45108</v>
      </c>
      <c r="AT5" s="50">
        <v>44545</v>
      </c>
      <c r="AU5" s="50">
        <v>44788</v>
      </c>
      <c r="AV5" s="58">
        <v>45122</v>
      </c>
      <c r="AW5" s="56" t="s">
        <v>191</v>
      </c>
    </row>
    <row r="6" spans="1:49" ht="44.25" customHeight="1" x14ac:dyDescent="0.3">
      <c r="A6" s="39" t="s">
        <v>192</v>
      </c>
      <c r="B6" s="36">
        <v>44301</v>
      </c>
      <c r="C6" s="37" t="s">
        <v>162</v>
      </c>
      <c r="D6" s="39" t="s">
        <v>193</v>
      </c>
      <c r="E6" s="60" t="s">
        <v>194</v>
      </c>
      <c r="F6" s="36">
        <v>44368</v>
      </c>
      <c r="G6" s="39" t="s">
        <v>195</v>
      </c>
      <c r="H6" s="51" t="s">
        <v>177</v>
      </c>
      <c r="I6" s="40" t="s">
        <v>196</v>
      </c>
      <c r="J6" s="41">
        <v>702951908.88</v>
      </c>
      <c r="K6" s="41">
        <v>234317302.96000001</v>
      </c>
      <c r="L6" s="30">
        <v>234317248.88</v>
      </c>
      <c r="M6" s="30">
        <v>702951854.79999995</v>
      </c>
      <c r="N6" s="40" t="s">
        <v>197</v>
      </c>
      <c r="O6" s="40" t="s">
        <v>198</v>
      </c>
      <c r="P6" s="37" t="s">
        <v>199</v>
      </c>
      <c r="Q6" s="44">
        <v>0</v>
      </c>
      <c r="R6" s="37">
        <v>100</v>
      </c>
      <c r="S6" s="48" t="s">
        <v>200</v>
      </c>
      <c r="T6" s="54">
        <v>112</v>
      </c>
      <c r="U6" s="30" t="s">
        <v>201</v>
      </c>
      <c r="V6" s="54" t="s">
        <v>202</v>
      </c>
      <c r="W6" s="41">
        <v>417514</v>
      </c>
      <c r="X6" s="41">
        <v>124024</v>
      </c>
      <c r="Y6" s="41"/>
      <c r="Z6" s="41"/>
      <c r="AA6" s="41"/>
      <c r="AB6" s="41"/>
      <c r="AC6" s="41">
        <v>124024</v>
      </c>
      <c r="AD6" s="41"/>
      <c r="AE6" s="41"/>
      <c r="AF6" s="41"/>
      <c r="AG6" s="41"/>
      <c r="AH6" s="41">
        <v>169466</v>
      </c>
      <c r="AI6" s="41"/>
      <c r="AJ6" s="41"/>
      <c r="AK6" s="41"/>
      <c r="AL6" s="41"/>
      <c r="AM6" s="41">
        <v>0</v>
      </c>
      <c r="AN6" s="42">
        <v>1513.0892857142858</v>
      </c>
      <c r="AO6" s="55">
        <v>1514</v>
      </c>
      <c r="AP6" s="41"/>
      <c r="AQ6" s="36">
        <v>44392</v>
      </c>
      <c r="AR6" s="36">
        <v>44652</v>
      </c>
      <c r="AS6" s="36">
        <v>45017</v>
      </c>
      <c r="AT6" s="36">
        <v>44409</v>
      </c>
      <c r="AU6" s="36">
        <v>44696</v>
      </c>
      <c r="AV6" s="38">
        <v>45061</v>
      </c>
      <c r="AW6" s="56" t="s">
        <v>87</v>
      </c>
    </row>
    <row r="7" spans="1:49" ht="44.25" customHeight="1" x14ac:dyDescent="0.3">
      <c r="A7" s="49" t="s">
        <v>203</v>
      </c>
      <c r="B7" s="36">
        <v>44301</v>
      </c>
      <c r="C7" s="37" t="s">
        <v>162</v>
      </c>
      <c r="D7" s="39" t="s">
        <v>204</v>
      </c>
      <c r="E7" s="60" t="s">
        <v>205</v>
      </c>
      <c r="F7" s="36">
        <v>44368</v>
      </c>
      <c r="G7" s="39" t="s">
        <v>206</v>
      </c>
      <c r="H7" s="51" t="s">
        <v>177</v>
      </c>
      <c r="I7" s="40" t="s">
        <v>207</v>
      </c>
      <c r="J7" s="41">
        <v>565377971.51999998</v>
      </c>
      <c r="K7" s="41">
        <v>188459323.84</v>
      </c>
      <c r="L7" s="30">
        <v>188459323.84</v>
      </c>
      <c r="M7" s="30">
        <v>565377971.51999998</v>
      </c>
      <c r="N7" s="40" t="s">
        <v>208</v>
      </c>
      <c r="O7" s="40" t="s">
        <v>209</v>
      </c>
      <c r="P7" s="37" t="s">
        <v>47</v>
      </c>
      <c r="Q7" s="44">
        <v>100</v>
      </c>
      <c r="R7" s="37">
        <v>0</v>
      </c>
      <c r="S7" s="48" t="s">
        <v>200</v>
      </c>
      <c r="T7" s="40">
        <v>56</v>
      </c>
      <c r="U7" s="30">
        <v>1044.6400000000001</v>
      </c>
      <c r="V7" s="43">
        <v>58499.840000000004</v>
      </c>
      <c r="W7" s="41">
        <v>541218</v>
      </c>
      <c r="X7" s="41">
        <v>180406</v>
      </c>
      <c r="Y7" s="41"/>
      <c r="Z7" s="41"/>
      <c r="AA7" s="41"/>
      <c r="AB7" s="41"/>
      <c r="AC7" s="41">
        <v>180406</v>
      </c>
      <c r="AD7" s="41"/>
      <c r="AE7" s="41"/>
      <c r="AF7" s="41"/>
      <c r="AG7" s="41"/>
      <c r="AH7" s="41">
        <v>180406</v>
      </c>
      <c r="AI7" s="41"/>
      <c r="AJ7" s="41"/>
      <c r="AK7" s="41"/>
      <c r="AL7" s="41"/>
      <c r="AM7" s="41">
        <v>0</v>
      </c>
      <c r="AN7" s="42">
        <v>3221.5357142857142</v>
      </c>
      <c r="AO7" s="55">
        <v>3222</v>
      </c>
      <c r="AP7" s="41"/>
      <c r="AQ7" s="36">
        <v>44392</v>
      </c>
      <c r="AR7" s="36">
        <v>44652</v>
      </c>
      <c r="AS7" s="36">
        <v>45017</v>
      </c>
      <c r="AT7" s="36">
        <v>44409</v>
      </c>
      <c r="AU7" s="36">
        <v>44696</v>
      </c>
      <c r="AV7" s="38">
        <v>45061</v>
      </c>
      <c r="AW7" s="56" t="s">
        <v>210</v>
      </c>
    </row>
    <row r="8" spans="1:49" ht="72" x14ac:dyDescent="0.3">
      <c r="A8" s="39" t="s">
        <v>903</v>
      </c>
      <c r="B8" s="36">
        <v>44719</v>
      </c>
      <c r="C8" s="37" t="s">
        <v>162</v>
      </c>
      <c r="D8" s="39" t="s">
        <v>904</v>
      </c>
      <c r="E8" s="1" t="s">
        <v>905</v>
      </c>
      <c r="F8" s="36">
        <v>44746</v>
      </c>
      <c r="G8" s="37" t="s">
        <v>906</v>
      </c>
      <c r="H8" s="40" t="s">
        <v>907</v>
      </c>
      <c r="I8" s="40" t="s">
        <v>908</v>
      </c>
      <c r="J8" s="41">
        <v>255175.8</v>
      </c>
      <c r="K8" s="41">
        <v>255175.8</v>
      </c>
      <c r="L8" s="30">
        <v>255175.8</v>
      </c>
      <c r="M8" s="30">
        <v>255175.8</v>
      </c>
      <c r="N8" s="36" t="s">
        <v>909</v>
      </c>
      <c r="O8" s="40" t="s">
        <v>910</v>
      </c>
      <c r="P8" s="40" t="s">
        <v>218</v>
      </c>
      <c r="Q8" s="44">
        <v>0</v>
      </c>
      <c r="R8" s="37">
        <v>100</v>
      </c>
      <c r="S8" s="48" t="s">
        <v>200</v>
      </c>
      <c r="T8" s="37">
        <v>60</v>
      </c>
      <c r="U8" s="30">
        <v>184.91</v>
      </c>
      <c r="V8" s="41">
        <v>11094.6</v>
      </c>
      <c r="W8" s="41">
        <v>1380</v>
      </c>
      <c r="X8" s="41">
        <v>1380</v>
      </c>
      <c r="Y8" s="41"/>
      <c r="Z8" s="41"/>
      <c r="AA8" s="41"/>
      <c r="AB8" s="41"/>
      <c r="AC8" s="41"/>
      <c r="AD8" s="41"/>
      <c r="AE8" s="41"/>
      <c r="AF8" s="41"/>
      <c r="AG8" s="41"/>
      <c r="AH8" s="41"/>
      <c r="AI8" s="41"/>
      <c r="AJ8" s="41"/>
      <c r="AK8" s="41"/>
      <c r="AL8" s="41"/>
      <c r="AM8" s="41">
        <v>0</v>
      </c>
      <c r="AN8" s="41">
        <v>23</v>
      </c>
      <c r="AO8" s="41">
        <v>23</v>
      </c>
      <c r="AP8" s="40"/>
      <c r="AQ8" s="36">
        <v>44986</v>
      </c>
      <c r="AR8" s="36"/>
      <c r="AS8" s="36"/>
      <c r="AT8" s="36">
        <v>45000</v>
      </c>
      <c r="AU8" s="36"/>
      <c r="AV8" s="38"/>
      <c r="AW8" s="40" t="s">
        <v>87</v>
      </c>
    </row>
    <row r="9" spans="1:49" ht="117.75" customHeight="1" x14ac:dyDescent="0.3">
      <c r="A9" s="39" t="s">
        <v>911</v>
      </c>
      <c r="B9" s="36">
        <v>44719</v>
      </c>
      <c r="C9" s="37" t="s">
        <v>162</v>
      </c>
      <c r="D9" s="39" t="s">
        <v>912</v>
      </c>
      <c r="E9" s="1" t="s">
        <v>913</v>
      </c>
      <c r="F9" s="36">
        <v>44746</v>
      </c>
      <c r="G9" s="39" t="s">
        <v>914</v>
      </c>
      <c r="H9" s="40" t="s">
        <v>571</v>
      </c>
      <c r="I9" s="40" t="s">
        <v>915</v>
      </c>
      <c r="J9" s="41">
        <v>16246512</v>
      </c>
      <c r="K9" s="41">
        <v>16246512</v>
      </c>
      <c r="L9" s="30">
        <v>16246512</v>
      </c>
      <c r="M9" s="30">
        <v>16246512</v>
      </c>
      <c r="N9" s="40" t="s">
        <v>916</v>
      </c>
      <c r="O9" s="40" t="s">
        <v>917</v>
      </c>
      <c r="P9" s="40" t="s">
        <v>47</v>
      </c>
      <c r="Q9" s="44">
        <v>100</v>
      </c>
      <c r="R9" s="37">
        <v>0</v>
      </c>
      <c r="S9" s="48" t="s">
        <v>200</v>
      </c>
      <c r="T9" s="48">
        <v>120</v>
      </c>
      <c r="U9" s="30">
        <v>65.849999999999994</v>
      </c>
      <c r="V9" s="41">
        <v>7901.9999999999991</v>
      </c>
      <c r="W9" s="41">
        <v>246720</v>
      </c>
      <c r="X9" s="41">
        <v>246720</v>
      </c>
      <c r="Y9" s="41"/>
      <c r="Z9" s="41"/>
      <c r="AA9" s="41"/>
      <c r="AB9" s="41"/>
      <c r="AC9" s="41"/>
      <c r="AD9" s="41"/>
      <c r="AE9" s="41"/>
      <c r="AF9" s="41"/>
      <c r="AG9" s="41"/>
      <c r="AH9" s="41"/>
      <c r="AI9" s="41"/>
      <c r="AJ9" s="41"/>
      <c r="AK9" s="41"/>
      <c r="AL9" s="41"/>
      <c r="AM9" s="41">
        <v>0</v>
      </c>
      <c r="AN9" s="41">
        <v>2056</v>
      </c>
      <c r="AO9" s="41">
        <v>2056</v>
      </c>
      <c r="AP9" s="40"/>
      <c r="AQ9" s="36">
        <v>44986</v>
      </c>
      <c r="AR9" s="36"/>
      <c r="AS9" s="36"/>
      <c r="AT9" s="36">
        <v>45000</v>
      </c>
      <c r="AU9" s="36"/>
      <c r="AV9" s="38"/>
      <c r="AW9" s="40" t="s">
        <v>87</v>
      </c>
    </row>
    <row r="10" spans="1:49" ht="109.2" x14ac:dyDescent="0.3">
      <c r="A10" s="39" t="s">
        <v>918</v>
      </c>
      <c r="B10" s="36">
        <v>44719</v>
      </c>
      <c r="C10" s="37" t="s">
        <v>162</v>
      </c>
      <c r="D10" s="39" t="s">
        <v>919</v>
      </c>
      <c r="E10" s="1" t="s">
        <v>920</v>
      </c>
      <c r="F10" s="36">
        <v>44746</v>
      </c>
      <c r="G10" s="37" t="s">
        <v>921</v>
      </c>
      <c r="H10" s="40" t="s">
        <v>571</v>
      </c>
      <c r="I10" s="40" t="s">
        <v>922</v>
      </c>
      <c r="J10" s="41">
        <v>9815754</v>
      </c>
      <c r="K10" s="41">
        <v>9815754</v>
      </c>
      <c r="L10" s="30">
        <v>9815754</v>
      </c>
      <c r="M10" s="30">
        <v>9815754</v>
      </c>
      <c r="N10" s="40" t="s">
        <v>923</v>
      </c>
      <c r="O10" s="40" t="s">
        <v>924</v>
      </c>
      <c r="P10" s="40" t="s">
        <v>47</v>
      </c>
      <c r="Q10" s="44">
        <v>100</v>
      </c>
      <c r="R10" s="37">
        <v>0</v>
      </c>
      <c r="S10" s="37" t="s">
        <v>200</v>
      </c>
      <c r="T10" s="48">
        <v>60</v>
      </c>
      <c r="U10" s="30">
        <v>1.83</v>
      </c>
      <c r="V10" s="41">
        <v>109.80000000000001</v>
      </c>
      <c r="W10" s="41">
        <v>5363800</v>
      </c>
      <c r="X10" s="41">
        <v>5363800</v>
      </c>
      <c r="Y10" s="41"/>
      <c r="Z10" s="41"/>
      <c r="AA10" s="41"/>
      <c r="AB10" s="41"/>
      <c r="AC10" s="41"/>
      <c r="AD10" s="41"/>
      <c r="AE10" s="41"/>
      <c r="AF10" s="41"/>
      <c r="AG10" s="41"/>
      <c r="AH10" s="41"/>
      <c r="AI10" s="41"/>
      <c r="AJ10" s="41"/>
      <c r="AK10" s="41"/>
      <c r="AL10" s="41"/>
      <c r="AM10" s="41">
        <v>0</v>
      </c>
      <c r="AN10" s="41">
        <v>89396.666666666672</v>
      </c>
      <c r="AO10" s="41">
        <v>89397</v>
      </c>
      <c r="AP10" s="40"/>
      <c r="AQ10" s="36">
        <v>44986</v>
      </c>
      <c r="AR10" s="36"/>
      <c r="AS10" s="36"/>
      <c r="AT10" s="36">
        <v>45000</v>
      </c>
      <c r="AU10" s="36"/>
      <c r="AV10" s="38"/>
      <c r="AW10" s="40" t="s">
        <v>87</v>
      </c>
    </row>
    <row r="11" spans="1:49" ht="72" x14ac:dyDescent="0.3">
      <c r="A11" s="39" t="s">
        <v>953</v>
      </c>
      <c r="B11" s="36">
        <v>44721</v>
      </c>
      <c r="C11" s="37" t="s">
        <v>162</v>
      </c>
      <c r="D11" s="39" t="s">
        <v>954</v>
      </c>
      <c r="E11" s="1" t="s">
        <v>955</v>
      </c>
      <c r="F11" s="36">
        <v>44746</v>
      </c>
      <c r="G11" s="39" t="s">
        <v>956</v>
      </c>
      <c r="H11" s="40" t="s">
        <v>177</v>
      </c>
      <c r="I11" s="40" t="s">
        <v>957</v>
      </c>
      <c r="J11" s="41">
        <v>113573134.2</v>
      </c>
      <c r="K11" s="41">
        <v>97072971</v>
      </c>
      <c r="L11" s="30">
        <v>97072971</v>
      </c>
      <c r="M11" s="30">
        <v>97072971</v>
      </c>
      <c r="N11" s="40" t="s">
        <v>958</v>
      </c>
      <c r="O11" s="40" t="s">
        <v>959</v>
      </c>
      <c r="P11" s="40" t="s">
        <v>47</v>
      </c>
      <c r="Q11" s="44">
        <v>100</v>
      </c>
      <c r="R11" s="37">
        <v>0</v>
      </c>
      <c r="S11" s="48" t="s">
        <v>200</v>
      </c>
      <c r="T11" s="48">
        <v>30</v>
      </c>
      <c r="U11" s="30">
        <v>21.65</v>
      </c>
      <c r="V11" s="41">
        <v>649.5</v>
      </c>
      <c r="W11" s="41">
        <v>4483740</v>
      </c>
      <c r="X11" s="41">
        <v>4483740</v>
      </c>
      <c r="Y11" s="41"/>
      <c r="Z11" s="41"/>
      <c r="AA11" s="41"/>
      <c r="AB11" s="41"/>
      <c r="AC11" s="41"/>
      <c r="AD11" s="41"/>
      <c r="AE11" s="41"/>
      <c r="AF11" s="41"/>
      <c r="AG11" s="41"/>
      <c r="AH11" s="41"/>
      <c r="AI11" s="41"/>
      <c r="AJ11" s="41"/>
      <c r="AK11" s="41"/>
      <c r="AL11" s="41"/>
      <c r="AM11" s="41">
        <v>0</v>
      </c>
      <c r="AN11" s="41">
        <v>149458</v>
      </c>
      <c r="AO11" s="41">
        <v>149458</v>
      </c>
      <c r="AP11" s="40"/>
      <c r="AQ11" s="36">
        <v>44986</v>
      </c>
      <c r="AR11" s="36"/>
      <c r="AS11" s="36"/>
      <c r="AT11" s="36">
        <v>45000</v>
      </c>
      <c r="AU11" s="36"/>
      <c r="AV11" s="38"/>
      <c r="AW11" s="40" t="s">
        <v>87</v>
      </c>
    </row>
    <row r="12" spans="1:49" ht="63" customHeight="1" x14ac:dyDescent="0.3">
      <c r="A12" s="39" t="s">
        <v>967</v>
      </c>
      <c r="B12" s="36">
        <v>44721</v>
      </c>
      <c r="C12" s="37" t="s">
        <v>162</v>
      </c>
      <c r="D12" s="39" t="s">
        <v>968</v>
      </c>
      <c r="E12" s="1" t="s">
        <v>969</v>
      </c>
      <c r="F12" s="36">
        <v>44746</v>
      </c>
      <c r="G12" s="37" t="s">
        <v>970</v>
      </c>
      <c r="H12" s="40" t="s">
        <v>971</v>
      </c>
      <c r="I12" s="40" t="s">
        <v>972</v>
      </c>
      <c r="J12" s="41">
        <v>22402406.399999999</v>
      </c>
      <c r="K12" s="41">
        <v>22402406.399999999</v>
      </c>
      <c r="L12" s="30">
        <v>22402406.399999999</v>
      </c>
      <c r="M12" s="30">
        <v>22402406.399999999</v>
      </c>
      <c r="N12" s="36" t="s">
        <v>973</v>
      </c>
      <c r="O12" s="40" t="s">
        <v>974</v>
      </c>
      <c r="P12" s="40" t="s">
        <v>47</v>
      </c>
      <c r="Q12" s="44">
        <v>100</v>
      </c>
      <c r="R12" s="37">
        <v>0</v>
      </c>
      <c r="S12" s="48" t="s">
        <v>200</v>
      </c>
      <c r="T12" s="37">
        <v>60</v>
      </c>
      <c r="U12" s="30">
        <v>28.159999999999997</v>
      </c>
      <c r="V12" s="41">
        <v>1689.6</v>
      </c>
      <c r="W12" s="41">
        <v>795540</v>
      </c>
      <c r="X12" s="41">
        <v>795540</v>
      </c>
      <c r="Y12" s="41"/>
      <c r="Z12" s="41"/>
      <c r="AA12" s="41"/>
      <c r="AB12" s="41"/>
      <c r="AC12" s="41"/>
      <c r="AD12" s="41"/>
      <c r="AE12" s="41"/>
      <c r="AF12" s="41"/>
      <c r="AG12" s="41"/>
      <c r="AH12" s="41"/>
      <c r="AI12" s="41"/>
      <c r="AJ12" s="41"/>
      <c r="AK12" s="41"/>
      <c r="AL12" s="41"/>
      <c r="AM12" s="41">
        <v>0</v>
      </c>
      <c r="AN12" s="41">
        <v>13259</v>
      </c>
      <c r="AO12" s="41">
        <v>13259</v>
      </c>
      <c r="AP12" s="40"/>
      <c r="AQ12" s="36">
        <v>44986</v>
      </c>
      <c r="AR12" s="36"/>
      <c r="AS12" s="36"/>
      <c r="AT12" s="36">
        <v>45000</v>
      </c>
      <c r="AU12" s="36"/>
      <c r="AV12" s="38"/>
      <c r="AW12" s="40" t="s">
        <v>87</v>
      </c>
    </row>
    <row r="13" spans="1:49" ht="72" x14ac:dyDescent="0.3">
      <c r="A13" s="39" t="s">
        <v>975</v>
      </c>
      <c r="B13" s="36">
        <v>44721</v>
      </c>
      <c r="C13" s="37" t="s">
        <v>162</v>
      </c>
      <c r="D13" s="39" t="s">
        <v>976</v>
      </c>
      <c r="E13" s="1" t="s">
        <v>977</v>
      </c>
      <c r="F13" s="36">
        <v>44746</v>
      </c>
      <c r="G13" s="39" t="s">
        <v>978</v>
      </c>
      <c r="H13" s="40" t="s">
        <v>177</v>
      </c>
      <c r="I13" s="40" t="s">
        <v>979</v>
      </c>
      <c r="J13" s="41">
        <v>35863167.600000001</v>
      </c>
      <c r="K13" s="41">
        <v>35863167.600000001</v>
      </c>
      <c r="L13" s="30">
        <v>35863167.600000001</v>
      </c>
      <c r="M13" s="30">
        <v>35863167.600000001</v>
      </c>
      <c r="N13" s="40" t="s">
        <v>980</v>
      </c>
      <c r="O13" s="40" t="s">
        <v>981</v>
      </c>
      <c r="P13" s="40" t="s">
        <v>199</v>
      </c>
      <c r="Q13" s="44">
        <v>0</v>
      </c>
      <c r="R13" s="37">
        <v>100</v>
      </c>
      <c r="S13" s="48" t="s">
        <v>200</v>
      </c>
      <c r="T13" s="48">
        <v>30</v>
      </c>
      <c r="U13" s="30">
        <v>414.22</v>
      </c>
      <c r="V13" s="41">
        <v>12426.6</v>
      </c>
      <c r="W13" s="41">
        <v>86580</v>
      </c>
      <c r="X13" s="41">
        <v>86580</v>
      </c>
      <c r="Y13" s="41"/>
      <c r="Z13" s="41"/>
      <c r="AA13" s="41"/>
      <c r="AB13" s="41"/>
      <c r="AC13" s="41"/>
      <c r="AD13" s="41"/>
      <c r="AE13" s="41"/>
      <c r="AF13" s="41"/>
      <c r="AG13" s="41"/>
      <c r="AH13" s="41"/>
      <c r="AI13" s="41"/>
      <c r="AJ13" s="41"/>
      <c r="AK13" s="41"/>
      <c r="AL13" s="41"/>
      <c r="AM13" s="41">
        <v>0</v>
      </c>
      <c r="AN13" s="41">
        <v>2886</v>
      </c>
      <c r="AO13" s="41">
        <v>2886</v>
      </c>
      <c r="AP13" s="40"/>
      <c r="AQ13" s="36">
        <v>44986</v>
      </c>
      <c r="AR13" s="36"/>
      <c r="AS13" s="36"/>
      <c r="AT13" s="36">
        <v>45000</v>
      </c>
      <c r="AU13" s="36"/>
      <c r="AV13" s="38"/>
      <c r="AW13" s="40" t="s">
        <v>87</v>
      </c>
    </row>
    <row r="14" spans="1:49" ht="91.2" customHeight="1" x14ac:dyDescent="0.3">
      <c r="A14" s="39" t="s">
        <v>982</v>
      </c>
      <c r="B14" s="36">
        <v>44721</v>
      </c>
      <c r="C14" s="37" t="s">
        <v>162</v>
      </c>
      <c r="D14" s="39" t="s">
        <v>983</v>
      </c>
      <c r="E14" s="1" t="s">
        <v>984</v>
      </c>
      <c r="F14" s="36">
        <v>44746</v>
      </c>
      <c r="G14" s="37" t="s">
        <v>985</v>
      </c>
      <c r="H14" s="40" t="s">
        <v>971</v>
      </c>
      <c r="I14" s="40" t="s">
        <v>986</v>
      </c>
      <c r="J14" s="41">
        <v>2508579</v>
      </c>
      <c r="K14" s="41">
        <v>2508579</v>
      </c>
      <c r="L14" s="30">
        <v>2508579</v>
      </c>
      <c r="M14" s="30">
        <v>2508579</v>
      </c>
      <c r="N14" s="40" t="s">
        <v>973</v>
      </c>
      <c r="O14" s="40" t="s">
        <v>987</v>
      </c>
      <c r="P14" s="40" t="s">
        <v>47</v>
      </c>
      <c r="Q14" s="44">
        <v>100</v>
      </c>
      <c r="R14" s="37">
        <v>0</v>
      </c>
      <c r="S14" s="48" t="s">
        <v>200</v>
      </c>
      <c r="T14" s="48">
        <v>20</v>
      </c>
      <c r="U14" s="30">
        <v>31.65</v>
      </c>
      <c r="V14" s="41">
        <v>633</v>
      </c>
      <c r="W14" s="41">
        <v>79260</v>
      </c>
      <c r="X14" s="41">
        <v>79260</v>
      </c>
      <c r="Y14" s="41"/>
      <c r="Z14" s="41"/>
      <c r="AA14" s="41"/>
      <c r="AB14" s="41"/>
      <c r="AC14" s="41"/>
      <c r="AD14" s="41"/>
      <c r="AE14" s="41"/>
      <c r="AF14" s="41"/>
      <c r="AG14" s="41"/>
      <c r="AH14" s="41"/>
      <c r="AI14" s="41"/>
      <c r="AJ14" s="41"/>
      <c r="AK14" s="41"/>
      <c r="AL14" s="41"/>
      <c r="AM14" s="41">
        <v>0</v>
      </c>
      <c r="AN14" s="41">
        <v>3963</v>
      </c>
      <c r="AO14" s="41">
        <v>3963</v>
      </c>
      <c r="AP14" s="40"/>
      <c r="AQ14" s="36">
        <v>44986</v>
      </c>
      <c r="AR14" s="36"/>
      <c r="AS14" s="36"/>
      <c r="AT14" s="36">
        <v>45000</v>
      </c>
      <c r="AU14" s="36"/>
      <c r="AV14" s="38"/>
      <c r="AW14" s="40" t="s">
        <v>87</v>
      </c>
    </row>
    <row r="15" spans="1:49" ht="144.75" customHeight="1" x14ac:dyDescent="0.3">
      <c r="A15" s="39" t="s">
        <v>988</v>
      </c>
      <c r="B15" s="36">
        <v>44721</v>
      </c>
      <c r="C15" s="37" t="s">
        <v>162</v>
      </c>
      <c r="D15" s="39" t="s">
        <v>989</v>
      </c>
      <c r="E15" s="1" t="s">
        <v>990</v>
      </c>
      <c r="F15" s="36">
        <v>44746</v>
      </c>
      <c r="G15" s="39" t="s">
        <v>991</v>
      </c>
      <c r="H15" s="40" t="s">
        <v>907</v>
      </c>
      <c r="I15" s="40" t="s">
        <v>992</v>
      </c>
      <c r="J15" s="41">
        <v>1169454</v>
      </c>
      <c r="K15" s="41">
        <v>1169454</v>
      </c>
      <c r="L15" s="30">
        <v>1169454</v>
      </c>
      <c r="M15" s="30">
        <v>1169454</v>
      </c>
      <c r="N15" s="40" t="s">
        <v>909</v>
      </c>
      <c r="O15" s="40" t="s">
        <v>993</v>
      </c>
      <c r="P15" s="40" t="s">
        <v>218</v>
      </c>
      <c r="Q15" s="44">
        <v>0</v>
      </c>
      <c r="R15" s="37">
        <v>100</v>
      </c>
      <c r="S15" s="48" t="s">
        <v>200</v>
      </c>
      <c r="T15" s="48">
        <v>60</v>
      </c>
      <c r="U15" s="30">
        <v>336.05</v>
      </c>
      <c r="V15" s="41">
        <v>20163</v>
      </c>
      <c r="W15" s="41">
        <v>3480</v>
      </c>
      <c r="X15" s="41">
        <v>3480</v>
      </c>
      <c r="Y15" s="41"/>
      <c r="Z15" s="41"/>
      <c r="AA15" s="41"/>
      <c r="AB15" s="41"/>
      <c r="AC15" s="41"/>
      <c r="AD15" s="41"/>
      <c r="AE15" s="41"/>
      <c r="AF15" s="41"/>
      <c r="AG15" s="41"/>
      <c r="AH15" s="41"/>
      <c r="AI15" s="41"/>
      <c r="AJ15" s="41"/>
      <c r="AK15" s="41"/>
      <c r="AL15" s="41"/>
      <c r="AM15" s="41">
        <v>0</v>
      </c>
      <c r="AN15" s="41">
        <v>58</v>
      </c>
      <c r="AO15" s="41">
        <v>58</v>
      </c>
      <c r="AP15" s="40"/>
      <c r="AQ15" s="36">
        <v>44986</v>
      </c>
      <c r="AR15" s="36"/>
      <c r="AS15" s="36"/>
      <c r="AT15" s="36">
        <v>45000</v>
      </c>
      <c r="AU15" s="36"/>
      <c r="AV15" s="38"/>
      <c r="AW15" s="40" t="s">
        <v>87</v>
      </c>
    </row>
    <row r="16" spans="1:49" ht="72" x14ac:dyDescent="0.3">
      <c r="A16" s="39" t="s">
        <v>994</v>
      </c>
      <c r="B16" s="36">
        <v>44721</v>
      </c>
      <c r="C16" s="37" t="s">
        <v>162</v>
      </c>
      <c r="D16" s="39" t="s">
        <v>995</v>
      </c>
      <c r="E16" s="1" t="s">
        <v>996</v>
      </c>
      <c r="F16" s="36">
        <v>44746</v>
      </c>
      <c r="G16" s="39" t="s">
        <v>997</v>
      </c>
      <c r="H16" s="40" t="s">
        <v>177</v>
      </c>
      <c r="I16" s="40" t="s">
        <v>998</v>
      </c>
      <c r="J16" s="41">
        <v>766871</v>
      </c>
      <c r="K16" s="41">
        <v>766871</v>
      </c>
      <c r="L16" s="30">
        <v>766871</v>
      </c>
      <c r="M16" s="30">
        <v>766871</v>
      </c>
      <c r="N16" s="40" t="s">
        <v>958</v>
      </c>
      <c r="O16" s="40" t="s">
        <v>999</v>
      </c>
      <c r="P16" s="40" t="s">
        <v>47</v>
      </c>
      <c r="Q16" s="44">
        <v>100</v>
      </c>
      <c r="R16" s="37">
        <v>0</v>
      </c>
      <c r="S16" s="48" t="s">
        <v>200</v>
      </c>
      <c r="T16" s="48">
        <v>60</v>
      </c>
      <c r="U16" s="30">
        <v>4.97</v>
      </c>
      <c r="V16" s="41">
        <v>298.2</v>
      </c>
      <c r="W16" s="41">
        <v>154300</v>
      </c>
      <c r="X16" s="41">
        <v>154300</v>
      </c>
      <c r="Y16" s="41"/>
      <c r="Z16" s="41"/>
      <c r="AA16" s="41"/>
      <c r="AB16" s="41"/>
      <c r="AC16" s="41"/>
      <c r="AD16" s="41"/>
      <c r="AE16" s="41"/>
      <c r="AF16" s="41"/>
      <c r="AG16" s="41"/>
      <c r="AH16" s="41"/>
      <c r="AI16" s="41"/>
      <c r="AJ16" s="41"/>
      <c r="AK16" s="41"/>
      <c r="AL16" s="41"/>
      <c r="AM16" s="41">
        <v>0</v>
      </c>
      <c r="AN16" s="41">
        <v>2571.6666666666665</v>
      </c>
      <c r="AO16" s="41">
        <v>2572</v>
      </c>
      <c r="AP16" s="40"/>
      <c r="AQ16" s="36">
        <v>44986</v>
      </c>
      <c r="AR16" s="36"/>
      <c r="AS16" s="36"/>
      <c r="AT16" s="36">
        <v>45000</v>
      </c>
      <c r="AU16" s="36"/>
      <c r="AV16" s="38"/>
      <c r="AW16" s="40" t="s">
        <v>87</v>
      </c>
    </row>
    <row r="17" spans="1:49" ht="195" customHeight="1" x14ac:dyDescent="0.3">
      <c r="A17" s="39" t="s">
        <v>1012</v>
      </c>
      <c r="B17" s="36">
        <v>44721</v>
      </c>
      <c r="C17" s="37" t="s">
        <v>162</v>
      </c>
      <c r="D17" s="39" t="s">
        <v>1013</v>
      </c>
      <c r="E17" s="1" t="s">
        <v>1014</v>
      </c>
      <c r="F17" s="36">
        <v>44746</v>
      </c>
      <c r="G17" s="37" t="s">
        <v>1015</v>
      </c>
      <c r="H17" s="40" t="s">
        <v>177</v>
      </c>
      <c r="I17" s="40" t="s">
        <v>1016</v>
      </c>
      <c r="J17" s="57">
        <v>16789680.809999999</v>
      </c>
      <c r="K17" s="41">
        <v>16365009.57</v>
      </c>
      <c r="L17" s="30">
        <v>16365009.57</v>
      </c>
      <c r="M17" s="30">
        <v>16365009.57</v>
      </c>
      <c r="N17" s="40" t="s">
        <v>958</v>
      </c>
      <c r="O17" s="40" t="s">
        <v>1017</v>
      </c>
      <c r="P17" s="40" t="s">
        <v>47</v>
      </c>
      <c r="Q17" s="44">
        <v>100</v>
      </c>
      <c r="R17" s="37">
        <v>0</v>
      </c>
      <c r="S17" s="48" t="s">
        <v>200</v>
      </c>
      <c r="T17" s="48">
        <v>60</v>
      </c>
      <c r="U17" s="30">
        <v>10.790000000000001</v>
      </c>
      <c r="V17" s="41">
        <v>647.40000000000009</v>
      </c>
      <c r="W17" s="41">
        <v>1516683</v>
      </c>
      <c r="X17" s="41">
        <v>1516683</v>
      </c>
      <c r="Y17" s="41"/>
      <c r="Z17" s="41"/>
      <c r="AA17" s="41"/>
      <c r="AB17" s="41"/>
      <c r="AC17" s="41"/>
      <c r="AD17" s="41"/>
      <c r="AE17" s="41"/>
      <c r="AF17" s="41"/>
      <c r="AG17" s="41"/>
      <c r="AH17" s="41"/>
      <c r="AI17" s="41"/>
      <c r="AJ17" s="41"/>
      <c r="AK17" s="41"/>
      <c r="AL17" s="41"/>
      <c r="AM17" s="41"/>
      <c r="AN17" s="41">
        <v>25278.05</v>
      </c>
      <c r="AO17" s="41">
        <v>25279</v>
      </c>
      <c r="AP17" s="40"/>
      <c r="AQ17" s="36">
        <v>44986</v>
      </c>
      <c r="AR17" s="36"/>
      <c r="AS17" s="36"/>
      <c r="AT17" s="36">
        <v>45000</v>
      </c>
      <c r="AU17" s="36"/>
      <c r="AV17" s="38"/>
      <c r="AW17" s="40" t="s">
        <v>87</v>
      </c>
    </row>
    <row r="18" spans="1:49" ht="156.6" customHeight="1" x14ac:dyDescent="0.3">
      <c r="A18" s="39" t="s">
        <v>1018</v>
      </c>
      <c r="B18" s="36">
        <v>44722</v>
      </c>
      <c r="C18" s="37" t="s">
        <v>162</v>
      </c>
      <c r="D18" s="39" t="s">
        <v>1019</v>
      </c>
      <c r="E18" s="1" t="s">
        <v>1020</v>
      </c>
      <c r="F18" s="36">
        <v>44750</v>
      </c>
      <c r="G18" s="39" t="s">
        <v>1021</v>
      </c>
      <c r="H18" s="40" t="s">
        <v>186</v>
      </c>
      <c r="I18" s="40" t="s">
        <v>1022</v>
      </c>
      <c r="J18" s="41">
        <v>790105012.04999995</v>
      </c>
      <c r="K18" s="41">
        <v>790105012.04999995</v>
      </c>
      <c r="L18" s="30">
        <v>1027123145.25</v>
      </c>
      <c r="M18" s="30">
        <v>1027123145.25</v>
      </c>
      <c r="N18" s="40" t="s">
        <v>1023</v>
      </c>
      <c r="O18" s="40" t="s">
        <v>1024</v>
      </c>
      <c r="P18" s="40" t="s">
        <v>1025</v>
      </c>
      <c r="Q18" s="44">
        <v>0</v>
      </c>
      <c r="R18" s="37">
        <v>100</v>
      </c>
      <c r="S18" s="48" t="s">
        <v>200</v>
      </c>
      <c r="T18" s="48">
        <v>30</v>
      </c>
      <c r="U18" s="30">
        <v>524.33000000000004</v>
      </c>
      <c r="V18" s="41">
        <v>15729.900000000001</v>
      </c>
      <c r="W18" s="41">
        <v>1958925</v>
      </c>
      <c r="X18" s="41">
        <v>1958925</v>
      </c>
      <c r="Y18" s="41"/>
      <c r="Z18" s="41"/>
      <c r="AA18" s="41"/>
      <c r="AB18" s="41"/>
      <c r="AC18" s="41"/>
      <c r="AD18" s="41"/>
      <c r="AE18" s="41"/>
      <c r="AF18" s="41"/>
      <c r="AG18" s="41"/>
      <c r="AH18" s="41"/>
      <c r="AI18" s="41"/>
      <c r="AJ18" s="41"/>
      <c r="AK18" s="41"/>
      <c r="AL18" s="41"/>
      <c r="AM18" s="41"/>
      <c r="AN18" s="41">
        <v>65297.5</v>
      </c>
      <c r="AO18" s="41">
        <v>65298</v>
      </c>
      <c r="AP18" s="40"/>
      <c r="AQ18" s="36">
        <v>44986</v>
      </c>
      <c r="AR18" s="36"/>
      <c r="AS18" s="36"/>
      <c r="AT18" s="36">
        <v>45000</v>
      </c>
      <c r="AU18" s="36"/>
      <c r="AV18" s="38"/>
      <c r="AW18" s="40" t="s">
        <v>87</v>
      </c>
    </row>
    <row r="19" spans="1:49" s="34" customFormat="1" ht="72" x14ac:dyDescent="0.3">
      <c r="A19" s="39" t="s">
        <v>1026</v>
      </c>
      <c r="B19" s="36">
        <v>44722</v>
      </c>
      <c r="C19" s="37" t="s">
        <v>162</v>
      </c>
      <c r="D19" s="39" t="s">
        <v>1027</v>
      </c>
      <c r="E19" s="1" t="s">
        <v>1028</v>
      </c>
      <c r="F19" s="36">
        <v>44746</v>
      </c>
      <c r="G19" s="37" t="s">
        <v>1029</v>
      </c>
      <c r="H19" s="40" t="s">
        <v>177</v>
      </c>
      <c r="I19" s="40" t="s">
        <v>1030</v>
      </c>
      <c r="J19" s="41">
        <v>883797.6</v>
      </c>
      <c r="K19" s="41">
        <v>883797.6</v>
      </c>
      <c r="L19" s="30">
        <v>883797.6</v>
      </c>
      <c r="M19" s="30">
        <v>883797.6</v>
      </c>
      <c r="N19" s="40" t="s">
        <v>179</v>
      </c>
      <c r="O19" s="40" t="s">
        <v>1031</v>
      </c>
      <c r="P19" s="40" t="s">
        <v>1032</v>
      </c>
      <c r="Q19" s="44">
        <v>0</v>
      </c>
      <c r="R19" s="37">
        <v>100</v>
      </c>
      <c r="S19" s="37" t="s">
        <v>200</v>
      </c>
      <c r="T19" s="48">
        <v>60</v>
      </c>
      <c r="U19" s="30">
        <v>33.94</v>
      </c>
      <c r="V19" s="41">
        <v>2036.3999999999999</v>
      </c>
      <c r="W19" s="41">
        <v>26040</v>
      </c>
      <c r="X19" s="41">
        <v>26040</v>
      </c>
      <c r="Y19" s="41"/>
      <c r="Z19" s="41"/>
      <c r="AA19" s="41"/>
      <c r="AB19" s="41"/>
      <c r="AC19" s="41"/>
      <c r="AD19" s="41"/>
      <c r="AE19" s="41"/>
      <c r="AF19" s="41"/>
      <c r="AG19" s="41"/>
      <c r="AH19" s="41"/>
      <c r="AI19" s="41"/>
      <c r="AJ19" s="41"/>
      <c r="AK19" s="41"/>
      <c r="AL19" s="41"/>
      <c r="AM19" s="41"/>
      <c r="AN19" s="41">
        <v>434</v>
      </c>
      <c r="AO19" s="41">
        <v>434</v>
      </c>
      <c r="AP19" s="40"/>
      <c r="AQ19" s="36">
        <v>44958</v>
      </c>
      <c r="AR19" s="36"/>
      <c r="AS19" s="36"/>
      <c r="AT19" s="36">
        <v>44972</v>
      </c>
      <c r="AU19" s="36"/>
      <c r="AV19" s="38"/>
      <c r="AW19" s="40" t="s">
        <v>87</v>
      </c>
    </row>
    <row r="20" spans="1:49" s="34" customFormat="1" ht="156.6" customHeight="1" x14ac:dyDescent="0.3">
      <c r="A20" s="39" t="s">
        <v>1033</v>
      </c>
      <c r="B20" s="36">
        <v>44722</v>
      </c>
      <c r="C20" s="37" t="s">
        <v>162</v>
      </c>
      <c r="D20" s="39" t="s">
        <v>1034</v>
      </c>
      <c r="E20" s="1" t="s">
        <v>1035</v>
      </c>
      <c r="F20" s="36">
        <v>44746</v>
      </c>
      <c r="G20" s="39" t="s">
        <v>1036</v>
      </c>
      <c r="H20" s="40" t="s">
        <v>571</v>
      </c>
      <c r="I20" s="40" t="s">
        <v>1037</v>
      </c>
      <c r="J20" s="41">
        <v>107997369.48</v>
      </c>
      <c r="K20" s="41">
        <v>106367039.56</v>
      </c>
      <c r="L20" s="30">
        <v>106367039.56</v>
      </c>
      <c r="M20" s="30">
        <v>106367039.56</v>
      </c>
      <c r="N20" s="40" t="s">
        <v>1038</v>
      </c>
      <c r="O20" s="40" t="s">
        <v>1039</v>
      </c>
      <c r="P20" s="40" t="s">
        <v>47</v>
      </c>
      <c r="Q20" s="44">
        <v>100</v>
      </c>
      <c r="R20" s="37">
        <v>0</v>
      </c>
      <c r="S20" s="48" t="s">
        <v>200</v>
      </c>
      <c r="T20" s="48">
        <v>60</v>
      </c>
      <c r="U20" s="30">
        <v>88.73</v>
      </c>
      <c r="V20" s="41">
        <v>5323.8</v>
      </c>
      <c r="W20" s="41">
        <v>1198772</v>
      </c>
      <c r="X20" s="41">
        <v>1198772</v>
      </c>
      <c r="Y20" s="41"/>
      <c r="Z20" s="41"/>
      <c r="AA20" s="41"/>
      <c r="AB20" s="41"/>
      <c r="AC20" s="41"/>
      <c r="AD20" s="41"/>
      <c r="AE20" s="41"/>
      <c r="AF20" s="41"/>
      <c r="AG20" s="41"/>
      <c r="AH20" s="41"/>
      <c r="AI20" s="41"/>
      <c r="AJ20" s="41"/>
      <c r="AK20" s="41"/>
      <c r="AL20" s="41"/>
      <c r="AM20" s="41"/>
      <c r="AN20" s="41">
        <v>19979.533333333333</v>
      </c>
      <c r="AO20" s="41">
        <v>19980</v>
      </c>
      <c r="AP20" s="40"/>
      <c r="AQ20" s="36">
        <v>44986</v>
      </c>
      <c r="AR20" s="36"/>
      <c r="AS20" s="36"/>
      <c r="AT20" s="36">
        <v>45000</v>
      </c>
      <c r="AU20" s="36"/>
      <c r="AV20" s="38"/>
      <c r="AW20" s="40" t="s">
        <v>87</v>
      </c>
    </row>
    <row r="21" spans="1:49" s="34" customFormat="1" ht="139.5" customHeight="1" x14ac:dyDescent="0.3">
      <c r="A21" s="39" t="s">
        <v>1042</v>
      </c>
      <c r="B21" s="36">
        <v>44728</v>
      </c>
      <c r="C21" s="37" t="s">
        <v>162</v>
      </c>
      <c r="D21" s="39" t="s">
        <v>1043</v>
      </c>
      <c r="E21" s="1" t="s">
        <v>1044</v>
      </c>
      <c r="F21" s="36">
        <v>44763</v>
      </c>
      <c r="G21" s="39" t="s">
        <v>1045</v>
      </c>
      <c r="H21" s="40" t="s">
        <v>555</v>
      </c>
      <c r="I21" s="40" t="s">
        <v>1046</v>
      </c>
      <c r="J21" s="41">
        <v>7912595.0199999996</v>
      </c>
      <c r="K21" s="41">
        <v>1219198</v>
      </c>
      <c r="L21" s="30">
        <v>1219198</v>
      </c>
      <c r="M21" s="30">
        <v>1219198</v>
      </c>
      <c r="N21" s="40" t="s">
        <v>1047</v>
      </c>
      <c r="O21" s="40" t="s">
        <v>1048</v>
      </c>
      <c r="P21" s="40" t="s">
        <v>47</v>
      </c>
      <c r="Q21" s="44">
        <v>100</v>
      </c>
      <c r="R21" s="37">
        <v>0</v>
      </c>
      <c r="S21" s="37" t="s">
        <v>219</v>
      </c>
      <c r="T21" s="48">
        <v>240</v>
      </c>
      <c r="U21" s="30">
        <v>1</v>
      </c>
      <c r="V21" s="41">
        <v>240</v>
      </c>
      <c r="W21" s="41">
        <v>1219198</v>
      </c>
      <c r="X21" s="41">
        <v>1219198</v>
      </c>
      <c r="Y21" s="41"/>
      <c r="Z21" s="41"/>
      <c r="AA21" s="41"/>
      <c r="AB21" s="41"/>
      <c r="AC21" s="41"/>
      <c r="AD21" s="41"/>
      <c r="AE21" s="41"/>
      <c r="AF21" s="41"/>
      <c r="AG21" s="41"/>
      <c r="AH21" s="41"/>
      <c r="AI21" s="41"/>
      <c r="AJ21" s="41"/>
      <c r="AK21" s="41"/>
      <c r="AL21" s="41"/>
      <c r="AM21" s="41"/>
      <c r="AN21" s="41">
        <v>5079.9916666666668</v>
      </c>
      <c r="AO21" s="41">
        <v>5080</v>
      </c>
      <c r="AP21" s="40"/>
      <c r="AQ21" s="36">
        <v>44986</v>
      </c>
      <c r="AR21" s="36"/>
      <c r="AS21" s="36"/>
      <c r="AT21" s="36">
        <v>45000</v>
      </c>
      <c r="AU21" s="36"/>
      <c r="AV21" s="38"/>
      <c r="AW21" s="40" t="s">
        <v>87</v>
      </c>
    </row>
    <row r="22" spans="1:49" s="34" customFormat="1" ht="72" x14ac:dyDescent="0.3">
      <c r="A22" s="39" t="s">
        <v>1049</v>
      </c>
      <c r="B22" s="36">
        <v>44728</v>
      </c>
      <c r="C22" s="37" t="s">
        <v>162</v>
      </c>
      <c r="D22" s="39" t="s">
        <v>1050</v>
      </c>
      <c r="E22" s="1" t="s">
        <v>1051</v>
      </c>
      <c r="F22" s="36">
        <v>44754</v>
      </c>
      <c r="G22" s="37" t="s">
        <v>1052</v>
      </c>
      <c r="H22" s="40" t="s">
        <v>177</v>
      </c>
      <c r="I22" s="40" t="s">
        <v>1053</v>
      </c>
      <c r="J22" s="41">
        <v>57518090.880000003</v>
      </c>
      <c r="K22" s="41">
        <v>56931969.030000001</v>
      </c>
      <c r="L22" s="30">
        <v>56931969.030000001</v>
      </c>
      <c r="M22" s="30">
        <v>56931969.030000001</v>
      </c>
      <c r="N22" s="40" t="s">
        <v>1054</v>
      </c>
      <c r="O22" s="40" t="s">
        <v>1055</v>
      </c>
      <c r="P22" s="40" t="s">
        <v>47</v>
      </c>
      <c r="Q22" s="44">
        <v>100</v>
      </c>
      <c r="R22" s="37">
        <v>0</v>
      </c>
      <c r="S22" s="37" t="s">
        <v>200</v>
      </c>
      <c r="T22" s="48">
        <v>30</v>
      </c>
      <c r="U22" s="30">
        <v>43.71</v>
      </c>
      <c r="V22" s="41">
        <v>1311.3</v>
      </c>
      <c r="W22" s="41">
        <v>1302493</v>
      </c>
      <c r="X22" s="41">
        <v>1302493</v>
      </c>
      <c r="Y22" s="41"/>
      <c r="Z22" s="41"/>
      <c r="AA22" s="41"/>
      <c r="AB22" s="41"/>
      <c r="AC22" s="41"/>
      <c r="AD22" s="41"/>
      <c r="AE22" s="41"/>
      <c r="AF22" s="41"/>
      <c r="AG22" s="41"/>
      <c r="AH22" s="41"/>
      <c r="AI22" s="41"/>
      <c r="AJ22" s="41"/>
      <c r="AK22" s="41"/>
      <c r="AL22" s="41"/>
      <c r="AM22" s="41"/>
      <c r="AN22" s="41">
        <v>43416.433333333334</v>
      </c>
      <c r="AO22" s="41">
        <v>43417</v>
      </c>
      <c r="AP22" s="40"/>
      <c r="AQ22" s="36">
        <v>44986</v>
      </c>
      <c r="AR22" s="36"/>
      <c r="AS22" s="36"/>
      <c r="AT22" s="36">
        <v>45000</v>
      </c>
      <c r="AU22" s="36"/>
      <c r="AV22" s="38"/>
      <c r="AW22" s="40" t="s">
        <v>87</v>
      </c>
    </row>
    <row r="23" spans="1:49" s="34" customFormat="1" x14ac:dyDescent="0.3">
      <c r="A23" s="39" t="s">
        <v>1056</v>
      </c>
      <c r="B23" s="36">
        <v>44728</v>
      </c>
      <c r="C23" s="37" t="s">
        <v>162</v>
      </c>
      <c r="D23" s="39" t="s">
        <v>459</v>
      </c>
      <c r="E23" s="1" t="s">
        <v>459</v>
      </c>
      <c r="F23" s="36" t="s">
        <v>459</v>
      </c>
      <c r="G23" s="39" t="s">
        <v>459</v>
      </c>
      <c r="H23" s="40" t="s">
        <v>459</v>
      </c>
      <c r="I23" s="40" t="s">
        <v>1057</v>
      </c>
      <c r="J23" s="41">
        <v>9348992.4000000004</v>
      </c>
      <c r="K23" s="41">
        <v>0</v>
      </c>
      <c r="L23" s="30">
        <v>0</v>
      </c>
      <c r="M23" s="30">
        <v>0</v>
      </c>
      <c r="N23" s="40"/>
      <c r="O23" s="40"/>
      <c r="P23" s="40"/>
      <c r="Q23" s="44"/>
      <c r="R23" s="37"/>
      <c r="S23" s="37"/>
      <c r="T23" s="48"/>
      <c r="U23" s="30" t="e">
        <v>#DIV/0!</v>
      </c>
      <c r="V23" s="41" t="e">
        <v>#DIV/0!</v>
      </c>
      <c r="W23" s="41">
        <v>0</v>
      </c>
      <c r="X23" s="41"/>
      <c r="Y23" s="41"/>
      <c r="Z23" s="41"/>
      <c r="AA23" s="41"/>
      <c r="AB23" s="41"/>
      <c r="AC23" s="41"/>
      <c r="AD23" s="41"/>
      <c r="AE23" s="41"/>
      <c r="AF23" s="41"/>
      <c r="AG23" s="41"/>
      <c r="AH23" s="41"/>
      <c r="AI23" s="41"/>
      <c r="AJ23" s="41"/>
      <c r="AK23" s="41"/>
      <c r="AL23" s="41"/>
      <c r="AM23" s="41"/>
      <c r="AN23" s="41" t="e">
        <v>#DIV/0!</v>
      </c>
      <c r="AO23" s="41" t="e">
        <v>#DIV/0!</v>
      </c>
      <c r="AP23" s="40"/>
      <c r="AQ23" s="36"/>
      <c r="AR23" s="36"/>
      <c r="AS23" s="36"/>
      <c r="AT23" s="36"/>
      <c r="AU23" s="36"/>
      <c r="AV23" s="38"/>
      <c r="AW23" s="40"/>
    </row>
    <row r="24" spans="1:49" s="34" customFormat="1" ht="109.5" customHeight="1" x14ac:dyDescent="0.3">
      <c r="A24" s="39" t="s">
        <v>1058</v>
      </c>
      <c r="B24" s="36">
        <v>44728</v>
      </c>
      <c r="C24" s="37" t="s">
        <v>162</v>
      </c>
      <c r="D24" s="39" t="s">
        <v>1059</v>
      </c>
      <c r="E24" s="1" t="s">
        <v>1060</v>
      </c>
      <c r="F24" s="36">
        <v>44764</v>
      </c>
      <c r="G24" s="37" t="s">
        <v>1061</v>
      </c>
      <c r="H24" s="40" t="s">
        <v>571</v>
      </c>
      <c r="I24" s="40" t="s">
        <v>1062</v>
      </c>
      <c r="J24" s="41">
        <v>165475598.19999999</v>
      </c>
      <c r="K24" s="41">
        <v>164631709.34</v>
      </c>
      <c r="L24" s="30">
        <v>164631709.34</v>
      </c>
      <c r="M24" s="30">
        <v>164631709.34</v>
      </c>
      <c r="N24" s="40" t="s">
        <v>1063</v>
      </c>
      <c r="O24" s="40" t="s">
        <v>1064</v>
      </c>
      <c r="P24" s="40" t="s">
        <v>47</v>
      </c>
      <c r="Q24" s="44">
        <v>100</v>
      </c>
      <c r="R24" s="37">
        <v>0</v>
      </c>
      <c r="S24" s="37" t="s">
        <v>200</v>
      </c>
      <c r="T24" s="48">
        <v>60</v>
      </c>
      <c r="U24" s="30">
        <v>89.74</v>
      </c>
      <c r="V24" s="41">
        <v>5384.4</v>
      </c>
      <c r="W24" s="41">
        <v>1834541</v>
      </c>
      <c r="X24" s="41">
        <v>1834541</v>
      </c>
      <c r="Y24" s="41"/>
      <c r="Z24" s="41"/>
      <c r="AA24" s="41"/>
      <c r="AB24" s="41"/>
      <c r="AC24" s="41"/>
      <c r="AD24" s="41"/>
      <c r="AE24" s="41"/>
      <c r="AF24" s="41"/>
      <c r="AG24" s="41"/>
      <c r="AH24" s="41"/>
      <c r="AI24" s="41"/>
      <c r="AJ24" s="41"/>
      <c r="AK24" s="41"/>
      <c r="AL24" s="41"/>
      <c r="AM24" s="41"/>
      <c r="AN24" s="41">
        <v>30575.683333333334</v>
      </c>
      <c r="AO24" s="41">
        <v>30576</v>
      </c>
      <c r="AP24" s="40"/>
      <c r="AQ24" s="36">
        <v>44986</v>
      </c>
      <c r="AR24" s="36"/>
      <c r="AS24" s="36"/>
      <c r="AT24" s="36">
        <v>45000</v>
      </c>
      <c r="AU24" s="36"/>
      <c r="AV24" s="38"/>
      <c r="AW24" s="40" t="s">
        <v>87</v>
      </c>
    </row>
    <row r="25" spans="1:49" s="34" customFormat="1" ht="72" x14ac:dyDescent="0.3">
      <c r="A25" s="39" t="s">
        <v>1065</v>
      </c>
      <c r="B25" s="36">
        <v>44728</v>
      </c>
      <c r="C25" s="37" t="s">
        <v>162</v>
      </c>
      <c r="D25" s="39" t="s">
        <v>1066</v>
      </c>
      <c r="E25" s="1" t="s">
        <v>1067</v>
      </c>
      <c r="F25" s="36">
        <v>44761</v>
      </c>
      <c r="G25" s="39" t="s">
        <v>1068</v>
      </c>
      <c r="H25" s="40" t="s">
        <v>887</v>
      </c>
      <c r="I25" s="40" t="s">
        <v>1069</v>
      </c>
      <c r="J25" s="41">
        <v>28018708.199999999</v>
      </c>
      <c r="K25" s="41">
        <v>15234622.199999999</v>
      </c>
      <c r="L25" s="30">
        <v>15234622.199999999</v>
      </c>
      <c r="M25" s="30">
        <v>15234622.199999999</v>
      </c>
      <c r="N25" s="40" t="s">
        <v>1070</v>
      </c>
      <c r="O25" s="40" t="s">
        <v>1071</v>
      </c>
      <c r="P25" s="40" t="s">
        <v>47</v>
      </c>
      <c r="Q25" s="44">
        <v>100</v>
      </c>
      <c r="R25" s="37">
        <v>0</v>
      </c>
      <c r="S25" s="37" t="s">
        <v>200</v>
      </c>
      <c r="T25" s="48">
        <v>60</v>
      </c>
      <c r="U25" s="30">
        <v>50.169999999999995</v>
      </c>
      <c r="V25" s="41">
        <v>3010.2</v>
      </c>
      <c r="W25" s="41">
        <v>303660</v>
      </c>
      <c r="X25" s="41">
        <v>303660</v>
      </c>
      <c r="Y25" s="41"/>
      <c r="Z25" s="41"/>
      <c r="AA25" s="41"/>
      <c r="AB25" s="41"/>
      <c r="AC25" s="41"/>
      <c r="AD25" s="41"/>
      <c r="AE25" s="41"/>
      <c r="AF25" s="41"/>
      <c r="AG25" s="41"/>
      <c r="AH25" s="41"/>
      <c r="AI25" s="41"/>
      <c r="AJ25" s="41"/>
      <c r="AK25" s="41"/>
      <c r="AL25" s="41"/>
      <c r="AM25" s="41"/>
      <c r="AN25" s="41">
        <v>5061</v>
      </c>
      <c r="AO25" s="41">
        <v>5061</v>
      </c>
      <c r="AP25" s="40"/>
      <c r="AQ25" s="36">
        <v>44986</v>
      </c>
      <c r="AR25" s="36"/>
      <c r="AS25" s="36"/>
      <c r="AT25" s="36">
        <v>45000</v>
      </c>
      <c r="AU25" s="36"/>
      <c r="AV25" s="38"/>
      <c r="AW25" s="40" t="s">
        <v>87</v>
      </c>
    </row>
    <row r="26" spans="1:49" s="34" customFormat="1" ht="141" customHeight="1" x14ac:dyDescent="0.3">
      <c r="A26" s="39" t="s">
        <v>1072</v>
      </c>
      <c r="B26" s="36">
        <v>44728</v>
      </c>
      <c r="C26" s="37" t="s">
        <v>162</v>
      </c>
      <c r="D26" s="39" t="s">
        <v>1073</v>
      </c>
      <c r="E26" s="1" t="s">
        <v>1074</v>
      </c>
      <c r="F26" s="36">
        <v>44754</v>
      </c>
      <c r="G26" s="39" t="s">
        <v>1075</v>
      </c>
      <c r="H26" s="40" t="s">
        <v>571</v>
      </c>
      <c r="I26" s="40" t="s">
        <v>1076</v>
      </c>
      <c r="J26" s="41">
        <v>229637531.88999999</v>
      </c>
      <c r="K26" s="41">
        <v>228488112.71000001</v>
      </c>
      <c r="L26" s="30">
        <v>228488112.71000001</v>
      </c>
      <c r="M26" s="30">
        <v>228488112.71000001</v>
      </c>
      <c r="N26" s="40" t="s">
        <v>1077</v>
      </c>
      <c r="O26" s="40" t="s">
        <v>1078</v>
      </c>
      <c r="P26" s="40" t="s">
        <v>47</v>
      </c>
      <c r="Q26" s="44">
        <v>100</v>
      </c>
      <c r="R26" s="37">
        <v>0</v>
      </c>
      <c r="S26" s="37" t="s">
        <v>200</v>
      </c>
      <c r="T26" s="54" t="s">
        <v>1079</v>
      </c>
      <c r="U26" s="30">
        <v>27.830000000000002</v>
      </c>
      <c r="V26" s="57" t="s">
        <v>1080</v>
      </c>
      <c r="W26" s="41">
        <v>8210137</v>
      </c>
      <c r="X26" s="41">
        <v>8210137</v>
      </c>
      <c r="Y26" s="41"/>
      <c r="Z26" s="41"/>
      <c r="AA26" s="41"/>
      <c r="AB26" s="41"/>
      <c r="AC26" s="41"/>
      <c r="AD26" s="41"/>
      <c r="AE26" s="41"/>
      <c r="AF26" s="41"/>
      <c r="AG26" s="41"/>
      <c r="AH26" s="41"/>
      <c r="AI26" s="41"/>
      <c r="AJ26" s="41"/>
      <c r="AK26" s="41"/>
      <c r="AL26" s="41"/>
      <c r="AM26" s="41"/>
      <c r="AN26" s="41">
        <v>273671.23</v>
      </c>
      <c r="AO26" s="41">
        <v>273672</v>
      </c>
      <c r="AP26" s="40"/>
      <c r="AQ26" s="36">
        <v>44986</v>
      </c>
      <c r="AR26" s="36"/>
      <c r="AS26" s="36"/>
      <c r="AT26" s="36">
        <v>45000</v>
      </c>
      <c r="AU26" s="36"/>
      <c r="AV26" s="38"/>
      <c r="AW26" s="40" t="s">
        <v>87</v>
      </c>
    </row>
    <row r="27" spans="1:49" s="34" customFormat="1" ht="72" x14ac:dyDescent="0.3">
      <c r="A27" s="39" t="s">
        <v>1081</v>
      </c>
      <c r="B27" s="36">
        <v>44728</v>
      </c>
      <c r="C27" s="37" t="s">
        <v>162</v>
      </c>
      <c r="D27" s="39" t="s">
        <v>1082</v>
      </c>
      <c r="E27" s="1" t="s">
        <v>1083</v>
      </c>
      <c r="F27" s="36">
        <v>44764</v>
      </c>
      <c r="G27" s="39" t="s">
        <v>1084</v>
      </c>
      <c r="H27" s="40" t="s">
        <v>177</v>
      </c>
      <c r="I27" s="40" t="s">
        <v>1085</v>
      </c>
      <c r="J27" s="41">
        <v>8821553.4000000004</v>
      </c>
      <c r="K27" s="41">
        <v>8821553.4000000004</v>
      </c>
      <c r="L27" s="30">
        <v>8821553.4000000004</v>
      </c>
      <c r="M27" s="30">
        <v>8821553.4000000004</v>
      </c>
      <c r="N27" s="40" t="s">
        <v>1086</v>
      </c>
      <c r="O27" s="40" t="s">
        <v>1087</v>
      </c>
      <c r="P27" s="40" t="s">
        <v>199</v>
      </c>
      <c r="Q27" s="44">
        <v>0</v>
      </c>
      <c r="R27" s="37">
        <v>100</v>
      </c>
      <c r="S27" s="37" t="s">
        <v>200</v>
      </c>
      <c r="T27" s="48">
        <v>30</v>
      </c>
      <c r="U27" s="30">
        <v>387.42</v>
      </c>
      <c r="V27" s="41">
        <v>11622.6</v>
      </c>
      <c r="W27" s="41">
        <v>22770</v>
      </c>
      <c r="X27" s="41">
        <v>22770</v>
      </c>
      <c r="Y27" s="41"/>
      <c r="Z27" s="41"/>
      <c r="AA27" s="41"/>
      <c r="AB27" s="41"/>
      <c r="AC27" s="41"/>
      <c r="AD27" s="41"/>
      <c r="AE27" s="41"/>
      <c r="AF27" s="41"/>
      <c r="AG27" s="41"/>
      <c r="AH27" s="41"/>
      <c r="AI27" s="41"/>
      <c r="AJ27" s="41"/>
      <c r="AK27" s="41"/>
      <c r="AL27" s="41"/>
      <c r="AM27" s="41"/>
      <c r="AN27" s="41">
        <v>759</v>
      </c>
      <c r="AO27" s="41">
        <v>759</v>
      </c>
      <c r="AP27" s="40"/>
      <c r="AQ27" s="36">
        <v>44958</v>
      </c>
      <c r="AR27" s="36"/>
      <c r="AS27" s="36"/>
      <c r="AT27" s="36">
        <v>44972</v>
      </c>
      <c r="AU27" s="36"/>
      <c r="AV27" s="38"/>
      <c r="AW27" s="40" t="s">
        <v>87</v>
      </c>
    </row>
    <row r="28" spans="1:49" s="34" customFormat="1" ht="72" x14ac:dyDescent="0.3">
      <c r="A28" s="39" t="s">
        <v>1088</v>
      </c>
      <c r="B28" s="36">
        <v>44728</v>
      </c>
      <c r="C28" s="37" t="s">
        <v>162</v>
      </c>
      <c r="D28" s="39" t="s">
        <v>1089</v>
      </c>
      <c r="E28" s="1" t="s">
        <v>1090</v>
      </c>
      <c r="F28" s="36">
        <v>44761</v>
      </c>
      <c r="G28" s="39" t="s">
        <v>1091</v>
      </c>
      <c r="H28" s="40" t="s">
        <v>177</v>
      </c>
      <c r="I28" s="40" t="s">
        <v>1092</v>
      </c>
      <c r="J28" s="41">
        <v>48502972</v>
      </c>
      <c r="K28" s="41">
        <v>41465835.600000001</v>
      </c>
      <c r="L28" s="30">
        <v>41465835.600000001</v>
      </c>
      <c r="M28" s="30">
        <v>41465835.600000001</v>
      </c>
      <c r="N28" s="40" t="s">
        <v>1093</v>
      </c>
      <c r="O28" s="40" t="s">
        <v>1094</v>
      </c>
      <c r="P28" s="40" t="s">
        <v>47</v>
      </c>
      <c r="Q28" s="44">
        <v>100</v>
      </c>
      <c r="R28" s="37">
        <v>0</v>
      </c>
      <c r="S28" s="37" t="s">
        <v>200</v>
      </c>
      <c r="T28" s="48">
        <v>60</v>
      </c>
      <c r="U28" s="30">
        <v>14.790000000000001</v>
      </c>
      <c r="V28" s="41">
        <v>887.40000000000009</v>
      </c>
      <c r="W28" s="41">
        <v>2803640</v>
      </c>
      <c r="X28" s="41">
        <v>2803640</v>
      </c>
      <c r="Y28" s="41"/>
      <c r="Z28" s="41"/>
      <c r="AA28" s="41"/>
      <c r="AB28" s="41"/>
      <c r="AC28" s="41"/>
      <c r="AD28" s="41"/>
      <c r="AE28" s="41"/>
      <c r="AF28" s="41"/>
      <c r="AG28" s="41"/>
      <c r="AH28" s="41"/>
      <c r="AI28" s="41"/>
      <c r="AJ28" s="41"/>
      <c r="AK28" s="41"/>
      <c r="AL28" s="41"/>
      <c r="AM28" s="41"/>
      <c r="AN28" s="41">
        <v>46727.333333333336</v>
      </c>
      <c r="AO28" s="41">
        <v>46728</v>
      </c>
      <c r="AP28" s="40"/>
      <c r="AQ28" s="36">
        <v>44986</v>
      </c>
      <c r="AR28" s="36"/>
      <c r="AS28" s="36"/>
      <c r="AT28" s="36">
        <v>45010</v>
      </c>
      <c r="AU28" s="36"/>
      <c r="AV28" s="38"/>
      <c r="AW28" s="40" t="s">
        <v>87</v>
      </c>
    </row>
    <row r="29" spans="1:49" s="34" customFormat="1" ht="72" x14ac:dyDescent="0.3">
      <c r="A29" s="39" t="s">
        <v>1095</v>
      </c>
      <c r="B29" s="36">
        <v>44728</v>
      </c>
      <c r="C29" s="37" t="s">
        <v>162</v>
      </c>
      <c r="D29" s="39" t="s">
        <v>1096</v>
      </c>
      <c r="E29" s="1" t="s">
        <v>1097</v>
      </c>
      <c r="F29" s="36">
        <v>44764</v>
      </c>
      <c r="G29" s="39" t="s">
        <v>1098</v>
      </c>
      <c r="H29" s="40" t="s">
        <v>177</v>
      </c>
      <c r="I29" s="40" t="s">
        <v>1099</v>
      </c>
      <c r="J29" s="57">
        <v>67619108.700000003</v>
      </c>
      <c r="K29" s="41">
        <v>67280361.719999999</v>
      </c>
      <c r="L29" s="30">
        <v>67280361.719999999</v>
      </c>
      <c r="M29" s="30">
        <v>67280361.719999999</v>
      </c>
      <c r="N29" s="40" t="s">
        <v>1093</v>
      </c>
      <c r="O29" s="40" t="s">
        <v>1100</v>
      </c>
      <c r="P29" s="40" t="s">
        <v>47</v>
      </c>
      <c r="Q29" s="44">
        <v>100</v>
      </c>
      <c r="R29" s="37">
        <v>0</v>
      </c>
      <c r="S29" s="37" t="s">
        <v>200</v>
      </c>
      <c r="T29" s="48">
        <v>30</v>
      </c>
      <c r="U29" s="30">
        <v>25.82</v>
      </c>
      <c r="V29" s="41">
        <v>774.6</v>
      </c>
      <c r="W29" s="41">
        <v>2605746</v>
      </c>
      <c r="X29" s="41">
        <v>2605746</v>
      </c>
      <c r="Y29" s="41"/>
      <c r="Z29" s="41"/>
      <c r="AA29" s="41"/>
      <c r="AB29" s="41"/>
      <c r="AC29" s="41"/>
      <c r="AD29" s="41"/>
      <c r="AE29" s="41"/>
      <c r="AF29" s="41"/>
      <c r="AG29" s="41"/>
      <c r="AH29" s="41"/>
      <c r="AI29" s="41"/>
      <c r="AJ29" s="41"/>
      <c r="AK29" s="41"/>
      <c r="AL29" s="41"/>
      <c r="AM29" s="41"/>
      <c r="AN29" s="41">
        <v>86858.2</v>
      </c>
      <c r="AO29" s="41">
        <v>86859</v>
      </c>
      <c r="AP29" s="40"/>
      <c r="AQ29" s="36">
        <v>45047</v>
      </c>
      <c r="AR29" s="36"/>
      <c r="AS29" s="36"/>
      <c r="AT29" s="36">
        <v>45061</v>
      </c>
      <c r="AU29" s="36"/>
      <c r="AV29" s="38"/>
      <c r="AW29" s="40" t="s">
        <v>87</v>
      </c>
    </row>
    <row r="30" spans="1:49" s="34" customFormat="1" ht="31.2" x14ac:dyDescent="0.3">
      <c r="A30" s="39" t="s">
        <v>1101</v>
      </c>
      <c r="B30" s="36">
        <v>44728</v>
      </c>
      <c r="C30" s="37" t="s">
        <v>162</v>
      </c>
      <c r="D30" s="39" t="s">
        <v>459</v>
      </c>
      <c r="E30" s="40" t="s">
        <v>459</v>
      </c>
      <c r="F30" s="36" t="s">
        <v>459</v>
      </c>
      <c r="G30" s="37" t="s">
        <v>459</v>
      </c>
      <c r="H30" s="40" t="s">
        <v>459</v>
      </c>
      <c r="I30" s="40" t="s">
        <v>1102</v>
      </c>
      <c r="J30" s="41">
        <v>4327282</v>
      </c>
      <c r="K30" s="41">
        <v>0</v>
      </c>
      <c r="L30" s="30">
        <v>0</v>
      </c>
      <c r="M30" s="30">
        <v>0</v>
      </c>
      <c r="N30" s="40"/>
      <c r="O30" s="40"/>
      <c r="P30" s="40"/>
      <c r="Q30" s="44"/>
      <c r="R30" s="37"/>
      <c r="S30" s="37"/>
      <c r="T30" s="48"/>
      <c r="U30" s="30" t="e">
        <v>#DIV/0!</v>
      </c>
      <c r="V30" s="41" t="e">
        <v>#DIV/0!</v>
      </c>
      <c r="W30" s="41">
        <v>0</v>
      </c>
      <c r="X30" s="41"/>
      <c r="Y30" s="41"/>
      <c r="Z30" s="41"/>
      <c r="AA30" s="41"/>
      <c r="AB30" s="41"/>
      <c r="AC30" s="41"/>
      <c r="AD30" s="41"/>
      <c r="AE30" s="41"/>
      <c r="AF30" s="41"/>
      <c r="AG30" s="41"/>
      <c r="AH30" s="41"/>
      <c r="AI30" s="41"/>
      <c r="AJ30" s="41"/>
      <c r="AK30" s="41"/>
      <c r="AL30" s="41"/>
      <c r="AM30" s="41"/>
      <c r="AN30" s="41" t="e">
        <v>#DIV/0!</v>
      </c>
      <c r="AO30" s="41" t="e">
        <v>#DIV/0!</v>
      </c>
      <c r="AP30" s="40"/>
      <c r="AQ30" s="36"/>
      <c r="AR30" s="36"/>
      <c r="AS30" s="36"/>
      <c r="AT30" s="36"/>
      <c r="AU30" s="36"/>
      <c r="AV30" s="38"/>
      <c r="AW30" s="40"/>
    </row>
    <row r="31" spans="1:49" s="34" customFormat="1" ht="72" x14ac:dyDescent="0.3">
      <c r="A31" s="39" t="s">
        <v>1103</v>
      </c>
      <c r="B31" s="36">
        <v>44728</v>
      </c>
      <c r="C31" s="37" t="s">
        <v>162</v>
      </c>
      <c r="D31" s="39" t="s">
        <v>1104</v>
      </c>
      <c r="E31" s="1" t="s">
        <v>1105</v>
      </c>
      <c r="F31" s="36">
        <v>44764</v>
      </c>
      <c r="G31" s="39" t="s">
        <v>1106</v>
      </c>
      <c r="H31" s="40" t="s">
        <v>177</v>
      </c>
      <c r="I31" s="40" t="s">
        <v>1107</v>
      </c>
      <c r="J31" s="41">
        <v>58337559.280000001</v>
      </c>
      <c r="K31" s="41">
        <v>58337559.280000001</v>
      </c>
      <c r="L31" s="30">
        <v>58337559.280000001</v>
      </c>
      <c r="M31" s="30">
        <v>58337559.280000001</v>
      </c>
      <c r="N31" s="40" t="s">
        <v>179</v>
      </c>
      <c r="O31" s="40" t="s">
        <v>1108</v>
      </c>
      <c r="P31" s="40" t="s">
        <v>1032</v>
      </c>
      <c r="Q31" s="44">
        <v>0</v>
      </c>
      <c r="R31" s="37">
        <v>100</v>
      </c>
      <c r="S31" s="37" t="s">
        <v>200</v>
      </c>
      <c r="T31" s="48">
        <v>60</v>
      </c>
      <c r="U31" s="30">
        <v>127.82000000000001</v>
      </c>
      <c r="V31" s="41">
        <v>7669.2000000000007</v>
      </c>
      <c r="W31" s="41">
        <v>456404</v>
      </c>
      <c r="X31" s="41">
        <v>456404</v>
      </c>
      <c r="Y31" s="41"/>
      <c r="Z31" s="41"/>
      <c r="AA31" s="41"/>
      <c r="AB31" s="41"/>
      <c r="AC31" s="41"/>
      <c r="AD31" s="41"/>
      <c r="AE31" s="41"/>
      <c r="AF31" s="41"/>
      <c r="AG31" s="41"/>
      <c r="AH31" s="41"/>
      <c r="AI31" s="41"/>
      <c r="AJ31" s="41"/>
      <c r="AK31" s="41"/>
      <c r="AL31" s="41"/>
      <c r="AM31" s="41"/>
      <c r="AN31" s="41">
        <v>7606.7333333333336</v>
      </c>
      <c r="AO31" s="41">
        <v>7607</v>
      </c>
      <c r="AP31" s="40"/>
      <c r="AQ31" s="36">
        <v>44986</v>
      </c>
      <c r="AR31" s="36"/>
      <c r="AS31" s="36"/>
      <c r="AT31" s="36">
        <v>45000</v>
      </c>
      <c r="AU31" s="36"/>
      <c r="AV31" s="38"/>
      <c r="AW31" s="40" t="s">
        <v>87</v>
      </c>
    </row>
    <row r="32" spans="1:49" s="34" customFormat="1" ht="82.5" customHeight="1" x14ac:dyDescent="0.3">
      <c r="A32" s="39" t="s">
        <v>1109</v>
      </c>
      <c r="B32" s="36">
        <v>44728</v>
      </c>
      <c r="C32" s="37" t="s">
        <v>162</v>
      </c>
      <c r="D32" s="39" t="s">
        <v>1110</v>
      </c>
      <c r="E32" s="1" t="s">
        <v>1111</v>
      </c>
      <c r="F32" s="36">
        <v>44754</v>
      </c>
      <c r="G32" s="37" t="s">
        <v>1112</v>
      </c>
      <c r="H32" s="40" t="s">
        <v>555</v>
      </c>
      <c r="I32" s="40" t="s">
        <v>1113</v>
      </c>
      <c r="J32" s="41">
        <v>2651440</v>
      </c>
      <c r="K32" s="41">
        <v>2651440</v>
      </c>
      <c r="L32" s="30">
        <v>2651440</v>
      </c>
      <c r="M32" s="30">
        <v>2651440</v>
      </c>
      <c r="N32" s="40" t="s">
        <v>1114</v>
      </c>
      <c r="O32" s="40" t="s">
        <v>1115</v>
      </c>
      <c r="P32" s="40" t="s">
        <v>47</v>
      </c>
      <c r="Q32" s="44">
        <v>100</v>
      </c>
      <c r="R32" s="37">
        <v>0</v>
      </c>
      <c r="S32" s="37" t="s">
        <v>219</v>
      </c>
      <c r="T32" s="48">
        <v>200</v>
      </c>
      <c r="U32" s="30">
        <v>2.2000000000000002</v>
      </c>
      <c r="V32" s="41">
        <v>440.00000000000006</v>
      </c>
      <c r="W32" s="41">
        <v>1205200</v>
      </c>
      <c r="X32" s="41">
        <v>1205200</v>
      </c>
      <c r="Y32" s="41"/>
      <c r="Z32" s="41"/>
      <c r="AA32" s="41"/>
      <c r="AB32" s="41"/>
      <c r="AC32" s="41"/>
      <c r="AD32" s="41"/>
      <c r="AE32" s="41"/>
      <c r="AF32" s="41"/>
      <c r="AG32" s="41"/>
      <c r="AH32" s="41"/>
      <c r="AI32" s="41"/>
      <c r="AJ32" s="41"/>
      <c r="AK32" s="41"/>
      <c r="AL32" s="41"/>
      <c r="AM32" s="41"/>
      <c r="AN32" s="41">
        <v>6026</v>
      </c>
      <c r="AO32" s="41">
        <v>6026</v>
      </c>
      <c r="AP32" s="40"/>
      <c r="AQ32" s="36">
        <v>44986</v>
      </c>
      <c r="AR32" s="36"/>
      <c r="AS32" s="36"/>
      <c r="AT32" s="36">
        <v>45000</v>
      </c>
      <c r="AU32" s="36"/>
      <c r="AV32" s="38"/>
      <c r="AW32" s="40" t="s">
        <v>49</v>
      </c>
    </row>
    <row r="33" spans="1:49" s="34" customFormat="1" ht="111" customHeight="1" x14ac:dyDescent="0.3">
      <c r="A33" s="39" t="s">
        <v>1116</v>
      </c>
      <c r="B33" s="36">
        <v>44728</v>
      </c>
      <c r="C33" s="37" t="s">
        <v>162</v>
      </c>
      <c r="D33" s="39" t="s">
        <v>1117</v>
      </c>
      <c r="E33" s="1" t="s">
        <v>1118</v>
      </c>
      <c r="F33" s="36">
        <v>44762</v>
      </c>
      <c r="G33" s="37" t="s">
        <v>1119</v>
      </c>
      <c r="H33" s="40" t="s">
        <v>186</v>
      </c>
      <c r="I33" s="40" t="s">
        <v>1120</v>
      </c>
      <c r="J33" s="57">
        <v>2279052</v>
      </c>
      <c r="K33" s="41">
        <v>2279052</v>
      </c>
      <c r="L33" s="30">
        <v>2279052</v>
      </c>
      <c r="M33" s="30">
        <v>2279052</v>
      </c>
      <c r="N33" s="40" t="s">
        <v>1121</v>
      </c>
      <c r="O33" s="40" t="s">
        <v>1122</v>
      </c>
      <c r="P33" s="40" t="s">
        <v>190</v>
      </c>
      <c r="Q33" s="44">
        <v>0</v>
      </c>
      <c r="R33" s="37">
        <v>100</v>
      </c>
      <c r="S33" s="37" t="s">
        <v>200</v>
      </c>
      <c r="T33" s="48">
        <v>120</v>
      </c>
      <c r="U33" s="30">
        <v>64.38</v>
      </c>
      <c r="V33" s="41">
        <v>7725.5999999999995</v>
      </c>
      <c r="W33" s="41">
        <v>35400</v>
      </c>
      <c r="X33" s="41">
        <v>35400</v>
      </c>
      <c r="Y33" s="41"/>
      <c r="Z33" s="41"/>
      <c r="AA33" s="41"/>
      <c r="AB33" s="41"/>
      <c r="AC33" s="41"/>
      <c r="AD33" s="41"/>
      <c r="AE33" s="41"/>
      <c r="AF33" s="41"/>
      <c r="AG33" s="41"/>
      <c r="AH33" s="41"/>
      <c r="AI33" s="41"/>
      <c r="AJ33" s="41"/>
      <c r="AK33" s="41"/>
      <c r="AL33" s="41"/>
      <c r="AM33" s="41"/>
      <c r="AN33" s="41">
        <v>295</v>
      </c>
      <c r="AO33" s="41">
        <v>295</v>
      </c>
      <c r="AP33" s="40"/>
      <c r="AQ33" s="36">
        <v>44958</v>
      </c>
      <c r="AR33" s="36"/>
      <c r="AS33" s="36"/>
      <c r="AT33" s="36">
        <v>44958</v>
      </c>
      <c r="AU33" s="36"/>
      <c r="AV33" s="38"/>
      <c r="AW33" s="40" t="s">
        <v>87</v>
      </c>
    </row>
    <row r="34" spans="1:49" s="34" customFormat="1" ht="137.25" customHeight="1" x14ac:dyDescent="0.3">
      <c r="A34" s="39" t="s">
        <v>1123</v>
      </c>
      <c r="B34" s="36">
        <v>44728</v>
      </c>
      <c r="C34" s="37" t="s">
        <v>162</v>
      </c>
      <c r="D34" s="39" t="s">
        <v>1124</v>
      </c>
      <c r="E34" s="1" t="s">
        <v>1125</v>
      </c>
      <c r="F34" s="36">
        <v>44764</v>
      </c>
      <c r="G34" s="39" t="s">
        <v>1126</v>
      </c>
      <c r="H34" s="40" t="s">
        <v>571</v>
      </c>
      <c r="I34" s="40" t="s">
        <v>1127</v>
      </c>
      <c r="J34" s="41">
        <v>21490215.5</v>
      </c>
      <c r="K34" s="41">
        <v>13189039.5</v>
      </c>
      <c r="L34" s="30">
        <v>13189039.5</v>
      </c>
      <c r="M34" s="30">
        <v>13189039.5</v>
      </c>
      <c r="N34" s="40" t="s">
        <v>1128</v>
      </c>
      <c r="O34" s="40" t="s">
        <v>1129</v>
      </c>
      <c r="P34" s="40" t="s">
        <v>47</v>
      </c>
      <c r="Q34" s="44">
        <v>100</v>
      </c>
      <c r="R34" s="37">
        <v>0</v>
      </c>
      <c r="S34" s="37" t="s">
        <v>200</v>
      </c>
      <c r="T34" s="48">
        <v>30</v>
      </c>
      <c r="U34" s="30">
        <v>4.83</v>
      </c>
      <c r="V34" s="41">
        <v>144.9</v>
      </c>
      <c r="W34" s="41">
        <v>2730650</v>
      </c>
      <c r="X34" s="41">
        <v>1200000</v>
      </c>
      <c r="Y34" s="41"/>
      <c r="Z34" s="41"/>
      <c r="AA34" s="41"/>
      <c r="AB34" s="41"/>
      <c r="AC34" s="41">
        <v>1530650</v>
      </c>
      <c r="AD34" s="41"/>
      <c r="AE34" s="41"/>
      <c r="AF34" s="41"/>
      <c r="AG34" s="41"/>
      <c r="AH34" s="41"/>
      <c r="AI34" s="41"/>
      <c r="AJ34" s="41"/>
      <c r="AK34" s="41"/>
      <c r="AL34" s="41"/>
      <c r="AM34" s="41"/>
      <c r="AN34" s="41">
        <v>91021.666666666672</v>
      </c>
      <c r="AO34" s="41">
        <v>91022</v>
      </c>
      <c r="AP34" s="40"/>
      <c r="AQ34" s="36">
        <v>44986</v>
      </c>
      <c r="AR34" s="36">
        <v>45108</v>
      </c>
      <c r="AS34" s="36"/>
      <c r="AT34" s="36">
        <v>45000</v>
      </c>
      <c r="AU34" s="36">
        <v>45122</v>
      </c>
      <c r="AV34" s="38"/>
      <c r="AW34" s="40" t="s">
        <v>87</v>
      </c>
    </row>
    <row r="35" spans="1:49" s="34" customFormat="1" ht="72" x14ac:dyDescent="0.3">
      <c r="A35" s="39" t="s">
        <v>1130</v>
      </c>
      <c r="B35" s="36">
        <v>44728</v>
      </c>
      <c r="C35" s="37" t="s">
        <v>162</v>
      </c>
      <c r="D35" s="39" t="s">
        <v>1131</v>
      </c>
      <c r="E35" s="1" t="s">
        <v>1132</v>
      </c>
      <c r="F35" s="36">
        <v>44764</v>
      </c>
      <c r="G35" s="39" t="s">
        <v>1133</v>
      </c>
      <c r="H35" s="40" t="s">
        <v>571</v>
      </c>
      <c r="I35" s="40" t="s">
        <v>1134</v>
      </c>
      <c r="J35" s="41">
        <v>6864018</v>
      </c>
      <c r="K35" s="41">
        <v>3935547</v>
      </c>
      <c r="L35" s="30">
        <v>3935547</v>
      </c>
      <c r="M35" s="30">
        <v>3935547</v>
      </c>
      <c r="N35" s="40" t="s">
        <v>1135</v>
      </c>
      <c r="O35" s="40" t="s">
        <v>1136</v>
      </c>
      <c r="P35" s="40" t="s">
        <v>47</v>
      </c>
      <c r="Q35" s="44">
        <v>100</v>
      </c>
      <c r="R35" s="37">
        <v>0</v>
      </c>
      <c r="S35" s="37" t="s">
        <v>200</v>
      </c>
      <c r="T35" s="48">
        <v>60</v>
      </c>
      <c r="U35" s="30">
        <v>2.97</v>
      </c>
      <c r="V35" s="41">
        <v>178.20000000000002</v>
      </c>
      <c r="W35" s="41">
        <v>1325100</v>
      </c>
      <c r="X35" s="41">
        <v>1325100</v>
      </c>
      <c r="Y35" s="41"/>
      <c r="Z35" s="41"/>
      <c r="AA35" s="41"/>
      <c r="AB35" s="41"/>
      <c r="AC35" s="41"/>
      <c r="AD35" s="41"/>
      <c r="AE35" s="41"/>
      <c r="AF35" s="41"/>
      <c r="AG35" s="41"/>
      <c r="AH35" s="41"/>
      <c r="AI35" s="41"/>
      <c r="AJ35" s="41"/>
      <c r="AK35" s="41"/>
      <c r="AL35" s="41"/>
      <c r="AM35" s="41"/>
      <c r="AN35" s="41">
        <v>22085</v>
      </c>
      <c r="AO35" s="41">
        <v>22085</v>
      </c>
      <c r="AP35" s="40"/>
      <c r="AQ35" s="36">
        <v>44986</v>
      </c>
      <c r="AR35" s="36"/>
      <c r="AS35" s="36"/>
      <c r="AT35" s="36">
        <v>45000</v>
      </c>
      <c r="AU35" s="36"/>
      <c r="AV35" s="38"/>
      <c r="AW35" s="40" t="s">
        <v>87</v>
      </c>
    </row>
    <row r="36" spans="1:49" s="34" customFormat="1" ht="148.5" customHeight="1" x14ac:dyDescent="0.3">
      <c r="A36" s="39" t="s">
        <v>1137</v>
      </c>
      <c r="B36" s="36">
        <v>44728</v>
      </c>
      <c r="C36" s="37" t="s">
        <v>162</v>
      </c>
      <c r="D36" s="39" t="s">
        <v>1138</v>
      </c>
      <c r="E36" s="1" t="s">
        <v>1139</v>
      </c>
      <c r="F36" s="36">
        <v>44754</v>
      </c>
      <c r="G36" s="39" t="s">
        <v>1140</v>
      </c>
      <c r="H36" s="40" t="s">
        <v>571</v>
      </c>
      <c r="I36" s="40" t="s">
        <v>1141</v>
      </c>
      <c r="J36" s="41">
        <v>36845298</v>
      </c>
      <c r="K36" s="41">
        <v>26702936.399999999</v>
      </c>
      <c r="L36" s="30">
        <v>26702936.399999999</v>
      </c>
      <c r="M36" s="30">
        <v>26702936.399999999</v>
      </c>
      <c r="N36" s="40" t="s">
        <v>1142</v>
      </c>
      <c r="O36" s="40" t="s">
        <v>1143</v>
      </c>
      <c r="P36" s="40" t="s">
        <v>47</v>
      </c>
      <c r="Q36" s="44">
        <v>100</v>
      </c>
      <c r="R36" s="37">
        <v>0</v>
      </c>
      <c r="S36" s="37" t="s">
        <v>200</v>
      </c>
      <c r="T36" s="48">
        <v>60</v>
      </c>
      <c r="U36" s="30">
        <v>6.7399999999999993</v>
      </c>
      <c r="V36" s="41">
        <v>404.4</v>
      </c>
      <c r="W36" s="41">
        <v>3961860</v>
      </c>
      <c r="X36" s="41">
        <v>3961860</v>
      </c>
      <c r="Y36" s="41"/>
      <c r="Z36" s="41"/>
      <c r="AA36" s="41"/>
      <c r="AB36" s="41"/>
      <c r="AC36" s="41"/>
      <c r="AD36" s="41"/>
      <c r="AE36" s="41"/>
      <c r="AF36" s="41"/>
      <c r="AG36" s="41"/>
      <c r="AH36" s="41"/>
      <c r="AI36" s="41"/>
      <c r="AJ36" s="41"/>
      <c r="AK36" s="41"/>
      <c r="AL36" s="41"/>
      <c r="AM36" s="41"/>
      <c r="AN36" s="41">
        <v>66031</v>
      </c>
      <c r="AO36" s="41">
        <v>66031</v>
      </c>
      <c r="AP36" s="40"/>
      <c r="AQ36" s="36">
        <v>44986</v>
      </c>
      <c r="AR36" s="36"/>
      <c r="AS36" s="36"/>
      <c r="AT36" s="36">
        <v>45000</v>
      </c>
      <c r="AU36" s="36"/>
      <c r="AV36" s="38"/>
      <c r="AW36" s="40" t="s">
        <v>87</v>
      </c>
    </row>
    <row r="37" spans="1:49" s="34" customFormat="1" ht="86.25" customHeight="1" x14ac:dyDescent="0.3">
      <c r="A37" s="39" t="s">
        <v>1144</v>
      </c>
      <c r="B37" s="36">
        <v>44728</v>
      </c>
      <c r="C37" s="37" t="s">
        <v>162</v>
      </c>
      <c r="D37" s="39" t="s">
        <v>1145</v>
      </c>
      <c r="E37" s="1" t="s">
        <v>1146</v>
      </c>
      <c r="F37" s="36">
        <v>44762</v>
      </c>
      <c r="G37" s="39" t="s">
        <v>1147</v>
      </c>
      <c r="H37" s="40" t="s">
        <v>571</v>
      </c>
      <c r="I37" s="40" t="s">
        <v>1148</v>
      </c>
      <c r="J37" s="41">
        <v>194305019.40000001</v>
      </c>
      <c r="K37" s="41">
        <v>151029959.40000001</v>
      </c>
      <c r="L37" s="30">
        <v>151029959.40000001</v>
      </c>
      <c r="M37" s="30">
        <v>151029959.40000001</v>
      </c>
      <c r="N37" s="40" t="s">
        <v>1149</v>
      </c>
      <c r="O37" s="40" t="s">
        <v>1150</v>
      </c>
      <c r="P37" s="40" t="s">
        <v>47</v>
      </c>
      <c r="Q37" s="44">
        <v>100</v>
      </c>
      <c r="R37" s="37">
        <v>0</v>
      </c>
      <c r="S37" s="37" t="s">
        <v>200</v>
      </c>
      <c r="T37" s="54" t="s">
        <v>1151</v>
      </c>
      <c r="U37" s="30">
        <v>3.49</v>
      </c>
      <c r="V37" s="54" t="s">
        <v>1152</v>
      </c>
      <c r="W37" s="41">
        <v>43275060</v>
      </c>
      <c r="X37" s="41">
        <v>43275060</v>
      </c>
      <c r="Y37" s="41"/>
      <c r="Z37" s="41"/>
      <c r="AA37" s="41"/>
      <c r="AB37" s="41"/>
      <c r="AC37" s="41"/>
      <c r="AD37" s="41"/>
      <c r="AE37" s="41"/>
      <c r="AF37" s="41"/>
      <c r="AG37" s="41"/>
      <c r="AH37" s="41"/>
      <c r="AI37" s="41"/>
      <c r="AJ37" s="41"/>
      <c r="AK37" s="41"/>
      <c r="AL37" s="41"/>
      <c r="AM37" s="41"/>
      <c r="AN37" s="41">
        <v>1442502</v>
      </c>
      <c r="AO37" s="41">
        <v>1442502</v>
      </c>
      <c r="AP37" s="40"/>
      <c r="AQ37" s="36">
        <v>44986</v>
      </c>
      <c r="AR37" s="36"/>
      <c r="AS37" s="36"/>
      <c r="AT37" s="36">
        <v>45000</v>
      </c>
      <c r="AU37" s="36"/>
      <c r="AV37" s="38"/>
      <c r="AW37" s="40" t="s">
        <v>87</v>
      </c>
    </row>
    <row r="38" spans="1:49" s="34" customFormat="1" ht="123.75" customHeight="1" x14ac:dyDescent="0.3">
      <c r="A38" s="39" t="s">
        <v>1153</v>
      </c>
      <c r="B38" s="36">
        <v>44728</v>
      </c>
      <c r="C38" s="37" t="s">
        <v>162</v>
      </c>
      <c r="D38" s="39" t="s">
        <v>1154</v>
      </c>
      <c r="E38" s="1" t="s">
        <v>1155</v>
      </c>
      <c r="F38" s="36">
        <v>44760</v>
      </c>
      <c r="G38" s="39" t="s">
        <v>1156</v>
      </c>
      <c r="H38" s="40" t="s">
        <v>571</v>
      </c>
      <c r="I38" s="40" t="s">
        <v>1157</v>
      </c>
      <c r="J38" s="41">
        <v>358779461.04000002</v>
      </c>
      <c r="K38" s="41">
        <v>356967443.56</v>
      </c>
      <c r="L38" s="30">
        <v>356967443.56</v>
      </c>
      <c r="M38" s="30">
        <v>356967443.56</v>
      </c>
      <c r="N38" s="40" t="s">
        <v>1158</v>
      </c>
      <c r="O38" s="40" t="s">
        <v>1159</v>
      </c>
      <c r="P38" s="40" t="s">
        <v>47</v>
      </c>
      <c r="Q38" s="44">
        <v>100</v>
      </c>
      <c r="R38" s="37">
        <v>0</v>
      </c>
      <c r="S38" s="37" t="s">
        <v>200</v>
      </c>
      <c r="T38" s="54" t="s">
        <v>1160</v>
      </c>
      <c r="U38" s="30">
        <v>179.27</v>
      </c>
      <c r="V38" s="57" t="s">
        <v>1161</v>
      </c>
      <c r="W38" s="41">
        <v>1991228</v>
      </c>
      <c r="X38" s="41">
        <v>1991228</v>
      </c>
      <c r="Y38" s="41"/>
      <c r="Z38" s="41"/>
      <c r="AA38" s="41"/>
      <c r="AB38" s="41"/>
      <c r="AC38" s="41"/>
      <c r="AD38" s="41"/>
      <c r="AE38" s="41"/>
      <c r="AF38" s="41"/>
      <c r="AG38" s="41"/>
      <c r="AH38" s="41"/>
      <c r="AI38" s="41"/>
      <c r="AJ38" s="41"/>
      <c r="AK38" s="41"/>
      <c r="AL38" s="41"/>
      <c r="AM38" s="41"/>
      <c r="AN38" s="41">
        <v>66374.259999999995</v>
      </c>
      <c r="AO38" s="41">
        <v>66375</v>
      </c>
      <c r="AP38" s="40"/>
      <c r="AQ38" s="36">
        <v>44986</v>
      </c>
      <c r="AR38" s="36"/>
      <c r="AS38" s="36"/>
      <c r="AT38" s="36">
        <v>45000</v>
      </c>
      <c r="AU38" s="36"/>
      <c r="AV38" s="38"/>
      <c r="AW38" s="40" t="s">
        <v>87</v>
      </c>
    </row>
    <row r="39" spans="1:49" s="34" customFormat="1" ht="151.5" customHeight="1" x14ac:dyDescent="0.3">
      <c r="A39" s="39" t="s">
        <v>1162</v>
      </c>
      <c r="B39" s="36">
        <v>44728</v>
      </c>
      <c r="C39" s="37" t="s">
        <v>162</v>
      </c>
      <c r="D39" s="39" t="s">
        <v>1163</v>
      </c>
      <c r="E39" s="1" t="s">
        <v>1164</v>
      </c>
      <c r="F39" s="36">
        <v>44762</v>
      </c>
      <c r="G39" s="39" t="s">
        <v>1165</v>
      </c>
      <c r="H39" s="40" t="s">
        <v>186</v>
      </c>
      <c r="I39" s="40" t="s">
        <v>1166</v>
      </c>
      <c r="J39" s="41">
        <v>1052122413.6</v>
      </c>
      <c r="K39" s="41">
        <v>1052122413.6</v>
      </c>
      <c r="L39" s="30">
        <v>1052122413.6</v>
      </c>
      <c r="M39" s="30">
        <v>1052122413.6</v>
      </c>
      <c r="N39" s="40" t="s">
        <v>1167</v>
      </c>
      <c r="O39" s="40" t="s">
        <v>1168</v>
      </c>
      <c r="P39" s="40" t="s">
        <v>47</v>
      </c>
      <c r="Q39" s="44">
        <v>100</v>
      </c>
      <c r="R39" s="37">
        <v>0</v>
      </c>
      <c r="S39" s="37" t="s">
        <v>200</v>
      </c>
      <c r="T39" s="48">
        <v>30</v>
      </c>
      <c r="U39" s="30">
        <v>218.16</v>
      </c>
      <c r="V39" s="41">
        <v>6544.8</v>
      </c>
      <c r="W39" s="41">
        <v>4822710</v>
      </c>
      <c r="X39" s="41">
        <v>4822710</v>
      </c>
      <c r="Y39" s="41"/>
      <c r="Z39" s="41"/>
      <c r="AA39" s="41"/>
      <c r="AB39" s="41"/>
      <c r="AC39" s="41"/>
      <c r="AD39" s="41"/>
      <c r="AE39" s="41"/>
      <c r="AF39" s="41"/>
      <c r="AG39" s="41"/>
      <c r="AH39" s="41"/>
      <c r="AI39" s="41"/>
      <c r="AJ39" s="41"/>
      <c r="AK39" s="41"/>
      <c r="AL39" s="41"/>
      <c r="AM39" s="41"/>
      <c r="AN39" s="41">
        <v>160757</v>
      </c>
      <c r="AO39" s="41">
        <v>160757</v>
      </c>
      <c r="AP39" s="40"/>
      <c r="AQ39" s="36">
        <v>44986</v>
      </c>
      <c r="AR39" s="36"/>
      <c r="AS39" s="36"/>
      <c r="AT39" s="36">
        <v>45000</v>
      </c>
      <c r="AU39" s="36"/>
      <c r="AV39" s="38"/>
      <c r="AW39" s="40" t="s">
        <v>87</v>
      </c>
    </row>
    <row r="40" spans="1:49" s="34" customFormat="1" ht="156" x14ac:dyDescent="0.3">
      <c r="A40" s="39" t="s">
        <v>1169</v>
      </c>
      <c r="B40" s="36">
        <v>44728</v>
      </c>
      <c r="C40" s="37" t="s">
        <v>162</v>
      </c>
      <c r="D40" s="39" t="s">
        <v>1170</v>
      </c>
      <c r="E40" s="1" t="s">
        <v>1171</v>
      </c>
      <c r="F40" s="36">
        <v>44761</v>
      </c>
      <c r="G40" s="39" t="s">
        <v>1172</v>
      </c>
      <c r="H40" s="40" t="s">
        <v>186</v>
      </c>
      <c r="I40" s="40" t="s">
        <v>1173</v>
      </c>
      <c r="J40" s="41">
        <v>596590538.95000005</v>
      </c>
      <c r="K40" s="41">
        <v>596590538.95000005</v>
      </c>
      <c r="L40" s="30">
        <v>596590538.95000005</v>
      </c>
      <c r="M40" s="30">
        <v>596590538.95000005</v>
      </c>
      <c r="N40" s="40" t="s">
        <v>1174</v>
      </c>
      <c r="O40" s="40" t="s">
        <v>1175</v>
      </c>
      <c r="P40" s="40" t="s">
        <v>1176</v>
      </c>
      <c r="Q40" s="44">
        <v>0</v>
      </c>
      <c r="R40" s="37">
        <v>100</v>
      </c>
      <c r="S40" s="37" t="s">
        <v>200</v>
      </c>
      <c r="T40" s="48">
        <v>30</v>
      </c>
      <c r="U40" s="30">
        <v>524.33000000000004</v>
      </c>
      <c r="V40" s="41">
        <v>15729.900000000001</v>
      </c>
      <c r="W40" s="41">
        <v>1137815</v>
      </c>
      <c r="X40" s="41">
        <v>869975</v>
      </c>
      <c r="Y40" s="41"/>
      <c r="Z40" s="41"/>
      <c r="AA40" s="41"/>
      <c r="AB40" s="41"/>
      <c r="AC40" s="41">
        <v>267840</v>
      </c>
      <c r="AD40" s="41"/>
      <c r="AE40" s="41"/>
      <c r="AF40" s="41"/>
      <c r="AG40" s="41"/>
      <c r="AH40" s="41"/>
      <c r="AI40" s="41"/>
      <c r="AJ40" s="41"/>
      <c r="AK40" s="41"/>
      <c r="AL40" s="41"/>
      <c r="AM40" s="41"/>
      <c r="AN40" s="41">
        <v>37927.166666666664</v>
      </c>
      <c r="AO40" s="41">
        <v>37928</v>
      </c>
      <c r="AP40" s="40"/>
      <c r="AQ40" s="36">
        <v>44986</v>
      </c>
      <c r="AR40" s="36">
        <v>45061</v>
      </c>
      <c r="AS40" s="36"/>
      <c r="AT40" s="36">
        <v>45000</v>
      </c>
      <c r="AU40" s="36">
        <v>45076</v>
      </c>
      <c r="AV40" s="38"/>
      <c r="AW40" s="40" t="s">
        <v>87</v>
      </c>
    </row>
    <row r="41" spans="1:49" s="34" customFormat="1" ht="171.75" customHeight="1" x14ac:dyDescent="0.3">
      <c r="A41" s="39" t="s">
        <v>1177</v>
      </c>
      <c r="B41" s="36">
        <v>44733</v>
      </c>
      <c r="C41" s="37" t="s">
        <v>162</v>
      </c>
      <c r="D41" s="39" t="s">
        <v>1178</v>
      </c>
      <c r="E41" s="1" t="s">
        <v>1179</v>
      </c>
      <c r="F41" s="36">
        <v>44754</v>
      </c>
      <c r="G41" s="39" t="s">
        <v>1180</v>
      </c>
      <c r="H41" s="40" t="s">
        <v>571</v>
      </c>
      <c r="I41" s="40" t="s">
        <v>1181</v>
      </c>
      <c r="J41" s="57">
        <v>180166607.19999999</v>
      </c>
      <c r="K41" s="41">
        <v>83564525.599999994</v>
      </c>
      <c r="L41" s="30">
        <v>83564525.599999994</v>
      </c>
      <c r="M41" s="30">
        <v>83564525.599999994</v>
      </c>
      <c r="N41" s="40" t="s">
        <v>1182</v>
      </c>
      <c r="O41" s="40" t="s">
        <v>1183</v>
      </c>
      <c r="P41" s="40" t="s">
        <v>47</v>
      </c>
      <c r="Q41" s="44">
        <v>100</v>
      </c>
      <c r="R41" s="37">
        <v>0</v>
      </c>
      <c r="S41" s="37" t="s">
        <v>200</v>
      </c>
      <c r="T41" s="48">
        <v>30</v>
      </c>
      <c r="U41" s="30">
        <v>6.7299999999999995</v>
      </c>
      <c r="V41" s="41">
        <v>201.89999999999998</v>
      </c>
      <c r="W41" s="41">
        <v>12416720</v>
      </c>
      <c r="X41" s="41">
        <v>4000000</v>
      </c>
      <c r="Y41" s="41"/>
      <c r="Z41" s="41"/>
      <c r="AA41" s="41"/>
      <c r="AB41" s="41"/>
      <c r="AC41" s="41">
        <v>8416720</v>
      </c>
      <c r="AD41" s="41"/>
      <c r="AE41" s="41"/>
      <c r="AF41" s="41"/>
      <c r="AG41" s="41"/>
      <c r="AH41" s="41"/>
      <c r="AI41" s="41"/>
      <c r="AJ41" s="41"/>
      <c r="AK41" s="41"/>
      <c r="AL41" s="41"/>
      <c r="AM41" s="41"/>
      <c r="AN41" s="41">
        <v>413890.66666666669</v>
      </c>
      <c r="AO41" s="41">
        <v>413891</v>
      </c>
      <c r="AP41" s="40"/>
      <c r="AQ41" s="36">
        <v>44986</v>
      </c>
      <c r="AR41" s="36">
        <v>45108</v>
      </c>
      <c r="AS41" s="36"/>
      <c r="AT41" s="36">
        <v>45000</v>
      </c>
      <c r="AU41" s="36">
        <v>45122</v>
      </c>
      <c r="AV41" s="38"/>
      <c r="AW41" s="40" t="s">
        <v>87</v>
      </c>
    </row>
    <row r="42" spans="1:49" s="34" customFormat="1" ht="117.75" customHeight="1" x14ac:dyDescent="0.3">
      <c r="A42" s="39" t="s">
        <v>1184</v>
      </c>
      <c r="B42" s="36">
        <v>44733</v>
      </c>
      <c r="C42" s="37" t="s">
        <v>162</v>
      </c>
      <c r="D42" s="39" t="s">
        <v>459</v>
      </c>
      <c r="E42" s="1" t="s">
        <v>459</v>
      </c>
      <c r="F42" s="36" t="s">
        <v>459</v>
      </c>
      <c r="G42" s="37" t="s">
        <v>459</v>
      </c>
      <c r="H42" s="40" t="s">
        <v>459</v>
      </c>
      <c r="I42" s="40" t="s">
        <v>1185</v>
      </c>
      <c r="J42" s="41">
        <v>13824605</v>
      </c>
      <c r="K42" s="41">
        <v>0</v>
      </c>
      <c r="L42" s="30">
        <v>0</v>
      </c>
      <c r="M42" s="30">
        <v>0</v>
      </c>
      <c r="N42" s="40"/>
      <c r="O42" s="79"/>
      <c r="P42" s="40"/>
      <c r="Q42" s="44"/>
      <c r="R42" s="37"/>
      <c r="S42" s="37"/>
      <c r="T42" s="48"/>
      <c r="U42" s="30" t="e">
        <v>#DIV/0!</v>
      </c>
      <c r="V42" s="41" t="e">
        <v>#DIV/0!</v>
      </c>
      <c r="W42" s="41">
        <v>0</v>
      </c>
      <c r="X42" s="41"/>
      <c r="Y42" s="41"/>
      <c r="Z42" s="41"/>
      <c r="AA42" s="41"/>
      <c r="AB42" s="41"/>
      <c r="AC42" s="41"/>
      <c r="AD42" s="41"/>
      <c r="AE42" s="41"/>
      <c r="AF42" s="41"/>
      <c r="AG42" s="41"/>
      <c r="AH42" s="41"/>
      <c r="AI42" s="41"/>
      <c r="AJ42" s="41"/>
      <c r="AK42" s="41"/>
      <c r="AL42" s="41"/>
      <c r="AM42" s="41"/>
      <c r="AN42" s="41" t="e">
        <v>#DIV/0!</v>
      </c>
      <c r="AO42" s="41" t="e">
        <v>#DIV/0!</v>
      </c>
      <c r="AP42" s="40"/>
      <c r="AQ42" s="36"/>
      <c r="AR42" s="36"/>
      <c r="AS42" s="36"/>
      <c r="AT42" s="36"/>
      <c r="AU42" s="36"/>
      <c r="AV42" s="38"/>
      <c r="AW42" s="40"/>
    </row>
    <row r="43" spans="1:49" s="34" customFormat="1" ht="107.25" customHeight="1" x14ac:dyDescent="0.3">
      <c r="A43" s="39" t="s">
        <v>1186</v>
      </c>
      <c r="B43" s="36">
        <v>44733</v>
      </c>
      <c r="C43" s="37" t="s">
        <v>162</v>
      </c>
      <c r="D43" s="39" t="s">
        <v>1187</v>
      </c>
      <c r="E43" s="1" t="s">
        <v>1188</v>
      </c>
      <c r="F43" s="36">
        <v>44753</v>
      </c>
      <c r="G43" s="39" t="s">
        <v>1189</v>
      </c>
      <c r="H43" s="40" t="s">
        <v>555</v>
      </c>
      <c r="I43" s="40" t="s">
        <v>1190</v>
      </c>
      <c r="J43" s="41">
        <v>4533480</v>
      </c>
      <c r="K43" s="41">
        <v>3589740</v>
      </c>
      <c r="L43" s="30">
        <v>3589740</v>
      </c>
      <c r="M43" s="30">
        <v>3589740</v>
      </c>
      <c r="N43" s="40" t="s">
        <v>1114</v>
      </c>
      <c r="O43" s="40" t="s">
        <v>1191</v>
      </c>
      <c r="P43" s="40" t="s">
        <v>47</v>
      </c>
      <c r="Q43" s="44">
        <v>100</v>
      </c>
      <c r="R43" s="37">
        <v>0</v>
      </c>
      <c r="S43" s="37" t="s">
        <v>627</v>
      </c>
      <c r="T43" s="48">
        <v>60</v>
      </c>
      <c r="U43" s="30">
        <v>4.07</v>
      </c>
      <c r="V43" s="41">
        <v>244.20000000000002</v>
      </c>
      <c r="W43" s="41">
        <v>882000</v>
      </c>
      <c r="X43" s="41">
        <v>882000</v>
      </c>
      <c r="Y43" s="41"/>
      <c r="Z43" s="41"/>
      <c r="AA43" s="41"/>
      <c r="AB43" s="41"/>
      <c r="AC43" s="41"/>
      <c r="AD43" s="41"/>
      <c r="AE43" s="41"/>
      <c r="AF43" s="41"/>
      <c r="AG43" s="41"/>
      <c r="AH43" s="41"/>
      <c r="AI43" s="41"/>
      <c r="AJ43" s="41"/>
      <c r="AK43" s="41"/>
      <c r="AL43" s="41"/>
      <c r="AM43" s="41"/>
      <c r="AN43" s="41">
        <v>14700</v>
      </c>
      <c r="AO43" s="41">
        <v>14700</v>
      </c>
      <c r="AP43" s="40"/>
      <c r="AQ43" s="36">
        <v>44986</v>
      </c>
      <c r="AR43" s="36"/>
      <c r="AS43" s="36"/>
      <c r="AT43" s="36">
        <v>45000</v>
      </c>
      <c r="AU43" s="36"/>
      <c r="AV43" s="38"/>
      <c r="AW43" s="40" t="s">
        <v>87</v>
      </c>
    </row>
    <row r="44" spans="1:49" s="34" customFormat="1" ht="93.6" x14ac:dyDescent="0.3">
      <c r="A44" s="39" t="s">
        <v>1192</v>
      </c>
      <c r="B44" s="36">
        <v>44733</v>
      </c>
      <c r="C44" s="37" t="s">
        <v>162</v>
      </c>
      <c r="D44" s="39" t="s">
        <v>1193</v>
      </c>
      <c r="E44" s="1" t="s">
        <v>1194</v>
      </c>
      <c r="F44" s="36">
        <v>44754</v>
      </c>
      <c r="G44" s="37" t="s">
        <v>1195</v>
      </c>
      <c r="H44" s="40" t="s">
        <v>571</v>
      </c>
      <c r="I44" s="40" t="s">
        <v>1196</v>
      </c>
      <c r="J44" s="41">
        <v>246321416</v>
      </c>
      <c r="K44" s="41">
        <v>246321416</v>
      </c>
      <c r="L44" s="30">
        <v>246321416</v>
      </c>
      <c r="M44" s="30">
        <v>246321416</v>
      </c>
      <c r="N44" s="40" t="s">
        <v>1197</v>
      </c>
      <c r="O44" s="40" t="s">
        <v>1198</v>
      </c>
      <c r="P44" s="40" t="s">
        <v>47</v>
      </c>
      <c r="Q44" s="44">
        <v>100</v>
      </c>
      <c r="R44" s="37">
        <v>0</v>
      </c>
      <c r="S44" s="37" t="s">
        <v>200</v>
      </c>
      <c r="T44" s="48">
        <v>30</v>
      </c>
      <c r="U44" s="30">
        <v>6.71</v>
      </c>
      <c r="V44" s="41">
        <v>201.3</v>
      </c>
      <c r="W44" s="41">
        <v>36709600</v>
      </c>
      <c r="X44" s="41">
        <v>36709600</v>
      </c>
      <c r="Y44" s="41"/>
      <c r="Z44" s="41"/>
      <c r="AA44" s="41"/>
      <c r="AB44" s="41"/>
      <c r="AC44" s="41"/>
      <c r="AD44" s="41"/>
      <c r="AE44" s="41"/>
      <c r="AF44" s="41"/>
      <c r="AG44" s="41"/>
      <c r="AH44" s="41"/>
      <c r="AI44" s="41"/>
      <c r="AJ44" s="41"/>
      <c r="AK44" s="41"/>
      <c r="AL44" s="41"/>
      <c r="AM44" s="41"/>
      <c r="AN44" s="41">
        <v>1223653.3333333333</v>
      </c>
      <c r="AO44" s="41">
        <v>1223654</v>
      </c>
      <c r="AP44" s="40"/>
      <c r="AQ44" s="36">
        <v>44986</v>
      </c>
      <c r="AR44" s="36"/>
      <c r="AS44" s="36"/>
      <c r="AT44" s="36">
        <v>45000</v>
      </c>
      <c r="AU44" s="36"/>
      <c r="AV44" s="38"/>
      <c r="AW44" s="40" t="s">
        <v>87</v>
      </c>
    </row>
    <row r="45" spans="1:49" s="34" customFormat="1" ht="72" x14ac:dyDescent="0.3">
      <c r="A45" s="39" t="s">
        <v>1199</v>
      </c>
      <c r="B45" s="36">
        <v>44733</v>
      </c>
      <c r="C45" s="37" t="s">
        <v>162</v>
      </c>
      <c r="D45" s="39" t="s">
        <v>1200</v>
      </c>
      <c r="E45" s="1" t="s">
        <v>1201</v>
      </c>
      <c r="F45" s="36">
        <v>44754</v>
      </c>
      <c r="G45" s="37" t="s">
        <v>1202</v>
      </c>
      <c r="H45" s="40" t="s">
        <v>555</v>
      </c>
      <c r="I45" s="40" t="s">
        <v>1203</v>
      </c>
      <c r="J45" s="41">
        <v>9074908.8000000007</v>
      </c>
      <c r="K45" s="41">
        <v>1196443.2</v>
      </c>
      <c r="L45" s="30">
        <v>1196443.2</v>
      </c>
      <c r="M45" s="30">
        <v>1196443.2</v>
      </c>
      <c r="N45" s="40" t="s">
        <v>1204</v>
      </c>
      <c r="O45" s="40" t="s">
        <v>1205</v>
      </c>
      <c r="P45" s="40" t="s">
        <v>47</v>
      </c>
      <c r="Q45" s="44">
        <v>100</v>
      </c>
      <c r="R45" s="37">
        <v>0</v>
      </c>
      <c r="S45" s="37" t="s">
        <v>219</v>
      </c>
      <c r="T45" s="48">
        <v>240</v>
      </c>
      <c r="U45" s="30">
        <v>0.53</v>
      </c>
      <c r="V45" s="41">
        <v>127.2</v>
      </c>
      <c r="W45" s="41">
        <v>2257440</v>
      </c>
      <c r="X45" s="41">
        <v>2257440</v>
      </c>
      <c r="Y45" s="41"/>
      <c r="Z45" s="41"/>
      <c r="AA45" s="41"/>
      <c r="AB45" s="41"/>
      <c r="AC45" s="41"/>
      <c r="AD45" s="41"/>
      <c r="AE45" s="41"/>
      <c r="AF45" s="41"/>
      <c r="AG45" s="41"/>
      <c r="AH45" s="41"/>
      <c r="AI45" s="41"/>
      <c r="AJ45" s="41"/>
      <c r="AK45" s="41"/>
      <c r="AL45" s="41"/>
      <c r="AM45" s="41"/>
      <c r="AN45" s="41">
        <v>9406</v>
      </c>
      <c r="AO45" s="41">
        <v>9406</v>
      </c>
      <c r="AP45" s="40"/>
      <c r="AQ45" s="36">
        <v>44986</v>
      </c>
      <c r="AR45" s="36"/>
      <c r="AS45" s="36"/>
      <c r="AT45" s="36">
        <v>45000</v>
      </c>
      <c r="AU45" s="36"/>
      <c r="AV45" s="38"/>
      <c r="AW45" s="40" t="s">
        <v>49</v>
      </c>
    </row>
    <row r="46" spans="1:49" s="34" customFormat="1" ht="72" x14ac:dyDescent="0.3">
      <c r="A46" s="39" t="s">
        <v>1214</v>
      </c>
      <c r="B46" s="36">
        <v>44733</v>
      </c>
      <c r="C46" s="37" t="s">
        <v>162</v>
      </c>
      <c r="D46" s="39" t="s">
        <v>1215</v>
      </c>
      <c r="E46" s="1" t="s">
        <v>1216</v>
      </c>
      <c r="F46" s="36">
        <v>44754</v>
      </c>
      <c r="G46" s="39" t="s">
        <v>1217</v>
      </c>
      <c r="H46" s="40" t="s">
        <v>555</v>
      </c>
      <c r="I46" s="40" t="s">
        <v>1218</v>
      </c>
      <c r="J46" s="41">
        <v>5063557</v>
      </c>
      <c r="K46" s="41">
        <v>5063557</v>
      </c>
      <c r="L46" s="30">
        <v>5063557</v>
      </c>
      <c r="M46" s="30">
        <v>5063557</v>
      </c>
      <c r="N46" s="40" t="s">
        <v>1219</v>
      </c>
      <c r="O46" s="40" t="s">
        <v>1220</v>
      </c>
      <c r="P46" s="40" t="s">
        <v>47</v>
      </c>
      <c r="Q46" s="44">
        <v>100</v>
      </c>
      <c r="R46" s="37">
        <v>0</v>
      </c>
      <c r="S46" s="37" t="s">
        <v>219</v>
      </c>
      <c r="T46" s="48">
        <v>300</v>
      </c>
      <c r="U46" s="30">
        <v>11.21</v>
      </c>
      <c r="V46" s="41">
        <v>3363.0000000000005</v>
      </c>
      <c r="W46" s="41">
        <v>451700</v>
      </c>
      <c r="X46" s="41">
        <v>451700</v>
      </c>
      <c r="Y46" s="41"/>
      <c r="Z46" s="41"/>
      <c r="AA46" s="41"/>
      <c r="AB46" s="41"/>
      <c r="AC46" s="41"/>
      <c r="AD46" s="41"/>
      <c r="AE46" s="41"/>
      <c r="AF46" s="41"/>
      <c r="AG46" s="41"/>
      <c r="AH46" s="41"/>
      <c r="AI46" s="41"/>
      <c r="AJ46" s="41"/>
      <c r="AK46" s="41"/>
      <c r="AL46" s="41"/>
      <c r="AM46" s="41"/>
      <c r="AN46" s="41">
        <v>1505.6666666666667</v>
      </c>
      <c r="AO46" s="41">
        <v>1506</v>
      </c>
      <c r="AP46" s="40"/>
      <c r="AQ46" s="36">
        <v>44986</v>
      </c>
      <c r="AR46" s="36"/>
      <c r="AS46" s="36"/>
      <c r="AT46" s="36">
        <v>45000</v>
      </c>
      <c r="AU46" s="36"/>
      <c r="AV46" s="38"/>
      <c r="AW46" s="40" t="s">
        <v>49</v>
      </c>
    </row>
    <row r="47" spans="1:49" s="34" customFormat="1" ht="109.2" x14ac:dyDescent="0.3">
      <c r="A47" s="39" t="s">
        <v>1221</v>
      </c>
      <c r="B47" s="36">
        <v>44733</v>
      </c>
      <c r="C47" s="37" t="s">
        <v>162</v>
      </c>
      <c r="D47" s="39" t="s">
        <v>1222</v>
      </c>
      <c r="E47" s="1" t="s">
        <v>1223</v>
      </c>
      <c r="F47" s="36">
        <v>44764</v>
      </c>
      <c r="G47" s="39" t="s">
        <v>1224</v>
      </c>
      <c r="H47" s="40" t="s">
        <v>177</v>
      </c>
      <c r="I47" s="40" t="s">
        <v>1225</v>
      </c>
      <c r="J47" s="41">
        <v>1237126611</v>
      </c>
      <c r="K47" s="41">
        <v>1230918104.5</v>
      </c>
      <c r="L47" s="30">
        <v>1230918104.5</v>
      </c>
      <c r="M47" s="30">
        <v>1230918104.5</v>
      </c>
      <c r="N47" s="40" t="s">
        <v>1226</v>
      </c>
      <c r="O47" s="40" t="s">
        <v>1227</v>
      </c>
      <c r="P47" s="40" t="s">
        <v>47</v>
      </c>
      <c r="Q47" s="44">
        <v>100</v>
      </c>
      <c r="R47" s="37">
        <v>0</v>
      </c>
      <c r="S47" s="37" t="s">
        <v>200</v>
      </c>
      <c r="T47" s="54" t="s">
        <v>1228</v>
      </c>
      <c r="U47" s="30">
        <v>37.67</v>
      </c>
      <c r="V47" s="57" t="s">
        <v>1229</v>
      </c>
      <c r="W47" s="41">
        <v>32676350</v>
      </c>
      <c r="X47" s="41">
        <v>32676350</v>
      </c>
      <c r="Y47" s="41"/>
      <c r="Z47" s="41"/>
      <c r="AA47" s="41"/>
      <c r="AB47" s="41"/>
      <c r="AC47" s="41"/>
      <c r="AD47" s="41"/>
      <c r="AE47" s="41"/>
      <c r="AF47" s="41"/>
      <c r="AG47" s="41"/>
      <c r="AH47" s="41"/>
      <c r="AI47" s="41"/>
      <c r="AJ47" s="41"/>
      <c r="AK47" s="41"/>
      <c r="AL47" s="41"/>
      <c r="AM47" s="41"/>
      <c r="AN47" s="41">
        <v>544605.82999999996</v>
      </c>
      <c r="AO47" s="41">
        <v>544606</v>
      </c>
      <c r="AP47" s="40"/>
      <c r="AQ47" s="36">
        <v>44986</v>
      </c>
      <c r="AR47" s="36"/>
      <c r="AS47" s="36"/>
      <c r="AT47" s="36">
        <v>45000</v>
      </c>
      <c r="AU47" s="36"/>
      <c r="AV47" s="38"/>
      <c r="AW47" s="40" t="s">
        <v>87</v>
      </c>
    </row>
    <row r="48" spans="1:49" s="34" customFormat="1" ht="93.6" x14ac:dyDescent="0.3">
      <c r="A48" s="39" t="s">
        <v>1230</v>
      </c>
      <c r="B48" s="36">
        <v>44733</v>
      </c>
      <c r="C48" s="37" t="s">
        <v>162</v>
      </c>
      <c r="D48" s="39" t="s">
        <v>1231</v>
      </c>
      <c r="E48" s="1" t="s">
        <v>1232</v>
      </c>
      <c r="F48" s="36">
        <v>44768</v>
      </c>
      <c r="G48" s="39" t="s">
        <v>1233</v>
      </c>
      <c r="H48" s="40" t="s">
        <v>186</v>
      </c>
      <c r="I48" s="40" t="s">
        <v>1234</v>
      </c>
      <c r="J48" s="41">
        <v>1127964908.4000001</v>
      </c>
      <c r="K48" s="41">
        <v>1127964908.4000001</v>
      </c>
      <c r="L48" s="30">
        <v>1127964908.4000001</v>
      </c>
      <c r="M48" s="30">
        <v>1127964908.4000001</v>
      </c>
      <c r="N48" s="40" t="s">
        <v>1235</v>
      </c>
      <c r="O48" s="40" t="s">
        <v>1236</v>
      </c>
      <c r="P48" s="40" t="s">
        <v>1237</v>
      </c>
      <c r="Q48" s="44">
        <v>0</v>
      </c>
      <c r="R48" s="37">
        <v>100</v>
      </c>
      <c r="S48" s="37" t="s">
        <v>200</v>
      </c>
      <c r="T48" s="48">
        <v>30</v>
      </c>
      <c r="U48" s="30">
        <v>835.0100000000001</v>
      </c>
      <c r="V48" s="41">
        <v>25050.300000000003</v>
      </c>
      <c r="W48" s="41">
        <v>1350840</v>
      </c>
      <c r="X48" s="41">
        <v>1350840</v>
      </c>
      <c r="Y48" s="41"/>
      <c r="Z48" s="41"/>
      <c r="AA48" s="41"/>
      <c r="AB48" s="41"/>
      <c r="AC48" s="41"/>
      <c r="AD48" s="41"/>
      <c r="AE48" s="41"/>
      <c r="AF48" s="41"/>
      <c r="AG48" s="41"/>
      <c r="AH48" s="41"/>
      <c r="AI48" s="41"/>
      <c r="AJ48" s="41"/>
      <c r="AK48" s="41"/>
      <c r="AL48" s="41"/>
      <c r="AM48" s="41"/>
      <c r="AN48" s="41">
        <v>45028</v>
      </c>
      <c r="AO48" s="41">
        <v>45028</v>
      </c>
      <c r="AP48" s="40"/>
      <c r="AQ48" s="36">
        <v>44986</v>
      </c>
      <c r="AR48" s="36"/>
      <c r="AS48" s="36"/>
      <c r="AT48" s="36">
        <v>44972</v>
      </c>
      <c r="AU48" s="36"/>
      <c r="AV48" s="38"/>
      <c r="AW48" s="40" t="s">
        <v>87</v>
      </c>
    </row>
    <row r="49" spans="1:56" ht="165.75" customHeight="1" x14ac:dyDescent="0.3">
      <c r="A49" s="39" t="s">
        <v>1244</v>
      </c>
      <c r="B49" s="36">
        <v>44735</v>
      </c>
      <c r="C49" s="37" t="s">
        <v>1245</v>
      </c>
      <c r="D49" s="39" t="s">
        <v>1246</v>
      </c>
      <c r="E49" s="1" t="s">
        <v>1247</v>
      </c>
      <c r="F49" s="36">
        <v>44768</v>
      </c>
      <c r="G49" s="39" t="s">
        <v>1244</v>
      </c>
      <c r="H49" s="40" t="s">
        <v>186</v>
      </c>
      <c r="I49" s="40" t="s">
        <v>1248</v>
      </c>
      <c r="J49" s="41">
        <v>1931553482.0999999</v>
      </c>
      <c r="K49" s="41">
        <v>1931553482.0999999</v>
      </c>
      <c r="L49" s="30">
        <v>1931553482.0999999</v>
      </c>
      <c r="M49" s="30">
        <v>1931553482.0999999</v>
      </c>
      <c r="N49" s="40" t="s">
        <v>1235</v>
      </c>
      <c r="O49" s="40" t="s">
        <v>1236</v>
      </c>
      <c r="P49" s="40" t="s">
        <v>1237</v>
      </c>
      <c r="Q49" s="44">
        <v>0</v>
      </c>
      <c r="R49" s="37">
        <v>100</v>
      </c>
      <c r="S49" s="37" t="s">
        <v>200</v>
      </c>
      <c r="T49" s="48">
        <v>30</v>
      </c>
      <c r="U49" s="30">
        <v>835.01</v>
      </c>
      <c r="V49" s="41">
        <v>25050.3</v>
      </c>
      <c r="W49" s="41">
        <v>2313210</v>
      </c>
      <c r="X49" s="41">
        <v>2313210</v>
      </c>
      <c r="Y49" s="41"/>
      <c r="Z49" s="41"/>
      <c r="AA49" s="41"/>
      <c r="AB49" s="41"/>
      <c r="AC49" s="41"/>
      <c r="AD49" s="41"/>
      <c r="AE49" s="41"/>
      <c r="AF49" s="41"/>
      <c r="AG49" s="41"/>
      <c r="AH49" s="41"/>
      <c r="AI49" s="41"/>
      <c r="AJ49" s="41"/>
      <c r="AK49" s="41"/>
      <c r="AL49" s="41"/>
      <c r="AM49" s="41"/>
      <c r="AN49" s="41">
        <v>77107</v>
      </c>
      <c r="AO49" s="41">
        <v>77107</v>
      </c>
      <c r="AP49" s="40"/>
      <c r="AQ49" s="36">
        <v>44986</v>
      </c>
      <c r="AR49" s="36"/>
      <c r="AS49" s="36"/>
      <c r="AT49" s="36">
        <v>45000</v>
      </c>
      <c r="AU49" s="36"/>
      <c r="AV49" s="38"/>
      <c r="AW49" s="40" t="s">
        <v>87</v>
      </c>
    </row>
    <row r="50" spans="1:56" ht="31.2" x14ac:dyDescent="0.3">
      <c r="A50" s="39" t="s">
        <v>1249</v>
      </c>
      <c r="B50" s="36">
        <v>44757</v>
      </c>
      <c r="C50" s="37" t="s">
        <v>162</v>
      </c>
      <c r="D50" s="39" t="s">
        <v>459</v>
      </c>
      <c r="E50" s="1" t="s">
        <v>459</v>
      </c>
      <c r="F50" s="36" t="s">
        <v>459</v>
      </c>
      <c r="G50" s="39" t="s">
        <v>459</v>
      </c>
      <c r="H50" s="40" t="s">
        <v>459</v>
      </c>
      <c r="I50" s="40" t="s">
        <v>1250</v>
      </c>
      <c r="J50" s="41">
        <v>4327282</v>
      </c>
      <c r="K50" s="42" t="s">
        <v>459</v>
      </c>
      <c r="L50" s="42" t="s">
        <v>459</v>
      </c>
      <c r="M50" s="42" t="s">
        <v>459</v>
      </c>
      <c r="N50" s="40"/>
      <c r="O50" s="40"/>
      <c r="P50" s="40"/>
      <c r="Q50" s="44"/>
      <c r="R50" s="37"/>
      <c r="S50" s="37"/>
      <c r="T50" s="48"/>
      <c r="U50" s="30" t="e">
        <v>#VALUE!</v>
      </c>
      <c r="V50" s="41" t="e">
        <v>#VALUE!</v>
      </c>
      <c r="W50" s="41">
        <v>0</v>
      </c>
      <c r="X50" s="41"/>
      <c r="Y50" s="41"/>
      <c r="Z50" s="41"/>
      <c r="AA50" s="41"/>
      <c r="AB50" s="41"/>
      <c r="AC50" s="41"/>
      <c r="AD50" s="41"/>
      <c r="AE50" s="41"/>
      <c r="AF50" s="41"/>
      <c r="AG50" s="41"/>
      <c r="AH50" s="41"/>
      <c r="AI50" s="41"/>
      <c r="AJ50" s="41"/>
      <c r="AK50" s="41"/>
      <c r="AL50" s="41"/>
      <c r="AM50" s="41"/>
      <c r="AN50" s="41" t="e">
        <v>#DIV/0!</v>
      </c>
      <c r="AO50" s="41" t="e">
        <v>#DIV/0!</v>
      </c>
      <c r="AP50" s="40"/>
      <c r="AQ50" s="36"/>
      <c r="AR50" s="36"/>
      <c r="AS50" s="36"/>
      <c r="AT50" s="36"/>
      <c r="AU50" s="36"/>
      <c r="AV50" s="38"/>
      <c r="AW50" s="40"/>
    </row>
    <row r="51" spans="1:56" ht="72" x14ac:dyDescent="0.3">
      <c r="A51" s="39" t="s">
        <v>1251</v>
      </c>
      <c r="B51" s="36">
        <v>44768</v>
      </c>
      <c r="C51" s="37" t="s">
        <v>162</v>
      </c>
      <c r="D51" s="39" t="s">
        <v>1252</v>
      </c>
      <c r="E51" s="1" t="s">
        <v>1253</v>
      </c>
      <c r="F51" s="36">
        <v>44788</v>
      </c>
      <c r="G51" s="39" t="s">
        <v>1254</v>
      </c>
      <c r="H51" s="40" t="s">
        <v>186</v>
      </c>
      <c r="I51" s="40" t="s">
        <v>1255</v>
      </c>
      <c r="J51" s="41">
        <v>14176047.6</v>
      </c>
      <c r="K51" s="41">
        <v>14176047.6</v>
      </c>
      <c r="L51" s="30">
        <v>14176047.6</v>
      </c>
      <c r="M51" s="30">
        <v>14176047.6</v>
      </c>
      <c r="N51" s="37" t="s">
        <v>1121</v>
      </c>
      <c r="O51" s="38"/>
      <c r="P51" s="40" t="s">
        <v>190</v>
      </c>
      <c r="Q51" s="40">
        <v>0</v>
      </c>
      <c r="R51" s="40">
        <v>100</v>
      </c>
      <c r="S51" s="44" t="s">
        <v>200</v>
      </c>
      <c r="T51" s="37">
        <v>120</v>
      </c>
      <c r="U51" s="37">
        <v>160.29</v>
      </c>
      <c r="V51" s="45">
        <v>19234.8</v>
      </c>
      <c r="W51" s="30">
        <v>88440</v>
      </c>
      <c r="X51" s="30">
        <v>88440</v>
      </c>
      <c r="Y51" s="30"/>
      <c r="Z51" s="30"/>
      <c r="AA51" s="30"/>
      <c r="AB51" s="30"/>
      <c r="AC51" s="30"/>
      <c r="AD51" s="30"/>
      <c r="AE51" s="30"/>
      <c r="AF51" s="30"/>
      <c r="AG51" s="30"/>
      <c r="AH51" s="41"/>
      <c r="AI51" s="41"/>
      <c r="AJ51" s="41"/>
      <c r="AK51" s="41"/>
      <c r="AL51" s="41"/>
      <c r="AM51" s="41"/>
      <c r="AN51" s="41">
        <v>737</v>
      </c>
      <c r="AO51" s="41">
        <v>737</v>
      </c>
      <c r="AP51" s="47" t="s">
        <v>1256</v>
      </c>
      <c r="AQ51" s="36">
        <v>44958</v>
      </c>
      <c r="AR51" s="36"/>
      <c r="AS51" s="36"/>
      <c r="AT51" s="36">
        <v>44972</v>
      </c>
      <c r="AU51" s="36"/>
      <c r="AV51" s="36"/>
      <c r="AW51" s="40" t="s">
        <v>87</v>
      </c>
    </row>
    <row r="52" spans="1:56" s="34" customFormat="1" ht="72" x14ac:dyDescent="0.3">
      <c r="A52" s="35" t="s">
        <v>1992</v>
      </c>
      <c r="B52" s="38">
        <v>44949</v>
      </c>
      <c r="C52" s="40" t="s">
        <v>162</v>
      </c>
      <c r="D52" s="39" t="s">
        <v>1993</v>
      </c>
      <c r="E52" s="1" t="s">
        <v>1994</v>
      </c>
      <c r="F52" s="36">
        <v>44970</v>
      </c>
      <c r="G52" s="35" t="s">
        <v>1995</v>
      </c>
      <c r="H52" s="40" t="s">
        <v>571</v>
      </c>
      <c r="I52" s="40" t="s">
        <v>1996</v>
      </c>
      <c r="J52" s="57">
        <v>130917.6</v>
      </c>
      <c r="K52" s="41">
        <v>130917.6</v>
      </c>
      <c r="L52" s="30">
        <v>130917.6</v>
      </c>
      <c r="M52" s="30">
        <v>130917.6</v>
      </c>
      <c r="N52" s="40" t="s">
        <v>1997</v>
      </c>
      <c r="O52" s="40" t="s">
        <v>1998</v>
      </c>
      <c r="P52" s="40" t="s">
        <v>47</v>
      </c>
      <c r="Q52" s="44">
        <v>100</v>
      </c>
      <c r="R52" s="37">
        <v>0</v>
      </c>
      <c r="S52" s="37" t="s">
        <v>1964</v>
      </c>
      <c r="T52" s="48">
        <v>60</v>
      </c>
      <c r="U52" s="30">
        <v>6.38</v>
      </c>
      <c r="V52" s="41">
        <v>382.8</v>
      </c>
      <c r="W52" s="41">
        <v>20520</v>
      </c>
      <c r="X52" s="41">
        <v>20520</v>
      </c>
      <c r="Y52" s="41">
        <v>0</v>
      </c>
      <c r="Z52" s="41">
        <v>0</v>
      </c>
      <c r="AA52" s="41">
        <v>0</v>
      </c>
      <c r="AB52" s="41">
        <v>0</v>
      </c>
      <c r="AC52" s="41">
        <v>0</v>
      </c>
      <c r="AD52" s="41">
        <v>0</v>
      </c>
      <c r="AE52" s="41">
        <v>0</v>
      </c>
      <c r="AF52" s="41">
        <v>0</v>
      </c>
      <c r="AG52" s="41">
        <v>0</v>
      </c>
      <c r="AH52" s="41">
        <v>0</v>
      </c>
      <c r="AI52" s="41">
        <v>0</v>
      </c>
      <c r="AJ52" s="41">
        <v>0</v>
      </c>
      <c r="AK52" s="41">
        <v>0</v>
      </c>
      <c r="AL52" s="41">
        <v>0</v>
      </c>
      <c r="AM52" s="41"/>
      <c r="AN52" s="41">
        <v>342</v>
      </c>
      <c r="AO52" s="41">
        <v>342</v>
      </c>
      <c r="AP52" s="40"/>
      <c r="AQ52" s="36">
        <v>45078</v>
      </c>
      <c r="AR52" s="36"/>
      <c r="AS52" s="36"/>
      <c r="AT52" s="36">
        <v>45092</v>
      </c>
      <c r="AU52" s="36"/>
      <c r="AV52" s="38"/>
      <c r="AW52" s="40" t="s">
        <v>87</v>
      </c>
    </row>
    <row r="53" spans="1:56" s="34" customFormat="1" ht="144.75" customHeight="1" x14ac:dyDescent="0.3">
      <c r="A53" s="35" t="s">
        <v>1999</v>
      </c>
      <c r="B53" s="38">
        <v>44950</v>
      </c>
      <c r="C53" s="40" t="s">
        <v>162</v>
      </c>
      <c r="D53" s="39" t="s">
        <v>2000</v>
      </c>
      <c r="E53" s="1" t="s">
        <v>2001</v>
      </c>
      <c r="F53" s="36">
        <v>44970</v>
      </c>
      <c r="G53" s="35" t="s">
        <v>2002</v>
      </c>
      <c r="H53" s="40" t="s">
        <v>2003</v>
      </c>
      <c r="I53" s="40" t="s">
        <v>922</v>
      </c>
      <c r="J53" s="57">
        <v>22434500.699999999</v>
      </c>
      <c r="K53" s="41">
        <v>18388935</v>
      </c>
      <c r="L53" s="30">
        <v>18388935</v>
      </c>
      <c r="M53" s="30">
        <v>18388935</v>
      </c>
      <c r="N53" s="40" t="s">
        <v>2004</v>
      </c>
      <c r="O53" s="40" t="s">
        <v>2005</v>
      </c>
      <c r="P53" s="40" t="s">
        <v>47</v>
      </c>
      <c r="Q53" s="44">
        <v>100</v>
      </c>
      <c r="R53" s="37">
        <v>0</v>
      </c>
      <c r="S53" s="37" t="s">
        <v>1964</v>
      </c>
      <c r="T53" s="48">
        <v>60</v>
      </c>
      <c r="U53" s="30">
        <v>1.5</v>
      </c>
      <c r="V53" s="41">
        <v>90</v>
      </c>
      <c r="W53" s="41">
        <v>12259290</v>
      </c>
      <c r="X53" s="41">
        <v>12259290</v>
      </c>
      <c r="Y53" s="41">
        <v>0</v>
      </c>
      <c r="Z53" s="41">
        <v>0</v>
      </c>
      <c r="AA53" s="41">
        <v>0</v>
      </c>
      <c r="AB53" s="41">
        <v>0</v>
      </c>
      <c r="AC53" s="41">
        <v>0</v>
      </c>
      <c r="AD53" s="41">
        <v>0</v>
      </c>
      <c r="AE53" s="41">
        <v>0</v>
      </c>
      <c r="AF53" s="41">
        <v>0</v>
      </c>
      <c r="AG53" s="41">
        <v>0</v>
      </c>
      <c r="AH53" s="41">
        <v>0</v>
      </c>
      <c r="AI53" s="41">
        <v>0</v>
      </c>
      <c r="AJ53" s="41">
        <v>0</v>
      </c>
      <c r="AK53" s="41">
        <v>0</v>
      </c>
      <c r="AL53" s="41">
        <v>0</v>
      </c>
      <c r="AM53" s="41"/>
      <c r="AN53" s="41">
        <v>204321.5</v>
      </c>
      <c r="AO53" s="41">
        <v>204322</v>
      </c>
      <c r="AP53" s="40"/>
      <c r="AQ53" s="36">
        <v>45047</v>
      </c>
      <c r="AR53" s="36"/>
      <c r="AS53" s="36"/>
      <c r="AT53" s="36">
        <v>45061</v>
      </c>
      <c r="AU53" s="36"/>
      <c r="AV53" s="38"/>
      <c r="AW53" s="40" t="s">
        <v>49</v>
      </c>
    </row>
    <row r="54" spans="1:56" ht="72" x14ac:dyDescent="0.3">
      <c r="A54" s="35" t="s">
        <v>2006</v>
      </c>
      <c r="B54" s="38">
        <v>44950</v>
      </c>
      <c r="C54" s="40" t="s">
        <v>162</v>
      </c>
      <c r="D54" s="39" t="s">
        <v>2007</v>
      </c>
      <c r="E54" s="1" t="s">
        <v>2008</v>
      </c>
      <c r="F54" s="36">
        <v>44971</v>
      </c>
      <c r="G54" s="35" t="s">
        <v>2009</v>
      </c>
      <c r="H54" s="40" t="s">
        <v>2010</v>
      </c>
      <c r="I54" s="40" t="s">
        <v>1203</v>
      </c>
      <c r="J54" s="57">
        <v>1801825.44</v>
      </c>
      <c r="K54" s="41">
        <v>1388907.11</v>
      </c>
      <c r="L54" s="30">
        <v>1408065.71</v>
      </c>
      <c r="M54" s="30">
        <v>1408065.71</v>
      </c>
      <c r="N54" s="40" t="s">
        <v>1204</v>
      </c>
      <c r="O54" s="40" t="s">
        <v>1205</v>
      </c>
      <c r="P54" s="40" t="s">
        <v>47</v>
      </c>
      <c r="Q54" s="44">
        <v>100</v>
      </c>
      <c r="R54" s="37">
        <v>0</v>
      </c>
      <c r="S54" s="37" t="s">
        <v>219</v>
      </c>
      <c r="T54" s="48">
        <v>240</v>
      </c>
      <c r="U54" s="30">
        <v>0.37</v>
      </c>
      <c r="V54" s="41">
        <v>88.8</v>
      </c>
      <c r="W54" s="41">
        <v>3805583</v>
      </c>
      <c r="X54" s="41">
        <v>3805583</v>
      </c>
      <c r="Y54" s="41">
        <v>0</v>
      </c>
      <c r="Z54" s="41">
        <v>0</v>
      </c>
      <c r="AA54" s="41">
        <v>0</v>
      </c>
      <c r="AB54" s="41">
        <v>0</v>
      </c>
      <c r="AC54" s="41">
        <v>0</v>
      </c>
      <c r="AD54" s="41">
        <v>0</v>
      </c>
      <c r="AE54" s="41">
        <v>0</v>
      </c>
      <c r="AF54" s="41">
        <v>0</v>
      </c>
      <c r="AG54" s="41">
        <v>0</v>
      </c>
      <c r="AH54" s="41">
        <v>0</v>
      </c>
      <c r="AI54" s="41">
        <v>0</v>
      </c>
      <c r="AJ54" s="41">
        <v>0</v>
      </c>
      <c r="AK54" s="41">
        <v>0</v>
      </c>
      <c r="AL54" s="41">
        <v>0</v>
      </c>
      <c r="AM54" s="41"/>
      <c r="AN54" s="41">
        <v>15856.595833333333</v>
      </c>
      <c r="AO54" s="41">
        <v>15857</v>
      </c>
      <c r="AP54" s="40"/>
      <c r="AQ54" s="36">
        <v>45047</v>
      </c>
      <c r="AR54" s="36"/>
      <c r="AS54" s="36"/>
      <c r="AT54" s="36">
        <v>45061</v>
      </c>
      <c r="AU54" s="36"/>
      <c r="AV54" s="38"/>
      <c r="AW54" s="40" t="s">
        <v>49</v>
      </c>
    </row>
    <row r="55" spans="1:56" ht="140.4" customHeight="1" x14ac:dyDescent="0.3">
      <c r="A55" s="35" t="s">
        <v>2011</v>
      </c>
      <c r="B55" s="38">
        <v>44950</v>
      </c>
      <c r="C55" s="40" t="s">
        <v>162</v>
      </c>
      <c r="D55" s="39" t="s">
        <v>2012</v>
      </c>
      <c r="E55" s="1" t="s">
        <v>2013</v>
      </c>
      <c r="F55" s="36">
        <v>44972</v>
      </c>
      <c r="G55" s="35" t="s">
        <v>2014</v>
      </c>
      <c r="H55" s="40" t="s">
        <v>2003</v>
      </c>
      <c r="I55" s="40" t="s">
        <v>1141</v>
      </c>
      <c r="J55" s="57">
        <v>63066276</v>
      </c>
      <c r="K55" s="41">
        <v>44078580</v>
      </c>
      <c r="L55" s="30">
        <v>44078580</v>
      </c>
      <c r="M55" s="30">
        <v>44078580</v>
      </c>
      <c r="N55" s="40" t="s">
        <v>2015</v>
      </c>
      <c r="O55" s="40" t="s">
        <v>2016</v>
      </c>
      <c r="P55" s="40" t="s">
        <v>47</v>
      </c>
      <c r="Q55" s="44">
        <v>100</v>
      </c>
      <c r="R55" s="37">
        <v>0</v>
      </c>
      <c r="S55" s="37" t="s">
        <v>219</v>
      </c>
      <c r="T55" s="54" t="s">
        <v>2017</v>
      </c>
      <c r="U55" s="30">
        <v>6.5</v>
      </c>
      <c r="V55" s="57" t="s">
        <v>2018</v>
      </c>
      <c r="W55" s="41">
        <v>6781320</v>
      </c>
      <c r="X55" s="41">
        <v>6781320</v>
      </c>
      <c r="Y55" s="41">
        <v>0</v>
      </c>
      <c r="Z55" s="41">
        <v>0</v>
      </c>
      <c r="AA55" s="41">
        <v>0</v>
      </c>
      <c r="AB55" s="41">
        <v>0</v>
      </c>
      <c r="AC55" s="41">
        <v>0</v>
      </c>
      <c r="AD55" s="41">
        <v>0</v>
      </c>
      <c r="AE55" s="41">
        <v>0</v>
      </c>
      <c r="AF55" s="41">
        <v>0</v>
      </c>
      <c r="AG55" s="41">
        <v>0</v>
      </c>
      <c r="AH55" s="41">
        <v>0</v>
      </c>
      <c r="AI55" s="41">
        <v>0</v>
      </c>
      <c r="AJ55" s="41">
        <v>0</v>
      </c>
      <c r="AK55" s="41">
        <v>0</v>
      </c>
      <c r="AL55" s="41">
        <v>0</v>
      </c>
      <c r="AM55" s="41"/>
      <c r="AN55" s="57" t="s">
        <v>2019</v>
      </c>
      <c r="AO55" s="57" t="s">
        <v>2019</v>
      </c>
      <c r="AP55" s="40"/>
      <c r="AQ55" s="36">
        <v>45047</v>
      </c>
      <c r="AR55" s="36"/>
      <c r="AS55" s="36"/>
      <c r="AT55" s="36">
        <v>45061</v>
      </c>
      <c r="AU55" s="36"/>
      <c r="AV55" s="38"/>
      <c r="AW55" s="40" t="s">
        <v>49</v>
      </c>
    </row>
    <row r="56" spans="1:56" ht="72" x14ac:dyDescent="0.3">
      <c r="A56" s="35" t="s">
        <v>2020</v>
      </c>
      <c r="B56" s="38">
        <v>44950</v>
      </c>
      <c r="C56" s="40" t="s">
        <v>162</v>
      </c>
      <c r="D56" s="39" t="s">
        <v>459</v>
      </c>
      <c r="E56" s="1" t="s">
        <v>2021</v>
      </c>
      <c r="F56" s="36" t="s">
        <v>459</v>
      </c>
      <c r="G56" s="37" t="s">
        <v>459</v>
      </c>
      <c r="H56" s="40" t="s">
        <v>459</v>
      </c>
      <c r="I56" s="40" t="s">
        <v>908</v>
      </c>
      <c r="J56" s="57">
        <v>1863892.8</v>
      </c>
      <c r="K56" s="41">
        <v>0</v>
      </c>
      <c r="L56" s="30">
        <v>0</v>
      </c>
      <c r="M56" s="30">
        <v>0</v>
      </c>
      <c r="N56" s="40"/>
      <c r="O56" s="40"/>
      <c r="P56" s="40"/>
      <c r="Q56" s="44"/>
      <c r="R56" s="37"/>
      <c r="S56" s="37"/>
      <c r="T56" s="48"/>
      <c r="U56" s="30" t="e">
        <v>#DIV/0!</v>
      </c>
      <c r="V56" s="41" t="e">
        <v>#DIV/0!</v>
      </c>
      <c r="W56" s="41">
        <v>0</v>
      </c>
      <c r="X56" s="41"/>
      <c r="Y56" s="41"/>
      <c r="Z56" s="41"/>
      <c r="AA56" s="41"/>
      <c r="AB56" s="41"/>
      <c r="AC56" s="41"/>
      <c r="AD56" s="41"/>
      <c r="AE56" s="41"/>
      <c r="AF56" s="41"/>
      <c r="AG56" s="41"/>
      <c r="AH56" s="41"/>
      <c r="AI56" s="41"/>
      <c r="AJ56" s="41"/>
      <c r="AK56" s="41"/>
      <c r="AL56" s="41"/>
      <c r="AM56" s="41"/>
      <c r="AN56" s="41" t="e">
        <v>#DIV/0!</v>
      </c>
      <c r="AO56" s="41" t="e">
        <v>#DIV/0!</v>
      </c>
      <c r="AP56" s="40"/>
      <c r="AQ56" s="36"/>
      <c r="AR56" s="36"/>
      <c r="AS56" s="36"/>
      <c r="AT56" s="36"/>
      <c r="AU56" s="36"/>
      <c r="AV56" s="38"/>
      <c r="AW56" s="40"/>
    </row>
    <row r="57" spans="1:56" ht="72" x14ac:dyDescent="0.3">
      <c r="A57" s="35" t="s">
        <v>2024</v>
      </c>
      <c r="B57" s="38">
        <v>44950</v>
      </c>
      <c r="C57" s="40" t="s">
        <v>162</v>
      </c>
      <c r="D57" s="39" t="s">
        <v>2025</v>
      </c>
      <c r="E57" s="1" t="s">
        <v>2026</v>
      </c>
      <c r="F57" s="36">
        <v>44970</v>
      </c>
      <c r="G57" s="35" t="s">
        <v>2027</v>
      </c>
      <c r="H57" s="40" t="s">
        <v>571</v>
      </c>
      <c r="I57" s="40" t="s">
        <v>2028</v>
      </c>
      <c r="J57" s="57">
        <v>991452</v>
      </c>
      <c r="K57" s="41">
        <v>991452</v>
      </c>
      <c r="L57" s="30">
        <v>991452</v>
      </c>
      <c r="M57" s="30">
        <v>991452</v>
      </c>
      <c r="N57" s="40" t="s">
        <v>2029</v>
      </c>
      <c r="O57" s="40" t="s">
        <v>1136</v>
      </c>
      <c r="P57" s="40" t="s">
        <v>47</v>
      </c>
      <c r="Q57" s="44">
        <v>100</v>
      </c>
      <c r="R57" s="37">
        <v>0</v>
      </c>
      <c r="S57" s="37" t="s">
        <v>1964</v>
      </c>
      <c r="T57" s="48">
        <v>60</v>
      </c>
      <c r="U57" s="30">
        <v>2.59</v>
      </c>
      <c r="V57" s="41">
        <v>155.39999999999998</v>
      </c>
      <c r="W57" s="41">
        <v>382800</v>
      </c>
      <c r="X57" s="41">
        <v>382800</v>
      </c>
      <c r="Y57" s="41">
        <v>0</v>
      </c>
      <c r="Z57" s="41">
        <v>0</v>
      </c>
      <c r="AA57" s="41">
        <v>0</v>
      </c>
      <c r="AB57" s="41">
        <v>0</v>
      </c>
      <c r="AC57" s="41">
        <v>0</v>
      </c>
      <c r="AD57" s="41">
        <v>0</v>
      </c>
      <c r="AE57" s="41">
        <v>0</v>
      </c>
      <c r="AF57" s="41">
        <v>0</v>
      </c>
      <c r="AG57" s="41">
        <v>0</v>
      </c>
      <c r="AH57" s="41">
        <v>0</v>
      </c>
      <c r="AI57" s="41">
        <v>0</v>
      </c>
      <c r="AJ57" s="41">
        <v>0</v>
      </c>
      <c r="AK57" s="41">
        <v>0</v>
      </c>
      <c r="AL57" s="41">
        <v>0</v>
      </c>
      <c r="AM57" s="41"/>
      <c r="AN57" s="41">
        <v>6380</v>
      </c>
      <c r="AO57" s="41">
        <v>6380</v>
      </c>
      <c r="AP57" s="40"/>
      <c r="AQ57" s="36">
        <v>45047</v>
      </c>
      <c r="AR57" s="36"/>
      <c r="AS57" s="36"/>
      <c r="AT57" s="36">
        <v>45061</v>
      </c>
      <c r="AU57" s="36"/>
      <c r="AV57" s="38"/>
      <c r="AW57" s="40" t="s">
        <v>87</v>
      </c>
    </row>
    <row r="58" spans="1:56" ht="93.6" x14ac:dyDescent="0.3">
      <c r="A58" s="35" t="s">
        <v>2030</v>
      </c>
      <c r="B58" s="38">
        <v>44950</v>
      </c>
      <c r="C58" s="40" t="s">
        <v>162</v>
      </c>
      <c r="D58" s="39" t="s">
        <v>2031</v>
      </c>
      <c r="E58" s="1" t="s">
        <v>2032</v>
      </c>
      <c r="F58" s="36">
        <v>44970</v>
      </c>
      <c r="G58" s="35" t="s">
        <v>2033</v>
      </c>
      <c r="H58" s="40" t="s">
        <v>177</v>
      </c>
      <c r="I58" s="40" t="s">
        <v>1062</v>
      </c>
      <c r="J58" s="57">
        <v>254832192.30000001</v>
      </c>
      <c r="K58" s="41">
        <v>169446920.65000001</v>
      </c>
      <c r="L58" s="30">
        <v>170715723.00999999</v>
      </c>
      <c r="M58" s="30">
        <v>170715723.00999999</v>
      </c>
      <c r="N58" s="40" t="s">
        <v>2034</v>
      </c>
      <c r="O58" s="40" t="s">
        <v>2035</v>
      </c>
      <c r="P58" s="40" t="s">
        <v>47</v>
      </c>
      <c r="Q58" s="44">
        <v>100</v>
      </c>
      <c r="R58" s="37">
        <v>0</v>
      </c>
      <c r="S58" s="37" t="s">
        <v>1964</v>
      </c>
      <c r="T58" s="48">
        <v>60</v>
      </c>
      <c r="U58" s="30">
        <v>72.97</v>
      </c>
      <c r="V58" s="41">
        <v>4378.2</v>
      </c>
      <c r="W58" s="41">
        <v>2339533</v>
      </c>
      <c r="X58" s="41">
        <v>2339533</v>
      </c>
      <c r="Y58" s="41">
        <v>0</v>
      </c>
      <c r="Z58" s="41">
        <v>0</v>
      </c>
      <c r="AA58" s="41">
        <v>0</v>
      </c>
      <c r="AB58" s="41">
        <v>0</v>
      </c>
      <c r="AC58" s="41">
        <v>0</v>
      </c>
      <c r="AD58" s="41">
        <v>0</v>
      </c>
      <c r="AE58" s="41">
        <v>0</v>
      </c>
      <c r="AF58" s="41">
        <v>0</v>
      </c>
      <c r="AG58" s="41">
        <v>0</v>
      </c>
      <c r="AH58" s="41">
        <v>0</v>
      </c>
      <c r="AI58" s="41">
        <v>0</v>
      </c>
      <c r="AJ58" s="41">
        <v>0</v>
      </c>
      <c r="AK58" s="41">
        <v>0</v>
      </c>
      <c r="AL58" s="41">
        <v>0</v>
      </c>
      <c r="AM58" s="41"/>
      <c r="AN58" s="41">
        <v>38992.216666666667</v>
      </c>
      <c r="AO58" s="41">
        <v>38993</v>
      </c>
      <c r="AP58" s="40"/>
      <c r="AQ58" s="36">
        <v>45047</v>
      </c>
      <c r="AR58" s="36"/>
      <c r="AS58" s="36"/>
      <c r="AT58" s="36">
        <v>45061</v>
      </c>
      <c r="AU58" s="36"/>
      <c r="AV58" s="38"/>
      <c r="AW58" s="40" t="s">
        <v>49</v>
      </c>
    </row>
    <row r="59" spans="1:56" ht="72" x14ac:dyDescent="0.3">
      <c r="A59" s="35" t="s">
        <v>2036</v>
      </c>
      <c r="B59" s="38">
        <v>44950</v>
      </c>
      <c r="C59" s="40" t="s">
        <v>162</v>
      </c>
      <c r="D59" s="39" t="s">
        <v>459</v>
      </c>
      <c r="E59" s="1" t="s">
        <v>2037</v>
      </c>
      <c r="F59" s="36" t="s">
        <v>459</v>
      </c>
      <c r="G59" s="35" t="s">
        <v>459</v>
      </c>
      <c r="H59" s="40" t="s">
        <v>459</v>
      </c>
      <c r="I59" s="40" t="s">
        <v>992</v>
      </c>
      <c r="J59" s="57">
        <v>725868</v>
      </c>
      <c r="K59" s="41">
        <v>0</v>
      </c>
      <c r="L59" s="30">
        <v>0</v>
      </c>
      <c r="M59" s="30">
        <v>0</v>
      </c>
      <c r="N59" s="40"/>
      <c r="O59" s="40"/>
      <c r="P59" s="40"/>
      <c r="Q59" s="44"/>
      <c r="R59" s="37"/>
      <c r="S59" s="37"/>
      <c r="T59" s="48"/>
      <c r="U59" s="30" t="e">
        <v>#DIV/0!</v>
      </c>
      <c r="V59" s="41" t="e">
        <v>#DIV/0!</v>
      </c>
      <c r="W59" s="41">
        <v>0</v>
      </c>
      <c r="X59" s="41"/>
      <c r="Y59" s="41"/>
      <c r="Z59" s="41"/>
      <c r="AA59" s="41"/>
      <c r="AB59" s="41"/>
      <c r="AC59" s="41"/>
      <c r="AD59" s="41"/>
      <c r="AE59" s="41"/>
      <c r="AF59" s="41"/>
      <c r="AG59" s="41"/>
      <c r="AH59" s="41"/>
      <c r="AI59" s="41"/>
      <c r="AJ59" s="41"/>
      <c r="AK59" s="41"/>
      <c r="AL59" s="41"/>
      <c r="AM59" s="41"/>
      <c r="AN59" s="41" t="e">
        <v>#DIV/0!</v>
      </c>
      <c r="AO59" s="41" t="e">
        <v>#DIV/0!</v>
      </c>
      <c r="AP59" s="40"/>
      <c r="AQ59" s="36"/>
      <c r="AR59" s="36"/>
      <c r="AS59" s="36"/>
      <c r="AT59" s="36"/>
      <c r="AU59" s="36"/>
      <c r="AV59" s="38"/>
      <c r="AW59" s="40"/>
    </row>
    <row r="60" spans="1:56" ht="72" x14ac:dyDescent="0.3">
      <c r="A60" s="35" t="s">
        <v>2038</v>
      </c>
      <c r="B60" s="38">
        <v>44950</v>
      </c>
      <c r="C60" s="40" t="s">
        <v>162</v>
      </c>
      <c r="D60" s="39" t="s">
        <v>2039</v>
      </c>
      <c r="E60" s="1" t="s">
        <v>2040</v>
      </c>
      <c r="F60" s="36">
        <v>44970</v>
      </c>
      <c r="G60" s="35" t="s">
        <v>2041</v>
      </c>
      <c r="H60" s="40" t="s">
        <v>571</v>
      </c>
      <c r="I60" s="40" t="s">
        <v>2042</v>
      </c>
      <c r="J60" s="57">
        <v>873452.65</v>
      </c>
      <c r="K60" s="57">
        <v>873452.65</v>
      </c>
      <c r="L60" s="30">
        <v>873452.65</v>
      </c>
      <c r="M60" s="30">
        <v>873452.65</v>
      </c>
      <c r="N60" s="40" t="s">
        <v>958</v>
      </c>
      <c r="O60" s="40" t="s">
        <v>999</v>
      </c>
      <c r="P60" s="40" t="s">
        <v>47</v>
      </c>
      <c r="Q60" s="44">
        <v>100</v>
      </c>
      <c r="R60" s="37">
        <v>0</v>
      </c>
      <c r="S60" s="37" t="s">
        <v>1964</v>
      </c>
      <c r="T60" s="48">
        <v>60</v>
      </c>
      <c r="U60" s="30">
        <v>4.97</v>
      </c>
      <c r="V60" s="41">
        <v>298.2</v>
      </c>
      <c r="W60" s="41">
        <v>175745</v>
      </c>
      <c r="X60" s="41">
        <v>175745</v>
      </c>
      <c r="Y60" s="41">
        <v>0</v>
      </c>
      <c r="Z60" s="41">
        <v>0</v>
      </c>
      <c r="AA60" s="41">
        <v>0</v>
      </c>
      <c r="AB60" s="41">
        <v>0</v>
      </c>
      <c r="AC60" s="41">
        <v>0</v>
      </c>
      <c r="AD60" s="41">
        <v>0</v>
      </c>
      <c r="AE60" s="41">
        <v>0</v>
      </c>
      <c r="AF60" s="41">
        <v>0</v>
      </c>
      <c r="AG60" s="41">
        <v>0</v>
      </c>
      <c r="AH60" s="41">
        <v>0</v>
      </c>
      <c r="AI60" s="41">
        <v>0</v>
      </c>
      <c r="AJ60" s="41">
        <v>0</v>
      </c>
      <c r="AK60" s="41">
        <v>0</v>
      </c>
      <c r="AL60" s="41">
        <v>0</v>
      </c>
      <c r="AM60" s="41"/>
      <c r="AN60" s="41">
        <v>2929.0833333333335</v>
      </c>
      <c r="AO60" s="41">
        <v>2930</v>
      </c>
      <c r="AP60" s="40"/>
      <c r="AQ60" s="36">
        <v>45047</v>
      </c>
      <c r="AR60" s="36"/>
      <c r="AS60" s="36"/>
      <c r="AT60" s="36">
        <v>45061</v>
      </c>
      <c r="AU60" s="36"/>
      <c r="AV60" s="38"/>
      <c r="AW60" s="40" t="s">
        <v>87</v>
      </c>
    </row>
    <row r="61" spans="1:56" ht="72" x14ac:dyDescent="0.3">
      <c r="A61" s="35" t="s">
        <v>2043</v>
      </c>
      <c r="B61" s="38">
        <v>44950</v>
      </c>
      <c r="C61" s="40" t="s">
        <v>162</v>
      </c>
      <c r="D61" s="39" t="s">
        <v>2044</v>
      </c>
      <c r="E61" s="1" t="s">
        <v>2045</v>
      </c>
      <c r="F61" s="36">
        <v>44977</v>
      </c>
      <c r="G61" s="37" t="s">
        <v>2046</v>
      </c>
      <c r="H61" s="40" t="s">
        <v>555</v>
      </c>
      <c r="I61" s="40" t="s">
        <v>1037</v>
      </c>
      <c r="J61" s="57">
        <v>35079959.25</v>
      </c>
      <c r="K61" s="41">
        <v>10103593.5</v>
      </c>
      <c r="L61" s="30">
        <v>10103593.5</v>
      </c>
      <c r="M61" s="30">
        <v>10103593.5</v>
      </c>
      <c r="N61" s="40" t="s">
        <v>2047</v>
      </c>
      <c r="O61" s="40" t="s">
        <v>2048</v>
      </c>
      <c r="P61" s="40" t="s">
        <v>47</v>
      </c>
      <c r="Q61" s="44">
        <v>100</v>
      </c>
      <c r="R61" s="37">
        <v>0</v>
      </c>
      <c r="S61" s="37" t="s">
        <v>1964</v>
      </c>
      <c r="T61" s="48">
        <v>60</v>
      </c>
      <c r="U61" s="30">
        <v>25.74</v>
      </c>
      <c r="V61" s="41">
        <v>1544.3999999999999</v>
      </c>
      <c r="W61" s="41">
        <v>392525</v>
      </c>
      <c r="X61" s="41">
        <v>392525</v>
      </c>
      <c r="Y61" s="41">
        <v>0</v>
      </c>
      <c r="Z61" s="41">
        <v>0</v>
      </c>
      <c r="AA61" s="41">
        <v>0</v>
      </c>
      <c r="AB61" s="41">
        <v>0</v>
      </c>
      <c r="AC61" s="41">
        <v>0</v>
      </c>
      <c r="AD61" s="41">
        <v>0</v>
      </c>
      <c r="AE61" s="41">
        <v>0</v>
      </c>
      <c r="AF61" s="41">
        <v>0</v>
      </c>
      <c r="AG61" s="41">
        <v>0</v>
      </c>
      <c r="AH61" s="41">
        <v>0</v>
      </c>
      <c r="AI61" s="41">
        <v>0</v>
      </c>
      <c r="AJ61" s="41">
        <v>0</v>
      </c>
      <c r="AK61" s="41">
        <v>0</v>
      </c>
      <c r="AL61" s="41">
        <v>0</v>
      </c>
      <c r="AM61" s="41"/>
      <c r="AN61" s="41">
        <v>6542.083333333333</v>
      </c>
      <c r="AO61" s="41">
        <v>6543</v>
      </c>
      <c r="AP61" s="40"/>
      <c r="AQ61" s="36">
        <v>45047</v>
      </c>
      <c r="AR61" s="36"/>
      <c r="AS61" s="36"/>
      <c r="AT61" s="36">
        <v>45061</v>
      </c>
      <c r="AU61" s="36"/>
      <c r="AV61" s="38"/>
      <c r="AW61" s="40" t="s">
        <v>49</v>
      </c>
    </row>
    <row r="62" spans="1:56" ht="72" x14ac:dyDescent="0.3">
      <c r="A62" s="35" t="s">
        <v>2049</v>
      </c>
      <c r="B62" s="38">
        <v>44950</v>
      </c>
      <c r="C62" s="40" t="s">
        <v>162</v>
      </c>
      <c r="D62" s="39" t="s">
        <v>2050</v>
      </c>
      <c r="E62" s="1" t="s">
        <v>2051</v>
      </c>
      <c r="F62" s="36">
        <v>44974</v>
      </c>
      <c r="G62" s="37" t="s">
        <v>2052</v>
      </c>
      <c r="H62" s="40" t="s">
        <v>571</v>
      </c>
      <c r="I62" s="40" t="s">
        <v>2053</v>
      </c>
      <c r="J62" s="57">
        <v>1988597</v>
      </c>
      <c r="K62" s="41">
        <v>1381551.6</v>
      </c>
      <c r="L62" s="30">
        <v>1395174</v>
      </c>
      <c r="M62" s="30">
        <v>1395174</v>
      </c>
      <c r="N62" s="40" t="s">
        <v>2054</v>
      </c>
      <c r="O62" s="40" t="s">
        <v>1048</v>
      </c>
      <c r="P62" s="40" t="s">
        <v>47</v>
      </c>
      <c r="Q62" s="44">
        <v>100</v>
      </c>
      <c r="R62" s="37">
        <v>0</v>
      </c>
      <c r="S62" s="37" t="s">
        <v>219</v>
      </c>
      <c r="T62" s="48">
        <v>240</v>
      </c>
      <c r="U62" s="30">
        <v>0.66</v>
      </c>
      <c r="V62" s="41">
        <v>158.4</v>
      </c>
      <c r="W62" s="41">
        <v>2113900</v>
      </c>
      <c r="X62" s="41">
        <v>2113900</v>
      </c>
      <c r="Y62" s="41">
        <v>0</v>
      </c>
      <c r="Z62" s="41">
        <v>0</v>
      </c>
      <c r="AA62" s="41">
        <v>0</v>
      </c>
      <c r="AB62" s="41">
        <v>0</v>
      </c>
      <c r="AC62" s="41">
        <v>0</v>
      </c>
      <c r="AD62" s="41">
        <v>0</v>
      </c>
      <c r="AE62" s="41">
        <v>0</v>
      </c>
      <c r="AF62" s="41">
        <v>0</v>
      </c>
      <c r="AG62" s="41">
        <v>0</v>
      </c>
      <c r="AH62" s="41">
        <v>0</v>
      </c>
      <c r="AI62" s="41">
        <v>0</v>
      </c>
      <c r="AJ62" s="41">
        <v>0</v>
      </c>
      <c r="AK62" s="41">
        <v>0</v>
      </c>
      <c r="AL62" s="41">
        <v>0</v>
      </c>
      <c r="AM62" s="41"/>
      <c r="AN62" s="41">
        <v>8807.9166666666661</v>
      </c>
      <c r="AO62" s="41">
        <v>8808</v>
      </c>
      <c r="AP62" s="40"/>
      <c r="AQ62" s="36">
        <v>45047</v>
      </c>
      <c r="AR62" s="36"/>
      <c r="AS62" s="36"/>
      <c r="AT62" s="36">
        <v>45061</v>
      </c>
      <c r="AU62" s="36"/>
      <c r="AV62" s="38"/>
      <c r="AW62" s="40" t="s">
        <v>87</v>
      </c>
    </row>
    <row r="63" spans="1:56" s="34" customFormat="1" ht="72" x14ac:dyDescent="0.3">
      <c r="A63" s="35" t="s">
        <v>2055</v>
      </c>
      <c r="B63" s="38">
        <v>44950</v>
      </c>
      <c r="C63" s="40" t="s">
        <v>162</v>
      </c>
      <c r="D63" s="39" t="s">
        <v>2056</v>
      </c>
      <c r="E63" s="1" t="s">
        <v>2057</v>
      </c>
      <c r="F63" s="36">
        <v>44974</v>
      </c>
      <c r="G63" s="37" t="s">
        <v>2058</v>
      </c>
      <c r="H63" s="40" t="s">
        <v>555</v>
      </c>
      <c r="I63" s="40" t="s">
        <v>2059</v>
      </c>
      <c r="J63" s="57">
        <v>9065975.4000000004</v>
      </c>
      <c r="K63" s="41">
        <v>8968926.5999999996</v>
      </c>
      <c r="L63" s="30">
        <v>9036797.4000000004</v>
      </c>
      <c r="M63" s="30">
        <v>9036797.4000000004</v>
      </c>
      <c r="N63" s="40" t="s">
        <v>2060</v>
      </c>
      <c r="O63" s="40" t="s">
        <v>2061</v>
      </c>
      <c r="P63" s="40" t="s">
        <v>47</v>
      </c>
      <c r="Q63" s="44">
        <v>100</v>
      </c>
      <c r="R63" s="37">
        <v>0</v>
      </c>
      <c r="S63" s="37" t="s">
        <v>219</v>
      </c>
      <c r="T63" s="48">
        <v>300</v>
      </c>
      <c r="U63" s="30">
        <v>11.09</v>
      </c>
      <c r="V63" s="41">
        <v>3327</v>
      </c>
      <c r="W63" s="41">
        <v>814860</v>
      </c>
      <c r="X63" s="41">
        <v>814860</v>
      </c>
      <c r="Y63" s="41">
        <v>0</v>
      </c>
      <c r="Z63" s="41">
        <v>0</v>
      </c>
      <c r="AA63" s="41">
        <v>0</v>
      </c>
      <c r="AB63" s="41">
        <v>0</v>
      </c>
      <c r="AC63" s="41">
        <v>0</v>
      </c>
      <c r="AD63" s="41">
        <v>0</v>
      </c>
      <c r="AE63" s="41">
        <v>0</v>
      </c>
      <c r="AF63" s="41">
        <v>0</v>
      </c>
      <c r="AG63" s="41">
        <v>0</v>
      </c>
      <c r="AH63" s="41">
        <v>0</v>
      </c>
      <c r="AI63" s="41">
        <v>0</v>
      </c>
      <c r="AJ63" s="41">
        <v>0</v>
      </c>
      <c r="AK63" s="41">
        <v>0</v>
      </c>
      <c r="AL63" s="41">
        <v>0</v>
      </c>
      <c r="AM63" s="41"/>
      <c r="AN63" s="41">
        <v>2716.2</v>
      </c>
      <c r="AO63" s="41">
        <v>2717</v>
      </c>
      <c r="AP63" s="40"/>
      <c r="AQ63" s="36">
        <v>45078</v>
      </c>
      <c r="AR63" s="36"/>
      <c r="AS63" s="36"/>
      <c r="AT63" s="36">
        <v>45092</v>
      </c>
      <c r="AU63" s="36"/>
      <c r="AV63" s="38"/>
      <c r="AW63" s="40" t="s">
        <v>49</v>
      </c>
      <c r="AX63" s="19"/>
      <c r="AY63" s="19"/>
      <c r="AZ63" s="19"/>
      <c r="BA63" s="19"/>
      <c r="BB63" s="19"/>
      <c r="BC63" s="19"/>
      <c r="BD63" s="19"/>
    </row>
    <row r="64" spans="1:56" s="34" customFormat="1" ht="139.94999999999999" customHeight="1" x14ac:dyDescent="0.3">
      <c r="A64" s="35" t="s">
        <v>2062</v>
      </c>
      <c r="B64" s="38">
        <v>44950</v>
      </c>
      <c r="C64" s="40" t="s">
        <v>162</v>
      </c>
      <c r="D64" s="39" t="s">
        <v>2063</v>
      </c>
      <c r="E64" s="1" t="s">
        <v>2064</v>
      </c>
      <c r="F64" s="36">
        <v>44974</v>
      </c>
      <c r="G64" s="37" t="s">
        <v>2065</v>
      </c>
      <c r="H64" s="40" t="s">
        <v>571</v>
      </c>
      <c r="I64" s="40" t="s">
        <v>1148</v>
      </c>
      <c r="J64" s="57">
        <v>210868693.80000001</v>
      </c>
      <c r="K64" s="41">
        <v>209806383</v>
      </c>
      <c r="L64" s="30">
        <v>213009991</v>
      </c>
      <c r="M64" s="30">
        <v>213009991</v>
      </c>
      <c r="N64" s="40" t="s">
        <v>1149</v>
      </c>
      <c r="O64" s="40" t="s">
        <v>2066</v>
      </c>
      <c r="P64" s="40" t="s">
        <v>47</v>
      </c>
      <c r="Q64" s="44">
        <v>100</v>
      </c>
      <c r="R64" s="37">
        <v>0</v>
      </c>
      <c r="S64" s="37" t="s">
        <v>1964</v>
      </c>
      <c r="T64" s="54" t="s">
        <v>2067</v>
      </c>
      <c r="U64" s="30">
        <v>3.95</v>
      </c>
      <c r="V64" s="54" t="s">
        <v>2068</v>
      </c>
      <c r="W64" s="41">
        <v>53926580</v>
      </c>
      <c r="X64" s="41">
        <v>53926580</v>
      </c>
      <c r="Y64" s="41">
        <v>0</v>
      </c>
      <c r="Z64" s="41">
        <v>0</v>
      </c>
      <c r="AA64" s="41">
        <v>0</v>
      </c>
      <c r="AB64" s="41">
        <v>0</v>
      </c>
      <c r="AC64" s="41">
        <v>0</v>
      </c>
      <c r="AD64" s="41">
        <v>0</v>
      </c>
      <c r="AE64" s="41">
        <v>0</v>
      </c>
      <c r="AF64" s="41">
        <v>0</v>
      </c>
      <c r="AG64" s="41">
        <v>0</v>
      </c>
      <c r="AH64" s="41">
        <v>0</v>
      </c>
      <c r="AI64" s="41">
        <v>0</v>
      </c>
      <c r="AJ64" s="41">
        <v>0</v>
      </c>
      <c r="AK64" s="41">
        <v>0</v>
      </c>
      <c r="AL64" s="41">
        <v>0</v>
      </c>
      <c r="AM64" s="41"/>
      <c r="AN64" s="54" t="s">
        <v>2069</v>
      </c>
      <c r="AO64" s="54" t="s">
        <v>2069</v>
      </c>
      <c r="AP64" s="40"/>
      <c r="AQ64" s="36">
        <v>45047</v>
      </c>
      <c r="AR64" s="36"/>
      <c r="AS64" s="36"/>
      <c r="AT64" s="36">
        <v>45061</v>
      </c>
      <c r="AU64" s="36"/>
      <c r="AV64" s="38"/>
      <c r="AW64" s="40" t="s">
        <v>87</v>
      </c>
      <c r="AX64" s="19"/>
      <c r="AY64" s="19"/>
      <c r="AZ64" s="19"/>
      <c r="BA64" s="19"/>
      <c r="BB64" s="19"/>
      <c r="BC64" s="19"/>
      <c r="BD64" s="19"/>
    </row>
    <row r="65" spans="1:56" s="34" customFormat="1" ht="133.19999999999999" customHeight="1" x14ac:dyDescent="0.3">
      <c r="A65" s="35" t="s">
        <v>2070</v>
      </c>
      <c r="B65" s="38">
        <v>44950</v>
      </c>
      <c r="C65" s="40" t="s">
        <v>162</v>
      </c>
      <c r="D65" s="39" t="s">
        <v>2071</v>
      </c>
      <c r="E65" s="1" t="s">
        <v>2072</v>
      </c>
      <c r="F65" s="36">
        <v>44978</v>
      </c>
      <c r="G65" s="35" t="s">
        <v>2073</v>
      </c>
      <c r="H65" s="40" t="s">
        <v>571</v>
      </c>
      <c r="I65" s="40" t="s">
        <v>1196</v>
      </c>
      <c r="J65" s="57">
        <v>386901418.19999999</v>
      </c>
      <c r="K65" s="41">
        <v>386901418.19999999</v>
      </c>
      <c r="L65" s="30">
        <v>391201172.77999997</v>
      </c>
      <c r="M65" s="30">
        <v>391201172.77999997</v>
      </c>
      <c r="N65" s="40" t="s">
        <v>2074</v>
      </c>
      <c r="O65" s="40" t="s">
        <v>2075</v>
      </c>
      <c r="P65" s="40" t="s">
        <v>47</v>
      </c>
      <c r="Q65" s="44">
        <v>100</v>
      </c>
      <c r="R65" s="37">
        <v>0</v>
      </c>
      <c r="S65" s="37" t="s">
        <v>1964</v>
      </c>
      <c r="T65" s="48">
        <v>30</v>
      </c>
      <c r="U65" s="30">
        <v>6.7099999999999991</v>
      </c>
      <c r="V65" s="41">
        <v>201.29999999999998</v>
      </c>
      <c r="W65" s="41">
        <v>58301218</v>
      </c>
      <c r="X65" s="41">
        <v>58301218</v>
      </c>
      <c r="Y65" s="41">
        <v>0</v>
      </c>
      <c r="Z65" s="41">
        <v>0</v>
      </c>
      <c r="AA65" s="41">
        <v>0</v>
      </c>
      <c r="AB65" s="41">
        <v>0</v>
      </c>
      <c r="AC65" s="41">
        <v>0</v>
      </c>
      <c r="AD65" s="41">
        <v>0</v>
      </c>
      <c r="AE65" s="41">
        <v>0</v>
      </c>
      <c r="AF65" s="41">
        <v>0</v>
      </c>
      <c r="AG65" s="41">
        <v>0</v>
      </c>
      <c r="AH65" s="41">
        <v>0</v>
      </c>
      <c r="AI65" s="41">
        <v>0</v>
      </c>
      <c r="AJ65" s="41">
        <v>0</v>
      </c>
      <c r="AK65" s="41">
        <v>0</v>
      </c>
      <c r="AL65" s="41">
        <v>0</v>
      </c>
      <c r="AM65" s="41"/>
      <c r="AN65" s="41">
        <v>1943373.9333333333</v>
      </c>
      <c r="AO65" s="41">
        <v>1943374</v>
      </c>
      <c r="AP65" s="40"/>
      <c r="AQ65" s="36">
        <v>45047</v>
      </c>
      <c r="AR65" s="36"/>
      <c r="AS65" s="36"/>
      <c r="AT65" s="36">
        <v>45061</v>
      </c>
      <c r="AU65" s="36"/>
      <c r="AV65" s="38"/>
      <c r="AW65" s="40" t="s">
        <v>87</v>
      </c>
      <c r="AX65" s="19"/>
      <c r="AY65" s="19"/>
      <c r="AZ65" s="19"/>
      <c r="BA65" s="19"/>
      <c r="BB65" s="19"/>
      <c r="BC65" s="19"/>
      <c r="BD65" s="19"/>
    </row>
    <row r="66" spans="1:56" ht="79.5" customHeight="1" x14ac:dyDescent="0.3">
      <c r="A66" s="35" t="s">
        <v>2108</v>
      </c>
      <c r="B66" s="38">
        <v>44951</v>
      </c>
      <c r="C66" s="40" t="s">
        <v>162</v>
      </c>
      <c r="D66" s="39" t="s">
        <v>2109</v>
      </c>
      <c r="E66" s="1" t="s">
        <v>2110</v>
      </c>
      <c r="F66" s="36">
        <v>44972</v>
      </c>
      <c r="G66" s="35" t="s">
        <v>2111</v>
      </c>
      <c r="H66" s="40" t="s">
        <v>571</v>
      </c>
      <c r="I66" s="40" t="s">
        <v>2112</v>
      </c>
      <c r="J66" s="57">
        <v>6004340</v>
      </c>
      <c r="K66" s="41">
        <v>6004340</v>
      </c>
      <c r="L66" s="30">
        <v>6004340</v>
      </c>
      <c r="M66" s="30">
        <v>6004340</v>
      </c>
      <c r="N66" s="40" t="s">
        <v>2113</v>
      </c>
      <c r="O66" s="40" t="s">
        <v>2114</v>
      </c>
      <c r="P66" s="40" t="s">
        <v>47</v>
      </c>
      <c r="Q66" s="44">
        <v>100</v>
      </c>
      <c r="R66" s="37">
        <v>0</v>
      </c>
      <c r="S66" s="37" t="s">
        <v>1964</v>
      </c>
      <c r="T66" s="48">
        <v>60</v>
      </c>
      <c r="U66" s="30">
        <v>13.24</v>
      </c>
      <c r="V66" s="41">
        <v>794.4</v>
      </c>
      <c r="W66" s="41">
        <v>453500</v>
      </c>
      <c r="X66" s="41">
        <v>45350</v>
      </c>
      <c r="Y66" s="41">
        <v>0</v>
      </c>
      <c r="Z66" s="41">
        <v>0</v>
      </c>
      <c r="AA66" s="41">
        <v>0</v>
      </c>
      <c r="AB66" s="41">
        <v>0</v>
      </c>
      <c r="AC66" s="41">
        <v>408150</v>
      </c>
      <c r="AD66" s="41">
        <v>0</v>
      </c>
      <c r="AE66" s="41">
        <v>0</v>
      </c>
      <c r="AF66" s="41">
        <v>0</v>
      </c>
      <c r="AG66" s="41">
        <v>0</v>
      </c>
      <c r="AH66" s="41">
        <v>0</v>
      </c>
      <c r="AI66" s="41">
        <v>0</v>
      </c>
      <c r="AJ66" s="41">
        <v>0</v>
      </c>
      <c r="AK66" s="41">
        <v>0</v>
      </c>
      <c r="AL66" s="41">
        <v>0</v>
      </c>
      <c r="AM66" s="41"/>
      <c r="AN66" s="41">
        <v>7558.333333333333</v>
      </c>
      <c r="AO66" s="41">
        <v>7559</v>
      </c>
      <c r="AP66" s="40"/>
      <c r="AQ66" s="36">
        <v>45047</v>
      </c>
      <c r="AR66" s="36">
        <v>45200</v>
      </c>
      <c r="AS66" s="36"/>
      <c r="AT66" s="36">
        <v>45061</v>
      </c>
      <c r="AU66" s="36">
        <v>45214</v>
      </c>
      <c r="AV66" s="38"/>
      <c r="AW66" s="40" t="s">
        <v>87</v>
      </c>
    </row>
    <row r="67" spans="1:56" ht="79.5" customHeight="1" x14ac:dyDescent="0.3">
      <c r="A67" s="35" t="s">
        <v>2115</v>
      </c>
      <c r="B67" s="38">
        <v>44951</v>
      </c>
      <c r="C67" s="40" t="s">
        <v>162</v>
      </c>
      <c r="D67" s="39" t="s">
        <v>2116</v>
      </c>
      <c r="E67" s="1" t="s">
        <v>2117</v>
      </c>
      <c r="F67" s="36">
        <v>44972</v>
      </c>
      <c r="G67" s="35" t="s">
        <v>2118</v>
      </c>
      <c r="H67" s="40" t="s">
        <v>571</v>
      </c>
      <c r="I67" s="40" t="s">
        <v>1092</v>
      </c>
      <c r="J67" s="57">
        <v>34056382.100000001</v>
      </c>
      <c r="K67" s="41">
        <v>34056382.100000001</v>
      </c>
      <c r="L67" s="30">
        <v>34121776.100000001</v>
      </c>
      <c r="M67" s="30">
        <v>34121776.100000001</v>
      </c>
      <c r="N67" s="40" t="s">
        <v>2113</v>
      </c>
      <c r="O67" s="40" t="s">
        <v>2119</v>
      </c>
      <c r="P67" s="40" t="s">
        <v>47</v>
      </c>
      <c r="Q67" s="44">
        <v>100</v>
      </c>
      <c r="R67" s="37">
        <v>0</v>
      </c>
      <c r="S67" s="37" t="s">
        <v>1964</v>
      </c>
      <c r="T67" s="48">
        <v>60</v>
      </c>
      <c r="U67" s="30">
        <v>17.3</v>
      </c>
      <c r="V67" s="41">
        <v>1038</v>
      </c>
      <c r="W67" s="41">
        <v>1972357</v>
      </c>
      <c r="X67" s="41">
        <v>1972357</v>
      </c>
      <c r="Y67" s="41">
        <v>0</v>
      </c>
      <c r="Z67" s="41">
        <v>0</v>
      </c>
      <c r="AA67" s="41">
        <v>0</v>
      </c>
      <c r="AB67" s="41">
        <v>0</v>
      </c>
      <c r="AC67" s="41">
        <v>0</v>
      </c>
      <c r="AD67" s="41">
        <v>0</v>
      </c>
      <c r="AE67" s="41">
        <v>0</v>
      </c>
      <c r="AF67" s="41">
        <v>0</v>
      </c>
      <c r="AG67" s="41">
        <v>0</v>
      </c>
      <c r="AH67" s="41">
        <v>0</v>
      </c>
      <c r="AI67" s="41">
        <v>0</v>
      </c>
      <c r="AJ67" s="41">
        <v>0</v>
      </c>
      <c r="AK67" s="41">
        <v>0</v>
      </c>
      <c r="AL67" s="41">
        <v>0</v>
      </c>
      <c r="AM67" s="41"/>
      <c r="AN67" s="41">
        <v>32872.616666666669</v>
      </c>
      <c r="AO67" s="41">
        <v>32873</v>
      </c>
      <c r="AP67" s="40"/>
      <c r="AQ67" s="36">
        <v>45047</v>
      </c>
      <c r="AR67" s="36"/>
      <c r="AS67" s="36"/>
      <c r="AT67" s="36">
        <v>45061</v>
      </c>
      <c r="AU67" s="36"/>
      <c r="AV67" s="38"/>
      <c r="AW67" s="40" t="s">
        <v>87</v>
      </c>
    </row>
    <row r="68" spans="1:56" ht="79.5" customHeight="1" x14ac:dyDescent="0.3">
      <c r="A68" s="35" t="s">
        <v>2120</v>
      </c>
      <c r="B68" s="38">
        <v>44951</v>
      </c>
      <c r="C68" s="40" t="s">
        <v>162</v>
      </c>
      <c r="D68" s="39" t="s">
        <v>459</v>
      </c>
      <c r="E68" s="1" t="s">
        <v>2121</v>
      </c>
      <c r="F68" s="36" t="s">
        <v>459</v>
      </c>
      <c r="G68" s="37" t="s">
        <v>459</v>
      </c>
      <c r="H68" s="40" t="s">
        <v>459</v>
      </c>
      <c r="I68" s="40" t="s">
        <v>2122</v>
      </c>
      <c r="J68" s="57">
        <v>20040048</v>
      </c>
      <c r="K68" s="41">
        <v>0</v>
      </c>
      <c r="L68" s="30">
        <v>0</v>
      </c>
      <c r="M68" s="30">
        <v>0</v>
      </c>
      <c r="N68" s="40"/>
      <c r="O68" s="40"/>
      <c r="P68" s="40"/>
      <c r="Q68" s="44"/>
      <c r="R68" s="37"/>
      <c r="S68" s="37"/>
      <c r="T68" s="48"/>
      <c r="U68" s="30" t="e">
        <v>#DIV/0!</v>
      </c>
      <c r="V68" s="41" t="e">
        <v>#DIV/0!</v>
      </c>
      <c r="W68" s="41">
        <v>0</v>
      </c>
      <c r="X68" s="41"/>
      <c r="Y68" s="41"/>
      <c r="Z68" s="41"/>
      <c r="AA68" s="41"/>
      <c r="AB68" s="41"/>
      <c r="AC68" s="41"/>
      <c r="AD68" s="41"/>
      <c r="AE68" s="41"/>
      <c r="AF68" s="41"/>
      <c r="AG68" s="41"/>
      <c r="AH68" s="41"/>
      <c r="AI68" s="41"/>
      <c r="AJ68" s="41"/>
      <c r="AK68" s="41"/>
      <c r="AL68" s="41"/>
      <c r="AM68" s="41"/>
      <c r="AN68" s="41" t="e">
        <v>#DIV/0!</v>
      </c>
      <c r="AO68" s="41" t="e">
        <v>#DIV/0!</v>
      </c>
      <c r="AP68" s="40"/>
      <c r="AQ68" s="36"/>
      <c r="AR68" s="36"/>
      <c r="AS68" s="36"/>
      <c r="AT68" s="36"/>
      <c r="AU68" s="36"/>
      <c r="AV68" s="38"/>
      <c r="AW68" s="40"/>
    </row>
    <row r="69" spans="1:56" ht="79.5" customHeight="1" x14ac:dyDescent="0.3">
      <c r="A69" s="35" t="s">
        <v>2123</v>
      </c>
      <c r="B69" s="38">
        <v>44951</v>
      </c>
      <c r="C69" s="40" t="s">
        <v>162</v>
      </c>
      <c r="D69" s="39" t="s">
        <v>2124</v>
      </c>
      <c r="E69" s="1" t="s">
        <v>2125</v>
      </c>
      <c r="F69" s="36">
        <v>44977</v>
      </c>
      <c r="G69" s="35" t="s">
        <v>2126</v>
      </c>
      <c r="H69" s="40" t="s">
        <v>555</v>
      </c>
      <c r="I69" s="40" t="s">
        <v>1157</v>
      </c>
      <c r="J69" s="57">
        <v>266706239.80000001</v>
      </c>
      <c r="K69" s="41">
        <v>134250516.40000001</v>
      </c>
      <c r="L69" s="30">
        <v>134250516.40000001</v>
      </c>
      <c r="M69" s="30">
        <v>134250516.40000001</v>
      </c>
      <c r="N69" s="40" t="s">
        <v>2047</v>
      </c>
      <c r="O69" s="40" t="s">
        <v>2127</v>
      </c>
      <c r="P69" s="40" t="s">
        <v>47</v>
      </c>
      <c r="Q69" s="44">
        <v>100</v>
      </c>
      <c r="R69" s="37">
        <v>0</v>
      </c>
      <c r="S69" s="37" t="s">
        <v>1964</v>
      </c>
      <c r="T69" s="48">
        <v>30</v>
      </c>
      <c r="U69" s="30">
        <v>52.36</v>
      </c>
      <c r="V69" s="41">
        <v>1570.8</v>
      </c>
      <c r="W69" s="41">
        <v>2563990</v>
      </c>
      <c r="X69" s="41">
        <v>2563990</v>
      </c>
      <c r="Y69" s="41">
        <v>0</v>
      </c>
      <c r="Z69" s="41">
        <v>0</v>
      </c>
      <c r="AA69" s="41">
        <v>0</v>
      </c>
      <c r="AB69" s="41">
        <v>0</v>
      </c>
      <c r="AC69" s="41">
        <v>0</v>
      </c>
      <c r="AD69" s="41">
        <v>0</v>
      </c>
      <c r="AE69" s="41">
        <v>0</v>
      </c>
      <c r="AF69" s="41">
        <v>0</v>
      </c>
      <c r="AG69" s="41">
        <v>0</v>
      </c>
      <c r="AH69" s="41">
        <v>0</v>
      </c>
      <c r="AI69" s="41">
        <v>0</v>
      </c>
      <c r="AJ69" s="41">
        <v>0</v>
      </c>
      <c r="AK69" s="41">
        <v>0</v>
      </c>
      <c r="AL69" s="41">
        <v>0</v>
      </c>
      <c r="AM69" s="41"/>
      <c r="AN69" s="41">
        <v>85466.333333333328</v>
      </c>
      <c r="AO69" s="41">
        <v>85467</v>
      </c>
      <c r="AP69" s="40"/>
      <c r="AQ69" s="36">
        <v>45047</v>
      </c>
      <c r="AR69" s="36"/>
      <c r="AS69" s="36"/>
      <c r="AT69" s="36">
        <v>45061</v>
      </c>
      <c r="AU69" s="36"/>
      <c r="AV69" s="38"/>
      <c r="AW69" s="40" t="s">
        <v>49</v>
      </c>
    </row>
    <row r="70" spans="1:56" ht="79.5" customHeight="1" x14ac:dyDescent="0.3">
      <c r="A70" s="35" t="s">
        <v>2128</v>
      </c>
      <c r="B70" s="38">
        <v>44956</v>
      </c>
      <c r="C70" s="40" t="s">
        <v>162</v>
      </c>
      <c r="D70" s="39" t="s">
        <v>2129</v>
      </c>
      <c r="E70" s="1" t="s">
        <v>2130</v>
      </c>
      <c r="F70" s="36">
        <v>44977</v>
      </c>
      <c r="G70" s="35" t="s">
        <v>2131</v>
      </c>
      <c r="H70" s="40" t="s">
        <v>177</v>
      </c>
      <c r="I70" s="40" t="s">
        <v>2132</v>
      </c>
      <c r="J70" s="57">
        <v>5656728.3200000003</v>
      </c>
      <c r="K70" s="41">
        <v>5656728.3200000003</v>
      </c>
      <c r="L70" s="30">
        <v>5743221.9199999999</v>
      </c>
      <c r="M70" s="30">
        <v>5743221.9199999999</v>
      </c>
      <c r="N70" s="40" t="s">
        <v>2133</v>
      </c>
      <c r="O70" s="40" t="s">
        <v>2134</v>
      </c>
      <c r="P70" s="40" t="s">
        <v>1032</v>
      </c>
      <c r="Q70" s="44">
        <v>0</v>
      </c>
      <c r="R70" s="37">
        <v>100</v>
      </c>
      <c r="S70" s="37" t="s">
        <v>219</v>
      </c>
      <c r="T70" s="48">
        <v>240</v>
      </c>
      <c r="U70" s="30">
        <v>2.93</v>
      </c>
      <c r="V70" s="41">
        <v>703.2</v>
      </c>
      <c r="W70" s="41">
        <v>1960144</v>
      </c>
      <c r="X70" s="41">
        <v>1352393</v>
      </c>
      <c r="Y70" s="41">
        <v>0</v>
      </c>
      <c r="Z70" s="41">
        <v>0</v>
      </c>
      <c r="AA70" s="41">
        <v>0</v>
      </c>
      <c r="AB70" s="41">
        <v>0</v>
      </c>
      <c r="AC70" s="41">
        <v>607751</v>
      </c>
      <c r="AD70" s="41">
        <v>0</v>
      </c>
      <c r="AE70" s="41">
        <v>0</v>
      </c>
      <c r="AF70" s="41">
        <v>0</v>
      </c>
      <c r="AG70" s="41">
        <v>0</v>
      </c>
      <c r="AH70" s="41">
        <v>0</v>
      </c>
      <c r="AI70" s="41">
        <v>0</v>
      </c>
      <c r="AJ70" s="41">
        <v>0</v>
      </c>
      <c r="AK70" s="41">
        <v>0</v>
      </c>
      <c r="AL70" s="41">
        <v>0</v>
      </c>
      <c r="AM70" s="41"/>
      <c r="AN70" s="41">
        <v>8167.2666666666664</v>
      </c>
      <c r="AO70" s="41">
        <v>8168</v>
      </c>
      <c r="AP70" s="40"/>
      <c r="AQ70" s="36">
        <v>45047</v>
      </c>
      <c r="AR70" s="36">
        <v>45170</v>
      </c>
      <c r="AS70" s="36"/>
      <c r="AT70" s="36">
        <v>45061</v>
      </c>
      <c r="AU70" s="36">
        <v>45184</v>
      </c>
      <c r="AV70" s="38"/>
      <c r="AW70" s="40" t="s">
        <v>75</v>
      </c>
    </row>
    <row r="71" spans="1:56" ht="79.5" customHeight="1" x14ac:dyDescent="0.3">
      <c r="A71" s="35" t="s">
        <v>2135</v>
      </c>
      <c r="B71" s="38">
        <v>44956</v>
      </c>
      <c r="C71" s="40" t="s">
        <v>162</v>
      </c>
      <c r="D71" s="39" t="s">
        <v>2136</v>
      </c>
      <c r="E71" s="1" t="s">
        <v>2137</v>
      </c>
      <c r="F71" s="36">
        <v>44977</v>
      </c>
      <c r="G71" s="35" t="s">
        <v>2138</v>
      </c>
      <c r="H71" s="40" t="s">
        <v>186</v>
      </c>
      <c r="I71" s="40" t="s">
        <v>1120</v>
      </c>
      <c r="J71" s="57">
        <v>1597010.28</v>
      </c>
      <c r="K71" s="41">
        <v>1597010.28</v>
      </c>
      <c r="L71" s="30">
        <v>1597010.28</v>
      </c>
      <c r="M71" s="30">
        <v>1597010.28</v>
      </c>
      <c r="N71" s="40" t="s">
        <v>1121</v>
      </c>
      <c r="O71" s="40" t="s">
        <v>1122</v>
      </c>
      <c r="P71" s="40" t="s">
        <v>190</v>
      </c>
      <c r="Q71" s="44">
        <v>0</v>
      </c>
      <c r="R71" s="37">
        <v>100</v>
      </c>
      <c r="S71" s="37" t="s">
        <v>1964</v>
      </c>
      <c r="T71" s="48">
        <v>120</v>
      </c>
      <c r="U71" s="30">
        <v>64.38</v>
      </c>
      <c r="V71" s="41">
        <v>7725.5999999999995</v>
      </c>
      <c r="W71" s="41">
        <v>24806</v>
      </c>
      <c r="X71" s="41">
        <v>24806</v>
      </c>
      <c r="Y71" s="41">
        <v>0</v>
      </c>
      <c r="Z71" s="41">
        <v>0</v>
      </c>
      <c r="AA71" s="41">
        <v>0</v>
      </c>
      <c r="AB71" s="41">
        <v>0</v>
      </c>
      <c r="AC71" s="41">
        <v>0</v>
      </c>
      <c r="AD71" s="41">
        <v>0</v>
      </c>
      <c r="AE71" s="41">
        <v>0</v>
      </c>
      <c r="AF71" s="41">
        <v>0</v>
      </c>
      <c r="AG71" s="41">
        <v>0</v>
      </c>
      <c r="AH71" s="41">
        <v>0</v>
      </c>
      <c r="AI71" s="41">
        <v>0</v>
      </c>
      <c r="AJ71" s="41">
        <v>0</v>
      </c>
      <c r="AK71" s="41">
        <v>0</v>
      </c>
      <c r="AL71" s="41">
        <v>0</v>
      </c>
      <c r="AM71" s="41"/>
      <c r="AN71" s="41">
        <v>206.71666666666667</v>
      </c>
      <c r="AO71" s="41">
        <v>207</v>
      </c>
      <c r="AP71" s="40"/>
      <c r="AQ71" s="36">
        <v>45066</v>
      </c>
      <c r="AR71" s="36"/>
      <c r="AS71" s="36"/>
      <c r="AT71" s="36">
        <v>45082</v>
      </c>
      <c r="AU71" s="36"/>
      <c r="AV71" s="38"/>
      <c r="AW71" s="40" t="s">
        <v>87</v>
      </c>
    </row>
    <row r="72" spans="1:56" ht="79.5" customHeight="1" x14ac:dyDescent="0.3">
      <c r="A72" s="35" t="s">
        <v>2139</v>
      </c>
      <c r="B72" s="38">
        <v>44956</v>
      </c>
      <c r="C72" s="40" t="s">
        <v>162</v>
      </c>
      <c r="D72" s="38" t="s">
        <v>459</v>
      </c>
      <c r="E72" s="1" t="s">
        <v>2140</v>
      </c>
      <c r="F72" s="36" t="s">
        <v>459</v>
      </c>
      <c r="G72" s="37" t="s">
        <v>459</v>
      </c>
      <c r="H72" s="40" t="s">
        <v>459</v>
      </c>
      <c r="I72" s="40" t="s">
        <v>2141</v>
      </c>
      <c r="J72" s="57">
        <v>27672354.5</v>
      </c>
      <c r="K72" s="41">
        <v>0</v>
      </c>
      <c r="L72" s="30">
        <v>0</v>
      </c>
      <c r="M72" s="30">
        <v>0</v>
      </c>
      <c r="N72" s="40"/>
      <c r="O72" s="40"/>
      <c r="P72" s="40"/>
      <c r="Q72" s="44"/>
      <c r="R72" s="37"/>
      <c r="S72" s="37"/>
      <c r="T72" s="48"/>
      <c r="U72" s="30" t="e">
        <v>#DIV/0!</v>
      </c>
      <c r="V72" s="41" t="e">
        <v>#DIV/0!</v>
      </c>
      <c r="W72" s="41">
        <v>0</v>
      </c>
      <c r="X72" s="41"/>
      <c r="Y72" s="41"/>
      <c r="Z72" s="41"/>
      <c r="AA72" s="41"/>
      <c r="AB72" s="41"/>
      <c r="AC72" s="41"/>
      <c r="AD72" s="41"/>
      <c r="AE72" s="41"/>
      <c r="AF72" s="41"/>
      <c r="AG72" s="41"/>
      <c r="AH72" s="41"/>
      <c r="AI72" s="41"/>
      <c r="AJ72" s="41"/>
      <c r="AK72" s="41"/>
      <c r="AL72" s="41"/>
      <c r="AM72" s="41"/>
      <c r="AN72" s="41" t="e">
        <v>#DIV/0!</v>
      </c>
      <c r="AO72" s="41" t="e">
        <v>#DIV/0!</v>
      </c>
      <c r="AP72" s="40"/>
      <c r="AQ72" s="36"/>
      <c r="AR72" s="36"/>
      <c r="AS72" s="36"/>
      <c r="AT72" s="36"/>
      <c r="AU72" s="36"/>
      <c r="AV72" s="38"/>
      <c r="AW72" s="40"/>
    </row>
    <row r="73" spans="1:56" ht="79.5" customHeight="1" x14ac:dyDescent="0.3">
      <c r="A73" s="35" t="s">
        <v>2142</v>
      </c>
      <c r="B73" s="38">
        <v>44956</v>
      </c>
      <c r="C73" s="40" t="s">
        <v>162</v>
      </c>
      <c r="D73" s="39" t="s">
        <v>2143</v>
      </c>
      <c r="E73" s="1" t="s">
        <v>2144</v>
      </c>
      <c r="F73" s="36">
        <v>44979</v>
      </c>
      <c r="G73" s="37" t="s">
        <v>2145</v>
      </c>
      <c r="H73" s="40" t="s">
        <v>563</v>
      </c>
      <c r="I73" s="40" t="s">
        <v>2146</v>
      </c>
      <c r="J73" s="57">
        <v>91880801.700000003</v>
      </c>
      <c r="K73" s="41">
        <v>45021592.079999998</v>
      </c>
      <c r="L73" s="30">
        <v>45204017.409999996</v>
      </c>
      <c r="M73" s="30">
        <v>45204017.409999996</v>
      </c>
      <c r="N73" s="40" t="s">
        <v>2147</v>
      </c>
      <c r="O73" s="40" t="s">
        <v>2148</v>
      </c>
      <c r="P73" s="40" t="s">
        <v>47</v>
      </c>
      <c r="Q73" s="44">
        <v>100</v>
      </c>
      <c r="R73" s="37">
        <v>0</v>
      </c>
      <c r="S73" s="37" t="s">
        <v>1964</v>
      </c>
      <c r="T73" s="48">
        <v>30</v>
      </c>
      <c r="U73" s="30">
        <v>12.709999999999999</v>
      </c>
      <c r="V73" s="41">
        <v>381.29999999999995</v>
      </c>
      <c r="W73" s="41">
        <v>3556571</v>
      </c>
      <c r="X73" s="41">
        <v>3556571</v>
      </c>
      <c r="Y73" s="41">
        <v>0</v>
      </c>
      <c r="Z73" s="41">
        <v>0</v>
      </c>
      <c r="AA73" s="41">
        <v>0</v>
      </c>
      <c r="AB73" s="41">
        <v>0</v>
      </c>
      <c r="AC73" s="41">
        <v>0</v>
      </c>
      <c r="AD73" s="41">
        <v>0</v>
      </c>
      <c r="AE73" s="41">
        <v>0</v>
      </c>
      <c r="AF73" s="41">
        <v>0</v>
      </c>
      <c r="AG73" s="41">
        <v>0</v>
      </c>
      <c r="AH73" s="41">
        <v>0</v>
      </c>
      <c r="AI73" s="41">
        <v>0</v>
      </c>
      <c r="AJ73" s="41">
        <v>0</v>
      </c>
      <c r="AK73" s="41">
        <v>0</v>
      </c>
      <c r="AL73" s="41">
        <v>0</v>
      </c>
      <c r="AM73" s="41"/>
      <c r="AN73" s="41">
        <v>118552.36666666667</v>
      </c>
      <c r="AO73" s="41">
        <v>118553</v>
      </c>
      <c r="AP73" s="40"/>
      <c r="AQ73" s="36">
        <v>45047</v>
      </c>
      <c r="AR73" s="36"/>
      <c r="AS73" s="36"/>
      <c r="AT73" s="36">
        <v>45061</v>
      </c>
      <c r="AU73" s="36"/>
      <c r="AV73" s="38"/>
      <c r="AW73" s="40" t="s">
        <v>49</v>
      </c>
    </row>
    <row r="74" spans="1:56" ht="79.5" customHeight="1" x14ac:dyDescent="0.3">
      <c r="A74" s="35" t="s">
        <v>2149</v>
      </c>
      <c r="B74" s="38">
        <v>44956</v>
      </c>
      <c r="C74" s="40" t="s">
        <v>162</v>
      </c>
      <c r="D74" s="39" t="s">
        <v>2150</v>
      </c>
      <c r="E74" s="1" t="s">
        <v>2151</v>
      </c>
      <c r="F74" s="36">
        <v>44978</v>
      </c>
      <c r="G74" s="37" t="s">
        <v>2152</v>
      </c>
      <c r="H74" s="40" t="s">
        <v>571</v>
      </c>
      <c r="I74" s="40" t="s">
        <v>2153</v>
      </c>
      <c r="J74" s="57">
        <v>194883.15</v>
      </c>
      <c r="K74" s="41">
        <v>136832.85</v>
      </c>
      <c r="L74" s="30">
        <v>136832.85</v>
      </c>
      <c r="M74" s="30">
        <v>136832.85</v>
      </c>
      <c r="N74" s="40" t="s">
        <v>1128</v>
      </c>
      <c r="O74" s="40" t="s">
        <v>2154</v>
      </c>
      <c r="P74" s="40" t="s">
        <v>47</v>
      </c>
      <c r="Q74" s="44">
        <v>100</v>
      </c>
      <c r="R74" s="37">
        <v>0</v>
      </c>
      <c r="S74" s="37" t="s">
        <v>1964</v>
      </c>
      <c r="T74" s="48">
        <v>30</v>
      </c>
      <c r="U74" s="30">
        <v>2.31</v>
      </c>
      <c r="V74" s="41">
        <v>69.3</v>
      </c>
      <c r="W74" s="41">
        <v>59235</v>
      </c>
      <c r="X74" s="41">
        <v>59235</v>
      </c>
      <c r="Y74" s="41">
        <v>0</v>
      </c>
      <c r="Z74" s="41">
        <v>0</v>
      </c>
      <c r="AA74" s="41">
        <v>0</v>
      </c>
      <c r="AB74" s="41">
        <v>0</v>
      </c>
      <c r="AC74" s="41">
        <v>0</v>
      </c>
      <c r="AD74" s="41">
        <v>0</v>
      </c>
      <c r="AE74" s="41">
        <v>0</v>
      </c>
      <c r="AF74" s="41">
        <v>0</v>
      </c>
      <c r="AG74" s="41">
        <v>0</v>
      </c>
      <c r="AH74" s="41">
        <v>0</v>
      </c>
      <c r="AI74" s="41">
        <v>0</v>
      </c>
      <c r="AJ74" s="41">
        <v>0</v>
      </c>
      <c r="AK74" s="41">
        <v>0</v>
      </c>
      <c r="AL74" s="41">
        <v>0</v>
      </c>
      <c r="AM74" s="41"/>
      <c r="AN74" s="41">
        <v>1974.5</v>
      </c>
      <c r="AO74" s="41">
        <v>1975</v>
      </c>
      <c r="AP74" s="40"/>
      <c r="AQ74" s="36">
        <v>45078</v>
      </c>
      <c r="AR74" s="36"/>
      <c r="AS74" s="36"/>
      <c r="AT74" s="36">
        <v>45092</v>
      </c>
      <c r="AU74" s="36"/>
      <c r="AV74" s="38"/>
      <c r="AW74" s="40" t="s">
        <v>87</v>
      </c>
    </row>
    <row r="75" spans="1:56" ht="79.5" customHeight="1" x14ac:dyDescent="0.3">
      <c r="A75" s="35" t="s">
        <v>2155</v>
      </c>
      <c r="B75" s="38">
        <v>44957</v>
      </c>
      <c r="C75" s="40" t="s">
        <v>162</v>
      </c>
      <c r="D75" s="39" t="s">
        <v>2156</v>
      </c>
      <c r="E75" s="1" t="s">
        <v>2157</v>
      </c>
      <c r="F75" s="36">
        <v>44977</v>
      </c>
      <c r="G75" s="35" t="s">
        <v>2158</v>
      </c>
      <c r="H75" s="40" t="s">
        <v>971</v>
      </c>
      <c r="I75" s="40" t="s">
        <v>986</v>
      </c>
      <c r="J75" s="57">
        <v>20483806.399999999</v>
      </c>
      <c r="K75" s="41">
        <v>20483806.399999999</v>
      </c>
      <c r="L75" s="30">
        <v>20483806.399999999</v>
      </c>
      <c r="M75" s="30">
        <v>20483806.399999999</v>
      </c>
      <c r="N75" s="40" t="s">
        <v>2159</v>
      </c>
      <c r="O75" s="40" t="s">
        <v>2160</v>
      </c>
      <c r="P75" s="40" t="s">
        <v>47</v>
      </c>
      <c r="Q75" s="44">
        <v>100</v>
      </c>
      <c r="R75" s="37">
        <v>0</v>
      </c>
      <c r="S75" s="37" t="s">
        <v>1964</v>
      </c>
      <c r="T75" s="48">
        <v>20</v>
      </c>
      <c r="U75" s="30">
        <v>31.119999999999997</v>
      </c>
      <c r="V75" s="41">
        <v>622.4</v>
      </c>
      <c r="W75" s="41">
        <v>658220</v>
      </c>
      <c r="X75" s="41">
        <v>658220</v>
      </c>
      <c r="Y75" s="41">
        <v>0</v>
      </c>
      <c r="Z75" s="41">
        <v>0</v>
      </c>
      <c r="AA75" s="41">
        <v>0</v>
      </c>
      <c r="AB75" s="41">
        <v>0</v>
      </c>
      <c r="AC75" s="41">
        <v>0</v>
      </c>
      <c r="AD75" s="41">
        <v>0</v>
      </c>
      <c r="AE75" s="41">
        <v>0</v>
      </c>
      <c r="AF75" s="41">
        <v>0</v>
      </c>
      <c r="AG75" s="41">
        <v>0</v>
      </c>
      <c r="AH75" s="41">
        <v>0</v>
      </c>
      <c r="AI75" s="41">
        <v>0</v>
      </c>
      <c r="AJ75" s="41">
        <v>0</v>
      </c>
      <c r="AK75" s="41">
        <v>0</v>
      </c>
      <c r="AL75" s="41">
        <v>0</v>
      </c>
      <c r="AM75" s="41"/>
      <c r="AN75" s="41">
        <v>32911</v>
      </c>
      <c r="AO75" s="41">
        <v>32911</v>
      </c>
      <c r="AP75" s="40"/>
      <c r="AQ75" s="36">
        <v>45078</v>
      </c>
      <c r="AR75" s="36"/>
      <c r="AS75" s="36"/>
      <c r="AT75" s="36">
        <v>45092</v>
      </c>
      <c r="AU75" s="36"/>
      <c r="AV75" s="38"/>
      <c r="AW75" s="40" t="s">
        <v>87</v>
      </c>
    </row>
    <row r="76" spans="1:56" ht="79.5" customHeight="1" x14ac:dyDescent="0.3">
      <c r="A76" s="35" t="s">
        <v>2162</v>
      </c>
      <c r="B76" s="38">
        <v>44957</v>
      </c>
      <c r="C76" s="40" t="s">
        <v>162</v>
      </c>
      <c r="D76" s="39" t="s">
        <v>2163</v>
      </c>
      <c r="E76" s="1" t="s">
        <v>2164</v>
      </c>
      <c r="F76" s="36">
        <v>44977</v>
      </c>
      <c r="G76" s="35" t="s">
        <v>2165</v>
      </c>
      <c r="H76" s="40" t="s">
        <v>563</v>
      </c>
      <c r="I76" s="40" t="s">
        <v>1076</v>
      </c>
      <c r="J76" s="57">
        <v>279074508.89999998</v>
      </c>
      <c r="K76" s="41">
        <v>21158721.300000001</v>
      </c>
      <c r="L76" s="30">
        <v>21158721.300000001</v>
      </c>
      <c r="M76" s="30">
        <v>21158721.300000001</v>
      </c>
      <c r="N76" s="40" t="s">
        <v>2166</v>
      </c>
      <c r="O76" s="40" t="s">
        <v>2167</v>
      </c>
      <c r="P76" s="40" t="s">
        <v>47</v>
      </c>
      <c r="Q76" s="44">
        <v>100</v>
      </c>
      <c r="R76" s="37">
        <v>0</v>
      </c>
      <c r="S76" s="37" t="s">
        <v>1964</v>
      </c>
      <c r="T76" s="48">
        <v>30</v>
      </c>
      <c r="U76" s="30">
        <v>2.11</v>
      </c>
      <c r="V76" s="41">
        <v>63.3</v>
      </c>
      <c r="W76" s="41">
        <v>10027830</v>
      </c>
      <c r="X76" s="41">
        <v>10027830</v>
      </c>
      <c r="Y76" s="41">
        <v>0</v>
      </c>
      <c r="Z76" s="41">
        <v>0</v>
      </c>
      <c r="AA76" s="41">
        <v>0</v>
      </c>
      <c r="AB76" s="41">
        <v>0</v>
      </c>
      <c r="AC76" s="41">
        <v>0</v>
      </c>
      <c r="AD76" s="41">
        <v>0</v>
      </c>
      <c r="AE76" s="41">
        <v>0</v>
      </c>
      <c r="AF76" s="41">
        <v>0</v>
      </c>
      <c r="AG76" s="41">
        <v>0</v>
      </c>
      <c r="AH76" s="41">
        <v>0</v>
      </c>
      <c r="AI76" s="41">
        <v>0</v>
      </c>
      <c r="AJ76" s="41">
        <v>0</v>
      </c>
      <c r="AK76" s="41">
        <v>0</v>
      </c>
      <c r="AL76" s="41">
        <v>0</v>
      </c>
      <c r="AM76" s="41"/>
      <c r="AN76" s="41">
        <v>334261</v>
      </c>
      <c r="AO76" s="41">
        <v>334261</v>
      </c>
      <c r="AP76" s="40"/>
      <c r="AQ76" s="36">
        <v>45047</v>
      </c>
      <c r="AR76" s="36"/>
      <c r="AS76" s="36"/>
      <c r="AT76" s="36">
        <v>45061</v>
      </c>
      <c r="AU76" s="36"/>
      <c r="AV76" s="38"/>
      <c r="AW76" s="40" t="s">
        <v>49</v>
      </c>
    </row>
    <row r="77" spans="1:56" ht="79.5" customHeight="1" x14ac:dyDescent="0.3">
      <c r="A77" s="35" t="s">
        <v>2168</v>
      </c>
      <c r="B77" s="38">
        <v>44957</v>
      </c>
      <c r="C77" s="40" t="s">
        <v>162</v>
      </c>
      <c r="D77" s="39" t="s">
        <v>2169</v>
      </c>
      <c r="E77" s="1" t="s">
        <v>2170</v>
      </c>
      <c r="F77" s="36">
        <v>44977</v>
      </c>
      <c r="G77" s="35" t="s">
        <v>2171</v>
      </c>
      <c r="H77" s="40" t="s">
        <v>971</v>
      </c>
      <c r="I77" s="40" t="s">
        <v>972</v>
      </c>
      <c r="J77" s="57">
        <v>63726643.200000003</v>
      </c>
      <c r="K77" s="57">
        <v>63726643.200000003</v>
      </c>
      <c r="L77" s="30">
        <v>63726643.200000003</v>
      </c>
      <c r="M77" s="30">
        <v>63726643.200000003</v>
      </c>
      <c r="N77" s="40" t="s">
        <v>2159</v>
      </c>
      <c r="O77" s="40" t="s">
        <v>2172</v>
      </c>
      <c r="P77" s="40" t="s">
        <v>47</v>
      </c>
      <c r="Q77" s="44">
        <v>100</v>
      </c>
      <c r="R77" s="37">
        <v>0</v>
      </c>
      <c r="S77" s="37" t="s">
        <v>1964</v>
      </c>
      <c r="T77" s="48">
        <v>60</v>
      </c>
      <c r="U77" s="30">
        <v>28.16</v>
      </c>
      <c r="V77" s="41">
        <v>1689.6</v>
      </c>
      <c r="W77" s="41">
        <v>2263020</v>
      </c>
      <c r="X77" s="41">
        <v>2263020</v>
      </c>
      <c r="Y77" s="41">
        <v>0</v>
      </c>
      <c r="Z77" s="41">
        <v>0</v>
      </c>
      <c r="AA77" s="41">
        <v>0</v>
      </c>
      <c r="AB77" s="41">
        <v>0</v>
      </c>
      <c r="AC77" s="41">
        <v>0</v>
      </c>
      <c r="AD77" s="41">
        <v>0</v>
      </c>
      <c r="AE77" s="41">
        <v>0</v>
      </c>
      <c r="AF77" s="41">
        <v>0</v>
      </c>
      <c r="AG77" s="41">
        <v>0</v>
      </c>
      <c r="AH77" s="41">
        <v>0</v>
      </c>
      <c r="AI77" s="41">
        <v>0</v>
      </c>
      <c r="AJ77" s="41">
        <v>0</v>
      </c>
      <c r="AK77" s="41">
        <v>0</v>
      </c>
      <c r="AL77" s="41">
        <v>0</v>
      </c>
      <c r="AM77" s="41"/>
      <c r="AN77" s="41">
        <v>37717</v>
      </c>
      <c r="AO77" s="41">
        <v>37717</v>
      </c>
      <c r="AP77" s="40"/>
      <c r="AQ77" s="36">
        <v>45108</v>
      </c>
      <c r="AR77" s="36"/>
      <c r="AS77" s="36"/>
      <c r="AT77" s="36">
        <v>45122</v>
      </c>
      <c r="AU77" s="36"/>
      <c r="AV77" s="38"/>
      <c r="AW77" s="40" t="s">
        <v>87</v>
      </c>
    </row>
    <row r="78" spans="1:56" ht="79.5" customHeight="1" x14ac:dyDescent="0.3">
      <c r="A78" s="35" t="s">
        <v>2173</v>
      </c>
      <c r="B78" s="38">
        <v>44957</v>
      </c>
      <c r="C78" s="40" t="s">
        <v>162</v>
      </c>
      <c r="D78" s="39" t="s">
        <v>2174</v>
      </c>
      <c r="E78" s="1" t="s">
        <v>2175</v>
      </c>
      <c r="F78" s="36">
        <v>44977</v>
      </c>
      <c r="G78" s="35" t="s">
        <v>2176</v>
      </c>
      <c r="H78" s="40" t="s">
        <v>2003</v>
      </c>
      <c r="I78" s="40" t="s">
        <v>2177</v>
      </c>
      <c r="J78" s="57">
        <v>10328.18</v>
      </c>
      <c r="K78" s="57">
        <v>10328.18</v>
      </c>
      <c r="L78" s="30">
        <v>10328.18</v>
      </c>
      <c r="M78" s="30">
        <v>10328.18</v>
      </c>
      <c r="N78" s="40" t="s">
        <v>2178</v>
      </c>
      <c r="O78" s="40" t="s">
        <v>2179</v>
      </c>
      <c r="P78" s="40" t="s">
        <v>47</v>
      </c>
      <c r="Q78" s="44">
        <v>100</v>
      </c>
      <c r="R78" s="37">
        <v>0</v>
      </c>
      <c r="S78" s="37" t="s">
        <v>1964</v>
      </c>
      <c r="T78" s="48">
        <v>30</v>
      </c>
      <c r="U78" s="30">
        <v>6.29</v>
      </c>
      <c r="V78" s="41">
        <v>188.7</v>
      </c>
      <c r="W78" s="41">
        <v>1642</v>
      </c>
      <c r="X78" s="41">
        <v>1642</v>
      </c>
      <c r="Y78" s="41">
        <v>0</v>
      </c>
      <c r="Z78" s="41">
        <v>0</v>
      </c>
      <c r="AA78" s="41">
        <v>0</v>
      </c>
      <c r="AB78" s="41">
        <v>0</v>
      </c>
      <c r="AC78" s="41">
        <v>0</v>
      </c>
      <c r="AD78" s="41">
        <v>0</v>
      </c>
      <c r="AE78" s="41">
        <v>0</v>
      </c>
      <c r="AF78" s="41">
        <v>0</v>
      </c>
      <c r="AG78" s="41">
        <v>0</v>
      </c>
      <c r="AH78" s="41">
        <v>0</v>
      </c>
      <c r="AI78" s="41">
        <v>0</v>
      </c>
      <c r="AJ78" s="41">
        <v>0</v>
      </c>
      <c r="AK78" s="41">
        <v>0</v>
      </c>
      <c r="AL78" s="41">
        <v>0</v>
      </c>
      <c r="AM78" s="41"/>
      <c r="AN78" s="41">
        <v>54.733333333333334</v>
      </c>
      <c r="AO78" s="41">
        <v>55</v>
      </c>
      <c r="AP78" s="40"/>
      <c r="AQ78" s="36">
        <v>45047</v>
      </c>
      <c r="AR78" s="36"/>
      <c r="AS78" s="36"/>
      <c r="AT78" s="36">
        <v>45061</v>
      </c>
      <c r="AU78" s="36"/>
      <c r="AV78" s="38"/>
      <c r="AW78" s="40" t="s">
        <v>49</v>
      </c>
    </row>
    <row r="79" spans="1:56" s="34" customFormat="1" ht="79.5" customHeight="1" x14ac:dyDescent="0.3">
      <c r="A79" s="35" t="s">
        <v>2187</v>
      </c>
      <c r="B79" s="38">
        <v>44959</v>
      </c>
      <c r="C79" s="40" t="s">
        <v>162</v>
      </c>
      <c r="D79" s="39" t="s">
        <v>2188</v>
      </c>
      <c r="E79" s="1" t="s">
        <v>2189</v>
      </c>
      <c r="F79" s="36">
        <v>44978</v>
      </c>
      <c r="G79" s="37" t="s">
        <v>2190</v>
      </c>
      <c r="H79" s="40" t="s">
        <v>571</v>
      </c>
      <c r="I79" s="40" t="s">
        <v>2191</v>
      </c>
      <c r="J79" s="57">
        <v>10241255.52</v>
      </c>
      <c r="K79" s="41">
        <v>8446491.6799999997</v>
      </c>
      <c r="L79" s="30">
        <v>8446491.6799999997</v>
      </c>
      <c r="M79" s="30">
        <v>8446491.6799999997</v>
      </c>
      <c r="N79" s="40" t="s">
        <v>2192</v>
      </c>
      <c r="O79" s="40" t="s">
        <v>2193</v>
      </c>
      <c r="P79" s="40" t="s">
        <v>47</v>
      </c>
      <c r="Q79" s="44">
        <v>100</v>
      </c>
      <c r="R79" s="37">
        <v>0</v>
      </c>
      <c r="S79" s="37" t="s">
        <v>1964</v>
      </c>
      <c r="T79" s="48">
        <v>60</v>
      </c>
      <c r="U79" s="30">
        <v>9.129999999999999</v>
      </c>
      <c r="V79" s="41">
        <v>547.79999999999995</v>
      </c>
      <c r="W79" s="41">
        <v>925136</v>
      </c>
      <c r="X79" s="41">
        <v>925136</v>
      </c>
      <c r="Y79" s="41">
        <v>0</v>
      </c>
      <c r="Z79" s="41">
        <v>0</v>
      </c>
      <c r="AA79" s="41">
        <v>0</v>
      </c>
      <c r="AB79" s="41">
        <v>0</v>
      </c>
      <c r="AC79" s="41">
        <v>0</v>
      </c>
      <c r="AD79" s="41">
        <v>0</v>
      </c>
      <c r="AE79" s="41">
        <v>0</v>
      </c>
      <c r="AF79" s="41">
        <v>0</v>
      </c>
      <c r="AG79" s="41">
        <v>0</v>
      </c>
      <c r="AH79" s="41">
        <v>0</v>
      </c>
      <c r="AI79" s="41">
        <v>0</v>
      </c>
      <c r="AJ79" s="41">
        <v>0</v>
      </c>
      <c r="AK79" s="41">
        <v>0</v>
      </c>
      <c r="AL79" s="41">
        <v>0</v>
      </c>
      <c r="AM79" s="41"/>
      <c r="AN79" s="41">
        <v>15418.933333333332</v>
      </c>
      <c r="AO79" s="41">
        <v>15419</v>
      </c>
      <c r="AP79" s="40"/>
      <c r="AQ79" s="36">
        <v>45047</v>
      </c>
      <c r="AR79" s="36"/>
      <c r="AS79" s="36"/>
      <c r="AT79" s="36">
        <v>45061</v>
      </c>
      <c r="AU79" s="36"/>
      <c r="AV79" s="38"/>
      <c r="AW79" s="40" t="s">
        <v>87</v>
      </c>
    </row>
    <row r="80" spans="1:56" s="34" customFormat="1" ht="92.25" customHeight="1" x14ac:dyDescent="0.3">
      <c r="A80" s="35" t="s">
        <v>2207</v>
      </c>
      <c r="B80" s="38">
        <v>44959</v>
      </c>
      <c r="C80" s="40" t="s">
        <v>162</v>
      </c>
      <c r="D80" s="39" t="s">
        <v>2208</v>
      </c>
      <c r="E80" s="1" t="s">
        <v>2209</v>
      </c>
      <c r="F80" s="36">
        <v>44991</v>
      </c>
      <c r="G80" s="35" t="s">
        <v>2210</v>
      </c>
      <c r="H80" s="40" t="s">
        <v>177</v>
      </c>
      <c r="I80" s="40" t="s">
        <v>2211</v>
      </c>
      <c r="J80" s="57">
        <v>732711394.79999995</v>
      </c>
      <c r="K80" s="41">
        <v>732711394.79999995</v>
      </c>
      <c r="L80" s="30">
        <v>742187752.79999995</v>
      </c>
      <c r="M80" s="30">
        <v>742187752.79999995</v>
      </c>
      <c r="N80" s="40" t="s">
        <v>2212</v>
      </c>
      <c r="O80" s="40" t="s">
        <v>2213</v>
      </c>
      <c r="P80" s="40" t="s">
        <v>47</v>
      </c>
      <c r="Q80" s="44">
        <v>100</v>
      </c>
      <c r="R80" s="37">
        <v>0</v>
      </c>
      <c r="S80" s="37" t="s">
        <v>1964</v>
      </c>
      <c r="T80" s="54" t="s">
        <v>2214</v>
      </c>
      <c r="U80" s="30">
        <v>37.86</v>
      </c>
      <c r="V80" s="57" t="s">
        <v>2215</v>
      </c>
      <c r="W80" s="41">
        <v>19603480</v>
      </c>
      <c r="X80" s="41">
        <v>19603480</v>
      </c>
      <c r="Y80" s="41">
        <v>0</v>
      </c>
      <c r="Z80" s="41">
        <v>0</v>
      </c>
      <c r="AA80" s="41">
        <v>0</v>
      </c>
      <c r="AB80" s="41">
        <v>0</v>
      </c>
      <c r="AC80" s="41">
        <v>0</v>
      </c>
      <c r="AD80" s="41">
        <v>0</v>
      </c>
      <c r="AE80" s="41">
        <v>0</v>
      </c>
      <c r="AF80" s="41">
        <v>0</v>
      </c>
      <c r="AG80" s="41">
        <v>0</v>
      </c>
      <c r="AH80" s="41">
        <v>0</v>
      </c>
      <c r="AI80" s="41">
        <v>0</v>
      </c>
      <c r="AJ80" s="41">
        <v>0</v>
      </c>
      <c r="AK80" s="41">
        <v>0</v>
      </c>
      <c r="AL80" s="41">
        <v>0</v>
      </c>
      <c r="AM80" s="41"/>
      <c r="AN80" s="57" t="s">
        <v>2216</v>
      </c>
      <c r="AO80" s="57" t="s">
        <v>2217</v>
      </c>
      <c r="AP80" s="40"/>
      <c r="AQ80" s="36">
        <v>45047</v>
      </c>
      <c r="AR80" s="36"/>
      <c r="AS80" s="36"/>
      <c r="AT80" s="36">
        <v>45061</v>
      </c>
      <c r="AU80" s="36"/>
      <c r="AV80" s="38"/>
      <c r="AW80" s="40" t="s">
        <v>49</v>
      </c>
    </row>
    <row r="81" spans="1:49" s="34" customFormat="1" ht="92.25" customHeight="1" x14ac:dyDescent="0.3">
      <c r="A81" s="35" t="s">
        <v>2223</v>
      </c>
      <c r="B81" s="36">
        <v>44960</v>
      </c>
      <c r="C81" s="37" t="s">
        <v>162</v>
      </c>
      <c r="D81" s="39" t="s">
        <v>2224</v>
      </c>
      <c r="E81" s="1" t="s">
        <v>2225</v>
      </c>
      <c r="F81" s="36">
        <v>44984</v>
      </c>
      <c r="G81" s="35" t="s">
        <v>2226</v>
      </c>
      <c r="H81" s="40" t="s">
        <v>571</v>
      </c>
      <c r="I81" s="40" t="s">
        <v>1127</v>
      </c>
      <c r="J81" s="41">
        <v>74464854</v>
      </c>
      <c r="K81" s="41">
        <v>59496092</v>
      </c>
      <c r="L81" s="30">
        <v>61031426.399999999</v>
      </c>
      <c r="M81" s="30">
        <v>61031426.399999999</v>
      </c>
      <c r="N81" s="40" t="s">
        <v>1128</v>
      </c>
      <c r="O81" s="40" t="s">
        <v>2227</v>
      </c>
      <c r="P81" s="40" t="s">
        <v>47</v>
      </c>
      <c r="Q81" s="44">
        <v>100</v>
      </c>
      <c r="R81" s="37">
        <v>0</v>
      </c>
      <c r="S81" s="37" t="s">
        <v>1964</v>
      </c>
      <c r="T81" s="48">
        <v>30</v>
      </c>
      <c r="U81" s="30">
        <v>6.28</v>
      </c>
      <c r="V81" s="41">
        <v>188.4</v>
      </c>
      <c r="W81" s="41">
        <v>9718380</v>
      </c>
      <c r="X81" s="41">
        <v>9718380</v>
      </c>
      <c r="Y81" s="41">
        <v>0</v>
      </c>
      <c r="Z81" s="41">
        <v>0</v>
      </c>
      <c r="AA81" s="41">
        <v>0</v>
      </c>
      <c r="AB81" s="41">
        <v>0</v>
      </c>
      <c r="AC81" s="41">
        <v>0</v>
      </c>
      <c r="AD81" s="41">
        <v>0</v>
      </c>
      <c r="AE81" s="41">
        <v>0</v>
      </c>
      <c r="AF81" s="41">
        <v>0</v>
      </c>
      <c r="AG81" s="41">
        <v>0</v>
      </c>
      <c r="AH81" s="41">
        <v>0</v>
      </c>
      <c r="AI81" s="41">
        <v>0</v>
      </c>
      <c r="AJ81" s="41">
        <v>0</v>
      </c>
      <c r="AK81" s="41">
        <v>0</v>
      </c>
      <c r="AL81" s="41">
        <v>0</v>
      </c>
      <c r="AM81" s="41"/>
      <c r="AN81" s="41">
        <v>323946</v>
      </c>
      <c r="AO81" s="41">
        <v>323946</v>
      </c>
      <c r="AP81" s="40"/>
      <c r="AQ81" s="36">
        <v>45047</v>
      </c>
      <c r="AR81" s="36"/>
      <c r="AS81" s="36"/>
      <c r="AT81" s="36">
        <v>45061</v>
      </c>
      <c r="AU81" s="36"/>
      <c r="AV81" s="38"/>
      <c r="AW81" s="40" t="s">
        <v>87</v>
      </c>
    </row>
    <row r="82" spans="1:49" s="34" customFormat="1" ht="92.25" customHeight="1" x14ac:dyDescent="0.3">
      <c r="A82" s="35" t="s">
        <v>2228</v>
      </c>
      <c r="B82" s="36">
        <v>44960</v>
      </c>
      <c r="C82" s="37" t="s">
        <v>162</v>
      </c>
      <c r="D82" s="39" t="s">
        <v>2229</v>
      </c>
      <c r="E82" s="1" t="s">
        <v>2230</v>
      </c>
      <c r="F82" s="36">
        <v>44985</v>
      </c>
      <c r="G82" s="37" t="s">
        <v>2231</v>
      </c>
      <c r="H82" s="40" t="s">
        <v>2232</v>
      </c>
      <c r="I82" s="40" t="s">
        <v>2233</v>
      </c>
      <c r="J82" s="41">
        <v>47304230.939999998</v>
      </c>
      <c r="K82" s="41">
        <v>24090982.199999999</v>
      </c>
      <c r="L82" s="30">
        <v>24090982.199999999</v>
      </c>
      <c r="M82" s="30">
        <v>24090982.199999999</v>
      </c>
      <c r="N82" s="40" t="s">
        <v>2234</v>
      </c>
      <c r="O82" s="40" t="s">
        <v>2235</v>
      </c>
      <c r="P82" s="40" t="s">
        <v>47</v>
      </c>
      <c r="Q82" s="44">
        <v>100</v>
      </c>
      <c r="R82" s="37">
        <v>0</v>
      </c>
      <c r="S82" s="37" t="s">
        <v>1964</v>
      </c>
      <c r="T82" s="48">
        <v>30</v>
      </c>
      <c r="U82" s="30">
        <v>12.9</v>
      </c>
      <c r="V82" s="41">
        <v>387</v>
      </c>
      <c r="W82" s="41">
        <v>1867518</v>
      </c>
      <c r="X82" s="41">
        <v>1867518</v>
      </c>
      <c r="Y82" s="41">
        <v>0</v>
      </c>
      <c r="Z82" s="41">
        <v>0</v>
      </c>
      <c r="AA82" s="41">
        <v>0</v>
      </c>
      <c r="AB82" s="41">
        <v>0</v>
      </c>
      <c r="AC82" s="41">
        <v>0</v>
      </c>
      <c r="AD82" s="41">
        <v>0</v>
      </c>
      <c r="AE82" s="41">
        <v>0</v>
      </c>
      <c r="AF82" s="41">
        <v>0</v>
      </c>
      <c r="AG82" s="41">
        <v>0</v>
      </c>
      <c r="AH82" s="41">
        <v>0</v>
      </c>
      <c r="AI82" s="41">
        <v>0</v>
      </c>
      <c r="AJ82" s="41">
        <v>0</v>
      </c>
      <c r="AK82" s="41">
        <v>0</v>
      </c>
      <c r="AL82" s="41">
        <v>0</v>
      </c>
      <c r="AM82" s="41"/>
      <c r="AN82" s="41">
        <v>62250.6</v>
      </c>
      <c r="AO82" s="41">
        <v>62251</v>
      </c>
      <c r="AP82" s="40"/>
      <c r="AQ82" s="36">
        <v>45078</v>
      </c>
      <c r="AR82" s="36"/>
      <c r="AS82" s="36"/>
      <c r="AT82" s="36">
        <v>45092</v>
      </c>
      <c r="AU82" s="36"/>
      <c r="AV82" s="38"/>
      <c r="AW82" s="40" t="s">
        <v>87</v>
      </c>
    </row>
    <row r="83" spans="1:49" s="34" customFormat="1" ht="92.25" customHeight="1" x14ac:dyDescent="0.3">
      <c r="A83" s="35" t="s">
        <v>2236</v>
      </c>
      <c r="B83" s="36">
        <v>44960</v>
      </c>
      <c r="C83" s="37" t="s">
        <v>162</v>
      </c>
      <c r="D83" s="39" t="s">
        <v>2237</v>
      </c>
      <c r="E83" s="1" t="s">
        <v>2238</v>
      </c>
      <c r="F83" s="36">
        <v>44984</v>
      </c>
      <c r="G83" s="37" t="s">
        <v>2239</v>
      </c>
      <c r="H83" s="40" t="s">
        <v>571</v>
      </c>
      <c r="I83" s="40" t="s">
        <v>1069</v>
      </c>
      <c r="J83" s="41">
        <v>34364412</v>
      </c>
      <c r="K83" s="41">
        <v>34364412</v>
      </c>
      <c r="L83" s="30">
        <v>34364412</v>
      </c>
      <c r="M83" s="30">
        <v>34364412</v>
      </c>
      <c r="N83" s="40" t="s">
        <v>2240</v>
      </c>
      <c r="O83" s="40" t="s">
        <v>2241</v>
      </c>
      <c r="P83" s="40" t="s">
        <v>47</v>
      </c>
      <c r="Q83" s="44">
        <v>100</v>
      </c>
      <c r="R83" s="37">
        <v>0</v>
      </c>
      <c r="S83" s="37" t="s">
        <v>1964</v>
      </c>
      <c r="T83" s="48">
        <v>60</v>
      </c>
      <c r="U83" s="30">
        <v>91.8</v>
      </c>
      <c r="V83" s="41">
        <v>5508</v>
      </c>
      <c r="W83" s="41">
        <v>374340</v>
      </c>
      <c r="X83" s="41">
        <v>374340</v>
      </c>
      <c r="Y83" s="41">
        <v>0</v>
      </c>
      <c r="Z83" s="41">
        <v>0</v>
      </c>
      <c r="AA83" s="41">
        <v>0</v>
      </c>
      <c r="AB83" s="41">
        <v>0</v>
      </c>
      <c r="AC83" s="41">
        <v>0</v>
      </c>
      <c r="AD83" s="41">
        <v>0</v>
      </c>
      <c r="AE83" s="41">
        <v>0</v>
      </c>
      <c r="AF83" s="41">
        <v>0</v>
      </c>
      <c r="AG83" s="41">
        <v>0</v>
      </c>
      <c r="AH83" s="41">
        <v>0</v>
      </c>
      <c r="AI83" s="41">
        <v>0</v>
      </c>
      <c r="AJ83" s="41">
        <v>0</v>
      </c>
      <c r="AK83" s="41">
        <v>0</v>
      </c>
      <c r="AL83" s="41">
        <v>0</v>
      </c>
      <c r="AM83" s="41"/>
      <c r="AN83" s="41">
        <v>6239</v>
      </c>
      <c r="AO83" s="41">
        <v>6239</v>
      </c>
      <c r="AP83" s="40"/>
      <c r="AQ83" s="36">
        <v>45047</v>
      </c>
      <c r="AR83" s="36"/>
      <c r="AS83" s="36"/>
      <c r="AT83" s="36">
        <v>45061</v>
      </c>
      <c r="AU83" s="36"/>
      <c r="AV83" s="38"/>
      <c r="AW83" s="40" t="s">
        <v>87</v>
      </c>
    </row>
    <row r="84" spans="1:49" s="34" customFormat="1" ht="92.25" customHeight="1" x14ac:dyDescent="0.3">
      <c r="A84" s="35" t="s">
        <v>2245</v>
      </c>
      <c r="B84" s="36">
        <v>44960</v>
      </c>
      <c r="C84" s="37" t="s">
        <v>162</v>
      </c>
      <c r="D84" s="39" t="s">
        <v>2246</v>
      </c>
      <c r="E84" s="1" t="s">
        <v>2247</v>
      </c>
      <c r="F84" s="36">
        <v>44984</v>
      </c>
      <c r="G84" s="35" t="s">
        <v>2248</v>
      </c>
      <c r="H84" s="40" t="s">
        <v>177</v>
      </c>
      <c r="I84" s="40" t="s">
        <v>2249</v>
      </c>
      <c r="J84" s="41">
        <v>4309022.4000000004</v>
      </c>
      <c r="K84" s="41">
        <v>4309022.4000000004</v>
      </c>
      <c r="L84" s="30">
        <v>4309022.4000000004</v>
      </c>
      <c r="M84" s="30">
        <v>4309022.4000000004</v>
      </c>
      <c r="N84" s="40" t="s">
        <v>179</v>
      </c>
      <c r="O84" s="40" t="s">
        <v>1031</v>
      </c>
      <c r="P84" s="40" t="s">
        <v>1032</v>
      </c>
      <c r="Q84" s="44">
        <v>0</v>
      </c>
      <c r="R84" s="37">
        <v>100</v>
      </c>
      <c r="S84" s="37" t="s">
        <v>1964</v>
      </c>
      <c r="T84" s="48">
        <v>60</v>
      </c>
      <c r="U84" s="30">
        <v>33.940000000000005</v>
      </c>
      <c r="V84" s="41">
        <v>2036.4000000000003</v>
      </c>
      <c r="W84" s="41">
        <v>126960</v>
      </c>
      <c r="X84" s="41">
        <v>126960</v>
      </c>
      <c r="Y84" s="41">
        <v>0</v>
      </c>
      <c r="Z84" s="41">
        <v>0</v>
      </c>
      <c r="AA84" s="41">
        <v>0</v>
      </c>
      <c r="AB84" s="41">
        <v>0</v>
      </c>
      <c r="AC84" s="41">
        <v>0</v>
      </c>
      <c r="AD84" s="41">
        <v>0</v>
      </c>
      <c r="AE84" s="41">
        <v>0</v>
      </c>
      <c r="AF84" s="41">
        <v>0</v>
      </c>
      <c r="AG84" s="41">
        <v>0</v>
      </c>
      <c r="AH84" s="41">
        <v>0</v>
      </c>
      <c r="AI84" s="41">
        <v>0</v>
      </c>
      <c r="AJ84" s="41">
        <v>0</v>
      </c>
      <c r="AK84" s="41">
        <v>0</v>
      </c>
      <c r="AL84" s="41">
        <v>0</v>
      </c>
      <c r="AM84" s="41"/>
      <c r="AN84" s="41">
        <v>2116</v>
      </c>
      <c r="AO84" s="41">
        <v>2116</v>
      </c>
      <c r="AP84" s="40"/>
      <c r="AQ84" s="36">
        <v>45139</v>
      </c>
      <c r="AR84" s="36"/>
      <c r="AS84" s="36"/>
      <c r="AT84" s="36">
        <v>45153</v>
      </c>
      <c r="AU84" s="36"/>
      <c r="AV84" s="38"/>
      <c r="AW84" s="40" t="s">
        <v>49</v>
      </c>
    </row>
    <row r="85" spans="1:49" s="34" customFormat="1" ht="81.599999999999994" customHeight="1" x14ac:dyDescent="0.3">
      <c r="A85" s="35" t="s">
        <v>2250</v>
      </c>
      <c r="B85" s="36">
        <v>44960</v>
      </c>
      <c r="C85" s="37" t="s">
        <v>162</v>
      </c>
      <c r="D85" s="39" t="s">
        <v>2251</v>
      </c>
      <c r="E85" s="1" t="s">
        <v>2252</v>
      </c>
      <c r="F85" s="36">
        <v>44984</v>
      </c>
      <c r="G85" s="35" t="s">
        <v>2253</v>
      </c>
      <c r="H85" s="40" t="s">
        <v>571</v>
      </c>
      <c r="I85" s="40" t="s">
        <v>1181</v>
      </c>
      <c r="J85" s="41">
        <v>243625947.09999999</v>
      </c>
      <c r="K85" s="41">
        <v>131131540.09999999</v>
      </c>
      <c r="L85" s="30">
        <v>131145598.09999999</v>
      </c>
      <c r="M85" s="30">
        <v>131145598.09999999</v>
      </c>
      <c r="N85" s="40" t="s">
        <v>2254</v>
      </c>
      <c r="O85" s="40" t="s">
        <v>2255</v>
      </c>
      <c r="P85" s="40" t="s">
        <v>47</v>
      </c>
      <c r="Q85" s="44">
        <v>100</v>
      </c>
      <c r="R85" s="37">
        <v>0</v>
      </c>
      <c r="S85" s="37" t="s">
        <v>1964</v>
      </c>
      <c r="T85" s="48">
        <v>30</v>
      </c>
      <c r="U85" s="30">
        <v>7.81</v>
      </c>
      <c r="V85" s="41">
        <v>234.29999999999998</v>
      </c>
      <c r="W85" s="41">
        <v>16792010</v>
      </c>
      <c r="X85" s="41">
        <v>16790210</v>
      </c>
      <c r="Y85" s="41">
        <v>0</v>
      </c>
      <c r="Z85" s="41">
        <v>0</v>
      </c>
      <c r="AA85" s="41">
        <v>0</v>
      </c>
      <c r="AB85" s="41">
        <v>0</v>
      </c>
      <c r="AC85" s="41">
        <v>0</v>
      </c>
      <c r="AD85" s="41">
        <v>0</v>
      </c>
      <c r="AE85" s="41">
        <v>0</v>
      </c>
      <c r="AF85" s="41">
        <v>0</v>
      </c>
      <c r="AG85" s="41">
        <v>0</v>
      </c>
      <c r="AH85" s="41">
        <v>0</v>
      </c>
      <c r="AI85" s="41">
        <v>0</v>
      </c>
      <c r="AJ85" s="41">
        <v>0</v>
      </c>
      <c r="AK85" s="41">
        <v>0</v>
      </c>
      <c r="AL85" s="41">
        <v>0</v>
      </c>
      <c r="AM85" s="41"/>
      <c r="AN85" s="41">
        <v>559733.66666666663</v>
      </c>
      <c r="AO85" s="41">
        <v>559734</v>
      </c>
      <c r="AP85" s="40"/>
      <c r="AQ85" s="36">
        <v>45047</v>
      </c>
      <c r="AR85" s="36"/>
      <c r="AS85" s="36"/>
      <c r="AT85" s="36">
        <v>45061</v>
      </c>
      <c r="AU85" s="36"/>
      <c r="AV85" s="38"/>
      <c r="AW85" s="40" t="s">
        <v>87</v>
      </c>
    </row>
    <row r="86" spans="1:49" s="34" customFormat="1" ht="81.599999999999994" customHeight="1" x14ac:dyDescent="0.3">
      <c r="A86" s="35" t="s">
        <v>2256</v>
      </c>
      <c r="B86" s="36">
        <v>44964</v>
      </c>
      <c r="C86" s="37" t="s">
        <v>162</v>
      </c>
      <c r="D86" s="39" t="s">
        <v>459</v>
      </c>
      <c r="E86" s="1" t="s">
        <v>2257</v>
      </c>
      <c r="F86" s="36" t="s">
        <v>459</v>
      </c>
      <c r="G86" s="37" t="s">
        <v>459</v>
      </c>
      <c r="H86" s="40" t="s">
        <v>459</v>
      </c>
      <c r="I86" s="40" t="s">
        <v>2258</v>
      </c>
      <c r="J86" s="41">
        <v>11424842</v>
      </c>
      <c r="K86" s="41">
        <v>0</v>
      </c>
      <c r="L86" s="30">
        <v>0</v>
      </c>
      <c r="M86" s="30">
        <v>0</v>
      </c>
      <c r="N86" s="40"/>
      <c r="O86" s="40"/>
      <c r="P86" s="40"/>
      <c r="Q86" s="44"/>
      <c r="R86" s="37"/>
      <c r="S86" s="37"/>
      <c r="T86" s="48"/>
      <c r="U86" s="30" t="e">
        <v>#DIV/0!</v>
      </c>
      <c r="V86" s="41" t="e">
        <v>#DIV/0!</v>
      </c>
      <c r="W86" s="41">
        <v>0</v>
      </c>
      <c r="X86" s="41"/>
      <c r="Y86" s="41"/>
      <c r="Z86" s="41"/>
      <c r="AA86" s="41"/>
      <c r="AB86" s="41"/>
      <c r="AC86" s="41"/>
      <c r="AD86" s="41"/>
      <c r="AE86" s="41"/>
      <c r="AF86" s="41"/>
      <c r="AG86" s="41"/>
      <c r="AH86" s="41"/>
      <c r="AI86" s="41"/>
      <c r="AJ86" s="41"/>
      <c r="AK86" s="41"/>
      <c r="AL86" s="41"/>
      <c r="AM86" s="41"/>
      <c r="AN86" s="41" t="e">
        <v>#DIV/0!</v>
      </c>
      <c r="AO86" s="41" t="e">
        <v>#DIV/0!</v>
      </c>
      <c r="AP86" s="40"/>
      <c r="AQ86" s="36"/>
      <c r="AR86" s="36"/>
      <c r="AS86" s="36"/>
      <c r="AT86" s="36"/>
      <c r="AU86" s="36"/>
      <c r="AV86" s="38"/>
      <c r="AW86" s="40"/>
    </row>
    <row r="87" spans="1:49" s="34" customFormat="1" ht="81.599999999999994" customHeight="1" x14ac:dyDescent="0.3">
      <c r="A87" s="35" t="s">
        <v>2259</v>
      </c>
      <c r="B87" s="36">
        <v>44964</v>
      </c>
      <c r="C87" s="37" t="s">
        <v>162</v>
      </c>
      <c r="D87" s="39" t="s">
        <v>2260</v>
      </c>
      <c r="E87" s="1" t="s">
        <v>2261</v>
      </c>
      <c r="F87" s="36">
        <v>44986</v>
      </c>
      <c r="G87" s="35" t="s">
        <v>2262</v>
      </c>
      <c r="H87" s="40" t="s">
        <v>177</v>
      </c>
      <c r="I87" s="40" t="s">
        <v>1053</v>
      </c>
      <c r="J87" s="41">
        <v>173187191.08000001</v>
      </c>
      <c r="K87" s="41">
        <v>172290622.36000001</v>
      </c>
      <c r="L87" s="30">
        <v>172290622.36000001</v>
      </c>
      <c r="M87" s="30">
        <v>172290622.36000001</v>
      </c>
      <c r="N87" s="40" t="s">
        <v>2263</v>
      </c>
      <c r="O87" s="40" t="s">
        <v>2264</v>
      </c>
      <c r="P87" s="40" t="s">
        <v>47</v>
      </c>
      <c r="Q87" s="44">
        <v>100</v>
      </c>
      <c r="R87" s="37">
        <v>0</v>
      </c>
      <c r="S87" s="37" t="s">
        <v>1964</v>
      </c>
      <c r="T87" s="48">
        <v>30</v>
      </c>
      <c r="U87" s="30">
        <v>23.060000000000002</v>
      </c>
      <c r="V87" s="41">
        <v>691.80000000000007</v>
      </c>
      <c r="W87" s="41">
        <v>7471406</v>
      </c>
      <c r="X87" s="41">
        <v>7471406</v>
      </c>
      <c r="Y87" s="41">
        <v>0</v>
      </c>
      <c r="Z87" s="41">
        <v>0</v>
      </c>
      <c r="AA87" s="41">
        <v>0</v>
      </c>
      <c r="AB87" s="41">
        <v>0</v>
      </c>
      <c r="AC87" s="41">
        <v>0</v>
      </c>
      <c r="AD87" s="41">
        <v>0</v>
      </c>
      <c r="AE87" s="41">
        <v>0</v>
      </c>
      <c r="AF87" s="41">
        <v>0</v>
      </c>
      <c r="AG87" s="41">
        <v>0</v>
      </c>
      <c r="AH87" s="41">
        <v>0</v>
      </c>
      <c r="AI87" s="41">
        <v>0</v>
      </c>
      <c r="AJ87" s="41">
        <v>0</v>
      </c>
      <c r="AK87" s="41">
        <v>0</v>
      </c>
      <c r="AL87" s="41">
        <v>0</v>
      </c>
      <c r="AM87" s="41"/>
      <c r="AN87" s="41">
        <v>249046.86666666667</v>
      </c>
      <c r="AO87" s="41">
        <v>249047</v>
      </c>
      <c r="AP87" s="40"/>
      <c r="AQ87" s="36">
        <v>45047</v>
      </c>
      <c r="AR87" s="36"/>
      <c r="AS87" s="36"/>
      <c r="AT87" s="36">
        <v>45061</v>
      </c>
      <c r="AU87" s="36"/>
      <c r="AV87" s="38"/>
      <c r="AW87" s="40" t="s">
        <v>87</v>
      </c>
    </row>
    <row r="88" spans="1:49" s="34" customFormat="1" ht="81.599999999999994" customHeight="1" x14ac:dyDescent="0.3">
      <c r="A88" s="35" t="s">
        <v>2265</v>
      </c>
      <c r="B88" s="36">
        <v>44964</v>
      </c>
      <c r="C88" s="37" t="s">
        <v>162</v>
      </c>
      <c r="D88" s="39" t="s">
        <v>2266</v>
      </c>
      <c r="E88" s="1" t="s">
        <v>2267</v>
      </c>
      <c r="F88" s="36">
        <v>44985</v>
      </c>
      <c r="G88" s="37" t="s">
        <v>2268</v>
      </c>
      <c r="H88" s="40" t="s">
        <v>555</v>
      </c>
      <c r="I88" s="40" t="s">
        <v>2269</v>
      </c>
      <c r="J88" s="41">
        <v>4569460</v>
      </c>
      <c r="K88" s="41">
        <v>4569460</v>
      </c>
      <c r="L88" s="30">
        <v>4713894</v>
      </c>
      <c r="M88" s="30">
        <v>4713894</v>
      </c>
      <c r="N88" s="40" t="s">
        <v>2270</v>
      </c>
      <c r="O88" s="40" t="s">
        <v>1115</v>
      </c>
      <c r="P88" s="40" t="s">
        <v>47</v>
      </c>
      <c r="Q88" s="44">
        <v>100</v>
      </c>
      <c r="R88" s="37">
        <v>0</v>
      </c>
      <c r="S88" s="37" t="s">
        <v>219</v>
      </c>
      <c r="T88" s="48">
        <v>200</v>
      </c>
      <c r="U88" s="30">
        <v>2.57</v>
      </c>
      <c r="V88" s="41">
        <v>514</v>
      </c>
      <c r="W88" s="41">
        <v>1834200</v>
      </c>
      <c r="X88" s="41">
        <v>1834200</v>
      </c>
      <c r="Y88" s="41">
        <v>0</v>
      </c>
      <c r="Z88" s="41">
        <v>0</v>
      </c>
      <c r="AA88" s="41">
        <v>0</v>
      </c>
      <c r="AB88" s="41">
        <v>0</v>
      </c>
      <c r="AC88" s="41">
        <v>0</v>
      </c>
      <c r="AD88" s="41">
        <v>0</v>
      </c>
      <c r="AE88" s="41">
        <v>0</v>
      </c>
      <c r="AF88" s="41">
        <v>0</v>
      </c>
      <c r="AG88" s="41">
        <v>0</v>
      </c>
      <c r="AH88" s="41">
        <v>0</v>
      </c>
      <c r="AI88" s="41">
        <v>0</v>
      </c>
      <c r="AJ88" s="41">
        <v>0</v>
      </c>
      <c r="AK88" s="41">
        <v>0</v>
      </c>
      <c r="AL88" s="41">
        <v>0</v>
      </c>
      <c r="AM88" s="41"/>
      <c r="AN88" s="41">
        <v>9171</v>
      </c>
      <c r="AO88" s="41">
        <v>9171</v>
      </c>
      <c r="AP88" s="40"/>
      <c r="AQ88" s="36">
        <v>45047</v>
      </c>
      <c r="AR88" s="36"/>
      <c r="AS88" s="36"/>
      <c r="AT88" s="36">
        <v>45061</v>
      </c>
      <c r="AU88" s="36"/>
      <c r="AV88" s="38"/>
      <c r="AW88" s="40" t="s">
        <v>49</v>
      </c>
    </row>
    <row r="89" spans="1:49" s="34" customFormat="1" ht="81.599999999999994" customHeight="1" x14ac:dyDescent="0.3">
      <c r="A89" s="35" t="s">
        <v>2271</v>
      </c>
      <c r="B89" s="36">
        <v>44964</v>
      </c>
      <c r="C89" s="37" t="s">
        <v>162</v>
      </c>
      <c r="D89" s="39" t="s">
        <v>2272</v>
      </c>
      <c r="E89" s="1" t="s">
        <v>2273</v>
      </c>
      <c r="F89" s="36">
        <v>44984</v>
      </c>
      <c r="G89" s="37" t="s">
        <v>2274</v>
      </c>
      <c r="H89" s="40" t="s">
        <v>571</v>
      </c>
      <c r="I89" s="40" t="s">
        <v>915</v>
      </c>
      <c r="J89" s="41">
        <v>16878672</v>
      </c>
      <c r="K89" s="41">
        <v>16032816</v>
      </c>
      <c r="L89" s="30">
        <v>16032816</v>
      </c>
      <c r="M89" s="30">
        <v>16032816</v>
      </c>
      <c r="N89" s="40" t="s">
        <v>916</v>
      </c>
      <c r="O89" s="40" t="s">
        <v>2275</v>
      </c>
      <c r="P89" s="40" t="s">
        <v>47</v>
      </c>
      <c r="Q89" s="44">
        <v>100</v>
      </c>
      <c r="R89" s="37">
        <v>0</v>
      </c>
      <c r="S89" s="37" t="s">
        <v>1964</v>
      </c>
      <c r="T89" s="48">
        <v>120</v>
      </c>
      <c r="U89" s="30">
        <v>62.55</v>
      </c>
      <c r="V89" s="41">
        <v>7506</v>
      </c>
      <c r="W89" s="41">
        <v>256320</v>
      </c>
      <c r="X89" s="41">
        <v>256320</v>
      </c>
      <c r="Y89" s="41">
        <v>0</v>
      </c>
      <c r="Z89" s="41">
        <v>0</v>
      </c>
      <c r="AA89" s="41">
        <v>0</v>
      </c>
      <c r="AB89" s="41">
        <v>0</v>
      </c>
      <c r="AC89" s="41">
        <v>0</v>
      </c>
      <c r="AD89" s="41">
        <v>0</v>
      </c>
      <c r="AE89" s="41">
        <v>0</v>
      </c>
      <c r="AF89" s="41">
        <v>0</v>
      </c>
      <c r="AG89" s="41">
        <v>0</v>
      </c>
      <c r="AH89" s="41">
        <v>0</v>
      </c>
      <c r="AI89" s="41">
        <v>0</v>
      </c>
      <c r="AJ89" s="41">
        <v>0</v>
      </c>
      <c r="AK89" s="41">
        <v>0</v>
      </c>
      <c r="AL89" s="41">
        <v>0</v>
      </c>
      <c r="AM89" s="41"/>
      <c r="AN89" s="41">
        <v>2136</v>
      </c>
      <c r="AO89" s="41">
        <v>2136</v>
      </c>
      <c r="AP89" s="40"/>
      <c r="AQ89" s="36">
        <v>45047</v>
      </c>
      <c r="AR89" s="36"/>
      <c r="AS89" s="36"/>
      <c r="AT89" s="36">
        <v>45061</v>
      </c>
      <c r="AU89" s="36"/>
      <c r="AV89" s="38"/>
      <c r="AW89" s="40" t="s">
        <v>87</v>
      </c>
    </row>
    <row r="90" spans="1:49" ht="81.599999999999994" customHeight="1" x14ac:dyDescent="0.3">
      <c r="A90" s="35" t="s">
        <v>2276</v>
      </c>
      <c r="B90" s="36">
        <v>44964</v>
      </c>
      <c r="C90" s="37" t="s">
        <v>162</v>
      </c>
      <c r="D90" s="39" t="s">
        <v>2277</v>
      </c>
      <c r="E90" s="1" t="s">
        <v>2278</v>
      </c>
      <c r="F90" s="36">
        <v>44984</v>
      </c>
      <c r="G90" s="37" t="s">
        <v>2279</v>
      </c>
      <c r="H90" s="40" t="s">
        <v>571</v>
      </c>
      <c r="I90" s="40" t="s">
        <v>1190</v>
      </c>
      <c r="J90" s="41">
        <v>3806992.8</v>
      </c>
      <c r="K90" s="41">
        <v>3806992.8</v>
      </c>
      <c r="L90" s="30">
        <v>3806992.8</v>
      </c>
      <c r="M90" s="30">
        <v>3806992.8</v>
      </c>
      <c r="N90" s="40" t="s">
        <v>2280</v>
      </c>
      <c r="O90" s="40" t="s">
        <v>2281</v>
      </c>
      <c r="P90" s="40" t="s">
        <v>47</v>
      </c>
      <c r="Q90" s="44">
        <v>100</v>
      </c>
      <c r="R90" s="37">
        <v>0</v>
      </c>
      <c r="S90" s="37" t="s">
        <v>1964</v>
      </c>
      <c r="T90" s="48">
        <v>60</v>
      </c>
      <c r="U90" s="30">
        <v>4.5699999999999994</v>
      </c>
      <c r="V90" s="41">
        <v>274.2</v>
      </c>
      <c r="W90" s="41">
        <v>833040</v>
      </c>
      <c r="X90" s="41">
        <v>833040</v>
      </c>
      <c r="Y90" s="41">
        <v>0</v>
      </c>
      <c r="Z90" s="41">
        <v>0</v>
      </c>
      <c r="AA90" s="41">
        <v>0</v>
      </c>
      <c r="AB90" s="41">
        <v>0</v>
      </c>
      <c r="AC90" s="41">
        <v>0</v>
      </c>
      <c r="AD90" s="41">
        <v>0</v>
      </c>
      <c r="AE90" s="41">
        <v>0</v>
      </c>
      <c r="AF90" s="41">
        <v>0</v>
      </c>
      <c r="AG90" s="41">
        <v>0</v>
      </c>
      <c r="AH90" s="41">
        <v>0</v>
      </c>
      <c r="AI90" s="41">
        <v>0</v>
      </c>
      <c r="AJ90" s="41">
        <v>0</v>
      </c>
      <c r="AK90" s="41">
        <v>0</v>
      </c>
      <c r="AL90" s="41">
        <v>0</v>
      </c>
      <c r="AM90" s="41"/>
      <c r="AN90" s="41">
        <v>13884</v>
      </c>
      <c r="AO90" s="41">
        <v>13884</v>
      </c>
      <c r="AP90" s="40"/>
      <c r="AQ90" s="36">
        <v>45047</v>
      </c>
      <c r="AR90" s="36"/>
      <c r="AS90" s="36"/>
      <c r="AT90" s="36">
        <v>45061</v>
      </c>
      <c r="AU90" s="36"/>
      <c r="AV90" s="38"/>
      <c r="AW90" s="40" t="s">
        <v>87</v>
      </c>
    </row>
    <row r="91" spans="1:49" ht="81.599999999999994" customHeight="1" x14ac:dyDescent="0.3">
      <c r="A91" s="35" t="s">
        <v>2282</v>
      </c>
      <c r="B91" s="36">
        <v>44965</v>
      </c>
      <c r="C91" s="37" t="s">
        <v>162</v>
      </c>
      <c r="D91" s="39" t="s">
        <v>2283</v>
      </c>
      <c r="E91" s="1" t="s">
        <v>2284</v>
      </c>
      <c r="F91" s="36">
        <v>44991</v>
      </c>
      <c r="G91" s="35" t="s">
        <v>2285</v>
      </c>
      <c r="H91" s="40" t="s">
        <v>177</v>
      </c>
      <c r="I91" s="40" t="s">
        <v>1107</v>
      </c>
      <c r="J91" s="41">
        <v>88686628.799999997</v>
      </c>
      <c r="K91" s="41">
        <v>88686628.799999997</v>
      </c>
      <c r="L91" s="30">
        <v>89008735.200000003</v>
      </c>
      <c r="M91" s="30">
        <v>89008735.200000003</v>
      </c>
      <c r="N91" s="40" t="s">
        <v>179</v>
      </c>
      <c r="O91" s="40" t="s">
        <v>1108</v>
      </c>
      <c r="P91" s="40" t="s">
        <v>1032</v>
      </c>
      <c r="Q91" s="44">
        <v>100</v>
      </c>
      <c r="R91" s="37">
        <v>0</v>
      </c>
      <c r="S91" s="37" t="s">
        <v>1964</v>
      </c>
      <c r="T91" s="48">
        <v>60</v>
      </c>
      <c r="U91" s="30">
        <v>127.82000000000001</v>
      </c>
      <c r="V91" s="41">
        <v>7669.2000000000007</v>
      </c>
      <c r="W91" s="41">
        <v>696360</v>
      </c>
      <c r="X91" s="41">
        <v>696360</v>
      </c>
      <c r="Y91" s="41">
        <v>0</v>
      </c>
      <c r="Z91" s="41">
        <v>0</v>
      </c>
      <c r="AA91" s="41">
        <v>0</v>
      </c>
      <c r="AB91" s="41">
        <v>0</v>
      </c>
      <c r="AC91" s="41">
        <v>0</v>
      </c>
      <c r="AD91" s="41">
        <v>0</v>
      </c>
      <c r="AE91" s="41">
        <v>0</v>
      </c>
      <c r="AF91" s="41">
        <v>0</v>
      </c>
      <c r="AG91" s="41">
        <v>0</v>
      </c>
      <c r="AH91" s="41">
        <v>0</v>
      </c>
      <c r="AI91" s="41">
        <v>0</v>
      </c>
      <c r="AJ91" s="41">
        <v>0</v>
      </c>
      <c r="AK91" s="41">
        <v>0</v>
      </c>
      <c r="AL91" s="41">
        <v>0</v>
      </c>
      <c r="AM91" s="41"/>
      <c r="AN91" s="41">
        <v>11606</v>
      </c>
      <c r="AO91" s="41">
        <v>11606</v>
      </c>
      <c r="AP91" s="40"/>
      <c r="AQ91" s="36">
        <v>45139</v>
      </c>
      <c r="AR91" s="36"/>
      <c r="AS91" s="36"/>
      <c r="AT91" s="36">
        <v>45153</v>
      </c>
      <c r="AU91" s="36"/>
      <c r="AV91" s="38"/>
      <c r="AW91" s="40" t="s">
        <v>49</v>
      </c>
    </row>
    <row r="92" spans="1:49" ht="81.599999999999994" customHeight="1" x14ac:dyDescent="0.3">
      <c r="A92" s="35" t="s">
        <v>2286</v>
      </c>
      <c r="B92" s="36">
        <v>44965</v>
      </c>
      <c r="C92" s="37" t="s">
        <v>162</v>
      </c>
      <c r="D92" s="39" t="s">
        <v>2287</v>
      </c>
      <c r="E92" s="1" t="s">
        <v>2288</v>
      </c>
      <c r="F92" s="36">
        <v>44991</v>
      </c>
      <c r="G92" s="35" t="s">
        <v>2289</v>
      </c>
      <c r="H92" s="40" t="s">
        <v>177</v>
      </c>
      <c r="I92" s="40" t="s">
        <v>2290</v>
      </c>
      <c r="J92" s="41">
        <v>61216234.200000003</v>
      </c>
      <c r="K92" s="41">
        <v>61216234.200000003</v>
      </c>
      <c r="L92" s="30">
        <v>61216234.200000003</v>
      </c>
      <c r="M92" s="30">
        <v>61216234.200000003</v>
      </c>
      <c r="N92" s="40" t="s">
        <v>1086</v>
      </c>
      <c r="O92" s="40" t="s">
        <v>1087</v>
      </c>
      <c r="P92" s="40" t="s">
        <v>199</v>
      </c>
      <c r="Q92" s="44">
        <v>100</v>
      </c>
      <c r="R92" s="37">
        <v>0</v>
      </c>
      <c r="S92" s="37" t="s">
        <v>1964</v>
      </c>
      <c r="T92" s="48">
        <v>30</v>
      </c>
      <c r="U92" s="30">
        <v>387.42</v>
      </c>
      <c r="V92" s="41">
        <v>11622.6</v>
      </c>
      <c r="W92" s="41">
        <v>158010</v>
      </c>
      <c r="X92" s="41">
        <v>158010</v>
      </c>
      <c r="Y92" s="41">
        <v>0</v>
      </c>
      <c r="Z92" s="41">
        <v>0</v>
      </c>
      <c r="AA92" s="41">
        <v>0</v>
      </c>
      <c r="AB92" s="41">
        <v>0</v>
      </c>
      <c r="AC92" s="41">
        <v>0</v>
      </c>
      <c r="AD92" s="41">
        <v>0</v>
      </c>
      <c r="AE92" s="41">
        <v>0</v>
      </c>
      <c r="AF92" s="41">
        <v>0</v>
      </c>
      <c r="AG92" s="41">
        <v>0</v>
      </c>
      <c r="AH92" s="41">
        <v>0</v>
      </c>
      <c r="AI92" s="41">
        <v>0</v>
      </c>
      <c r="AJ92" s="41">
        <v>0</v>
      </c>
      <c r="AK92" s="41">
        <v>0</v>
      </c>
      <c r="AL92" s="41">
        <v>0</v>
      </c>
      <c r="AM92" s="41"/>
      <c r="AN92" s="41">
        <v>5267</v>
      </c>
      <c r="AO92" s="41">
        <v>5267</v>
      </c>
      <c r="AP92" s="40"/>
      <c r="AQ92" s="36">
        <v>45078</v>
      </c>
      <c r="AR92" s="36"/>
      <c r="AS92" s="36"/>
      <c r="AT92" s="36">
        <v>45092</v>
      </c>
      <c r="AU92" s="36"/>
      <c r="AV92" s="38"/>
      <c r="AW92" s="40" t="s">
        <v>87</v>
      </c>
    </row>
    <row r="93" spans="1:49" ht="72" x14ac:dyDescent="0.3">
      <c r="A93" s="35" t="s">
        <v>2316</v>
      </c>
      <c r="B93" s="36">
        <v>44966</v>
      </c>
      <c r="C93" s="37" t="s">
        <v>162</v>
      </c>
      <c r="D93" s="39" t="s">
        <v>2317</v>
      </c>
      <c r="E93" s="1" t="s">
        <v>2318</v>
      </c>
      <c r="F93" s="36">
        <v>45001</v>
      </c>
      <c r="G93" s="37" t="s">
        <v>2319</v>
      </c>
      <c r="H93" s="40" t="s">
        <v>186</v>
      </c>
      <c r="I93" s="40" t="s">
        <v>1166</v>
      </c>
      <c r="J93" s="41">
        <v>1128184523.4000001</v>
      </c>
      <c r="K93" s="41">
        <v>1128184523.4000001</v>
      </c>
      <c r="L93" s="30">
        <v>1128184523.4000001</v>
      </c>
      <c r="M93" s="30">
        <v>1128184523.4000001</v>
      </c>
      <c r="N93" s="40" t="s">
        <v>2320</v>
      </c>
      <c r="O93" s="40" t="s">
        <v>2321</v>
      </c>
      <c r="P93" s="40" t="s">
        <v>47</v>
      </c>
      <c r="Q93" s="44">
        <v>100</v>
      </c>
      <c r="R93" s="37">
        <v>0</v>
      </c>
      <c r="S93" s="37" t="s">
        <v>1964</v>
      </c>
      <c r="T93" s="48">
        <v>30</v>
      </c>
      <c r="U93" s="30">
        <v>183.34</v>
      </c>
      <c r="V93" s="41">
        <v>5500.2</v>
      </c>
      <c r="W93" s="41">
        <v>6153510</v>
      </c>
      <c r="X93" s="41">
        <v>6153510</v>
      </c>
      <c r="Y93" s="41">
        <v>0</v>
      </c>
      <c r="Z93" s="41">
        <v>0</v>
      </c>
      <c r="AA93" s="41">
        <v>0</v>
      </c>
      <c r="AB93" s="41">
        <v>0</v>
      </c>
      <c r="AC93" s="41">
        <v>0</v>
      </c>
      <c r="AD93" s="41">
        <v>0</v>
      </c>
      <c r="AE93" s="41">
        <v>0</v>
      </c>
      <c r="AF93" s="41">
        <v>0</v>
      </c>
      <c r="AG93" s="41">
        <v>0</v>
      </c>
      <c r="AH93" s="41">
        <v>0</v>
      </c>
      <c r="AI93" s="41">
        <v>0</v>
      </c>
      <c r="AJ93" s="41">
        <v>0</v>
      </c>
      <c r="AK93" s="41">
        <v>0</v>
      </c>
      <c r="AL93" s="41">
        <v>0</v>
      </c>
      <c r="AM93" s="41"/>
      <c r="AN93" s="41">
        <v>205117</v>
      </c>
      <c r="AO93" s="41">
        <v>205117</v>
      </c>
      <c r="AP93" s="40"/>
      <c r="AQ93" s="36">
        <v>45078</v>
      </c>
      <c r="AR93" s="36"/>
      <c r="AS93" s="36"/>
      <c r="AT93" s="36">
        <v>45092</v>
      </c>
      <c r="AU93" s="36"/>
      <c r="AV93" s="38"/>
      <c r="AW93" s="40" t="s">
        <v>87</v>
      </c>
    </row>
    <row r="94" spans="1:49" ht="72" x14ac:dyDescent="0.3">
      <c r="A94" s="35" t="s">
        <v>2322</v>
      </c>
      <c r="B94" s="36">
        <v>44966</v>
      </c>
      <c r="C94" s="37" t="s">
        <v>162</v>
      </c>
      <c r="D94" s="39" t="s">
        <v>2323</v>
      </c>
      <c r="E94" s="1" t="s">
        <v>2324</v>
      </c>
      <c r="F94" s="36">
        <v>45001</v>
      </c>
      <c r="G94" s="37" t="s">
        <v>2325</v>
      </c>
      <c r="H94" s="40" t="s">
        <v>186</v>
      </c>
      <c r="I94" s="40" t="s">
        <v>1166</v>
      </c>
      <c r="J94" s="41">
        <v>1688874911.4000001</v>
      </c>
      <c r="K94" s="41">
        <v>1688874911.4000001</v>
      </c>
      <c r="L94" s="30">
        <v>1688874911.4000001</v>
      </c>
      <c r="M94" s="30">
        <v>1688874911.4000001</v>
      </c>
      <c r="N94" s="40" t="s">
        <v>2320</v>
      </c>
      <c r="O94" s="40" t="s">
        <v>2321</v>
      </c>
      <c r="P94" s="40" t="s">
        <v>47</v>
      </c>
      <c r="Q94" s="44">
        <v>100</v>
      </c>
      <c r="R94" s="37">
        <v>0</v>
      </c>
      <c r="S94" s="37" t="s">
        <v>1964</v>
      </c>
      <c r="T94" s="48">
        <v>30</v>
      </c>
      <c r="U94" s="30">
        <v>183.34</v>
      </c>
      <c r="V94" s="41">
        <v>5500.2</v>
      </c>
      <c r="W94" s="41">
        <v>9211710</v>
      </c>
      <c r="X94" s="41">
        <v>9211710</v>
      </c>
      <c r="Y94" s="41">
        <v>0</v>
      </c>
      <c r="Z94" s="41">
        <v>0</v>
      </c>
      <c r="AA94" s="41">
        <v>0</v>
      </c>
      <c r="AB94" s="41">
        <v>0</v>
      </c>
      <c r="AC94" s="41">
        <v>0</v>
      </c>
      <c r="AD94" s="41">
        <v>0</v>
      </c>
      <c r="AE94" s="41">
        <v>0</v>
      </c>
      <c r="AF94" s="41">
        <v>0</v>
      </c>
      <c r="AG94" s="41">
        <v>0</v>
      </c>
      <c r="AH94" s="41">
        <v>0</v>
      </c>
      <c r="AI94" s="41">
        <v>0</v>
      </c>
      <c r="AJ94" s="41">
        <v>0</v>
      </c>
      <c r="AK94" s="41">
        <v>0</v>
      </c>
      <c r="AL94" s="41">
        <v>0</v>
      </c>
      <c r="AM94" s="41"/>
      <c r="AN94" s="41">
        <v>307057</v>
      </c>
      <c r="AO94" s="41">
        <v>307057</v>
      </c>
      <c r="AP94" s="40"/>
      <c r="AQ94" s="36">
        <v>45078</v>
      </c>
      <c r="AR94" s="36"/>
      <c r="AS94" s="36"/>
      <c r="AT94" s="36">
        <v>45092</v>
      </c>
      <c r="AU94" s="36"/>
      <c r="AV94" s="38"/>
      <c r="AW94" s="40" t="s">
        <v>87</v>
      </c>
    </row>
    <row r="95" spans="1:49" ht="78" x14ac:dyDescent="0.3">
      <c r="A95" s="35" t="s">
        <v>2326</v>
      </c>
      <c r="B95" s="36">
        <v>44966</v>
      </c>
      <c r="C95" s="37" t="s">
        <v>162</v>
      </c>
      <c r="D95" s="39" t="s">
        <v>459</v>
      </c>
      <c r="E95" s="1" t="s">
        <v>2327</v>
      </c>
      <c r="F95" s="36" t="s">
        <v>459</v>
      </c>
      <c r="G95" s="37" t="s">
        <v>459</v>
      </c>
      <c r="H95" s="40" t="s">
        <v>459</v>
      </c>
      <c r="I95" s="40" t="s">
        <v>2328</v>
      </c>
      <c r="J95" s="41">
        <v>980891599.89999998</v>
      </c>
      <c r="K95" s="41">
        <v>0</v>
      </c>
      <c r="L95" s="30">
        <v>0</v>
      </c>
      <c r="M95" s="30">
        <v>0</v>
      </c>
      <c r="N95" s="40"/>
      <c r="O95" s="40"/>
      <c r="P95" s="40"/>
      <c r="Q95" s="44"/>
      <c r="R95" s="37"/>
      <c r="S95" s="37"/>
      <c r="T95" s="48"/>
      <c r="U95" s="30" t="e">
        <v>#DIV/0!</v>
      </c>
      <c r="V95" s="41" t="e">
        <v>#DIV/0!</v>
      </c>
      <c r="W95" s="41">
        <v>0</v>
      </c>
      <c r="X95" s="41">
        <v>0</v>
      </c>
      <c r="Y95" s="41">
        <v>0</v>
      </c>
      <c r="Z95" s="41">
        <v>0</v>
      </c>
      <c r="AA95" s="41">
        <v>0</v>
      </c>
      <c r="AB95" s="41">
        <v>0</v>
      </c>
      <c r="AC95" s="41">
        <v>0</v>
      </c>
      <c r="AD95" s="41">
        <v>0</v>
      </c>
      <c r="AE95" s="41">
        <v>0</v>
      </c>
      <c r="AF95" s="41">
        <v>0</v>
      </c>
      <c r="AG95" s="41">
        <v>0</v>
      </c>
      <c r="AH95" s="41">
        <v>0</v>
      </c>
      <c r="AI95" s="41">
        <v>0</v>
      </c>
      <c r="AJ95" s="41">
        <v>0</v>
      </c>
      <c r="AK95" s="41">
        <v>0</v>
      </c>
      <c r="AL95" s="41">
        <v>0</v>
      </c>
      <c r="AM95" s="41"/>
      <c r="AN95" s="41" t="e">
        <v>#DIV/0!</v>
      </c>
      <c r="AO95" s="41" t="e">
        <v>#DIV/0!</v>
      </c>
      <c r="AP95" s="40"/>
      <c r="AQ95" s="36"/>
      <c r="AR95" s="36"/>
      <c r="AS95" s="36"/>
      <c r="AT95" s="36"/>
      <c r="AU95" s="36"/>
      <c r="AV95" s="38"/>
      <c r="AW95" s="40"/>
    </row>
    <row r="96" spans="1:49" ht="105" customHeight="1" x14ac:dyDescent="0.3">
      <c r="A96" s="35" t="s">
        <v>2329</v>
      </c>
      <c r="B96" s="36">
        <v>44966</v>
      </c>
      <c r="C96" s="37" t="s">
        <v>162</v>
      </c>
      <c r="D96" s="39" t="s">
        <v>2330</v>
      </c>
      <c r="E96" s="1" t="s">
        <v>2331</v>
      </c>
      <c r="F96" s="36">
        <v>44999</v>
      </c>
      <c r="G96" s="37" t="s">
        <v>2332</v>
      </c>
      <c r="H96" s="40" t="s">
        <v>186</v>
      </c>
      <c r="I96" s="40" t="s">
        <v>2333</v>
      </c>
      <c r="J96" s="41">
        <v>799157569.5</v>
      </c>
      <c r="K96" s="41">
        <v>799157569.5</v>
      </c>
      <c r="L96" s="30">
        <v>801839517.45000005</v>
      </c>
      <c r="M96" s="30">
        <v>801839517.45000005</v>
      </c>
      <c r="N96" s="40" t="s">
        <v>2334</v>
      </c>
      <c r="O96" s="40" t="s">
        <v>2335</v>
      </c>
      <c r="P96" s="40" t="s">
        <v>199</v>
      </c>
      <c r="Q96" s="44">
        <v>0</v>
      </c>
      <c r="R96" s="37">
        <v>100</v>
      </c>
      <c r="S96" s="37" t="s">
        <v>200</v>
      </c>
      <c r="T96" s="48">
        <v>30</v>
      </c>
      <c r="U96" s="30">
        <v>524.33000000000004</v>
      </c>
      <c r="V96" s="41">
        <v>15729.900000000001</v>
      </c>
      <c r="W96" s="41">
        <v>1529265</v>
      </c>
      <c r="X96" s="41">
        <v>1529265</v>
      </c>
      <c r="Y96" s="41">
        <v>0</v>
      </c>
      <c r="Z96" s="41">
        <v>0</v>
      </c>
      <c r="AA96" s="41">
        <v>0</v>
      </c>
      <c r="AB96" s="41">
        <v>0</v>
      </c>
      <c r="AC96" s="41">
        <v>0</v>
      </c>
      <c r="AD96" s="41">
        <v>0</v>
      </c>
      <c r="AE96" s="41">
        <v>0</v>
      </c>
      <c r="AF96" s="41">
        <v>0</v>
      </c>
      <c r="AG96" s="41">
        <v>0</v>
      </c>
      <c r="AH96" s="41">
        <v>0</v>
      </c>
      <c r="AI96" s="41">
        <v>0</v>
      </c>
      <c r="AJ96" s="41">
        <v>0</v>
      </c>
      <c r="AK96" s="41">
        <v>0</v>
      </c>
      <c r="AL96" s="41">
        <v>0</v>
      </c>
      <c r="AM96" s="41"/>
      <c r="AN96" s="41">
        <v>50975.5</v>
      </c>
      <c r="AO96" s="41">
        <v>50976</v>
      </c>
      <c r="AP96" s="40"/>
      <c r="AQ96" s="36">
        <v>45107</v>
      </c>
      <c r="AR96" s="36"/>
      <c r="AS96" s="36"/>
      <c r="AT96" s="36">
        <v>45122</v>
      </c>
      <c r="AU96" s="36"/>
      <c r="AV96" s="38"/>
      <c r="AW96" s="40" t="s">
        <v>49</v>
      </c>
    </row>
    <row r="97" spans="1:49" ht="90.75" customHeight="1" x14ac:dyDescent="0.3">
      <c r="A97" s="35" t="s">
        <v>2441</v>
      </c>
      <c r="B97" s="38">
        <v>44977</v>
      </c>
      <c r="C97" s="40" t="s">
        <v>162</v>
      </c>
      <c r="D97" s="39" t="s">
        <v>2442</v>
      </c>
      <c r="E97" s="1" t="s">
        <v>2443</v>
      </c>
      <c r="F97" s="36">
        <v>45005</v>
      </c>
      <c r="G97" s="37" t="s">
        <v>2444</v>
      </c>
      <c r="H97" s="40" t="s">
        <v>555</v>
      </c>
      <c r="I97" s="40" t="s">
        <v>2445</v>
      </c>
      <c r="J97" s="57">
        <v>1863892.8</v>
      </c>
      <c r="K97" s="41">
        <v>1853913.6</v>
      </c>
      <c r="L97" s="30">
        <v>1853913.6</v>
      </c>
      <c r="M97" s="30">
        <v>1853913.6</v>
      </c>
      <c r="N97" s="40" t="s">
        <v>909</v>
      </c>
      <c r="O97" s="40" t="s">
        <v>2446</v>
      </c>
      <c r="P97" s="40" t="s">
        <v>218</v>
      </c>
      <c r="Q97" s="44">
        <v>0</v>
      </c>
      <c r="R97" s="37">
        <v>100</v>
      </c>
      <c r="S97" s="37" t="s">
        <v>1964</v>
      </c>
      <c r="T97" s="48">
        <v>60</v>
      </c>
      <c r="U97" s="30">
        <v>183.92000000000002</v>
      </c>
      <c r="V97" s="41">
        <v>11035.2</v>
      </c>
      <c r="W97" s="41">
        <v>10080</v>
      </c>
      <c r="X97" s="41">
        <v>10080</v>
      </c>
      <c r="Y97" s="41">
        <v>0</v>
      </c>
      <c r="Z97" s="41">
        <v>0</v>
      </c>
      <c r="AA97" s="41">
        <v>0</v>
      </c>
      <c r="AB97" s="41">
        <v>0</v>
      </c>
      <c r="AC97" s="41">
        <v>0</v>
      </c>
      <c r="AD97" s="41">
        <v>0</v>
      </c>
      <c r="AE97" s="41">
        <v>0</v>
      </c>
      <c r="AF97" s="41">
        <v>0</v>
      </c>
      <c r="AG97" s="41">
        <v>0</v>
      </c>
      <c r="AH97" s="41">
        <v>0</v>
      </c>
      <c r="AI97" s="41">
        <v>0</v>
      </c>
      <c r="AJ97" s="41">
        <v>0</v>
      </c>
      <c r="AK97" s="41">
        <v>0</v>
      </c>
      <c r="AL97" s="41">
        <v>0</v>
      </c>
      <c r="AM97" s="41"/>
      <c r="AN97" s="41">
        <v>168</v>
      </c>
      <c r="AO97" s="41">
        <v>168</v>
      </c>
      <c r="AP97" s="40"/>
      <c r="AQ97" s="36">
        <v>45078</v>
      </c>
      <c r="AR97" s="36"/>
      <c r="AS97" s="36"/>
      <c r="AT97" s="36">
        <v>45092</v>
      </c>
      <c r="AU97" s="36"/>
      <c r="AV97" s="38"/>
      <c r="AW97" s="40" t="s">
        <v>49</v>
      </c>
    </row>
    <row r="98" spans="1:49" ht="90.75" customHeight="1" x14ac:dyDescent="0.3">
      <c r="A98" s="35" t="s">
        <v>2447</v>
      </c>
      <c r="B98" s="38">
        <v>44977</v>
      </c>
      <c r="C98" s="40" t="s">
        <v>162</v>
      </c>
      <c r="D98" s="39" t="s">
        <v>2448</v>
      </c>
      <c r="E98" s="1" t="s">
        <v>2449</v>
      </c>
      <c r="F98" s="36">
        <v>45002</v>
      </c>
      <c r="G98" s="37" t="s">
        <v>2450</v>
      </c>
      <c r="H98" s="40" t="s">
        <v>555</v>
      </c>
      <c r="I98" s="40" t="s">
        <v>2451</v>
      </c>
      <c r="J98" s="57">
        <v>725868</v>
      </c>
      <c r="K98" s="41">
        <v>725868</v>
      </c>
      <c r="L98" s="30">
        <v>725868</v>
      </c>
      <c r="M98" s="30">
        <v>725868</v>
      </c>
      <c r="N98" s="40" t="s">
        <v>909</v>
      </c>
      <c r="O98" s="40" t="s">
        <v>2452</v>
      </c>
      <c r="P98" s="40" t="s">
        <v>218</v>
      </c>
      <c r="Q98" s="44">
        <v>0</v>
      </c>
      <c r="R98" s="37">
        <v>100</v>
      </c>
      <c r="S98" s="37" t="s">
        <v>1964</v>
      </c>
      <c r="T98" s="48">
        <v>60</v>
      </c>
      <c r="U98" s="30">
        <v>336.05</v>
      </c>
      <c r="V98" s="41">
        <v>20163</v>
      </c>
      <c r="W98" s="41">
        <v>2160</v>
      </c>
      <c r="X98" s="41">
        <v>2160</v>
      </c>
      <c r="Y98" s="41">
        <v>0</v>
      </c>
      <c r="Z98" s="41">
        <v>0</v>
      </c>
      <c r="AA98" s="41">
        <v>0</v>
      </c>
      <c r="AB98" s="41">
        <v>0</v>
      </c>
      <c r="AC98" s="41">
        <v>0</v>
      </c>
      <c r="AD98" s="41">
        <v>0</v>
      </c>
      <c r="AE98" s="41">
        <v>0</v>
      </c>
      <c r="AF98" s="41">
        <v>0</v>
      </c>
      <c r="AG98" s="41">
        <v>0</v>
      </c>
      <c r="AH98" s="41">
        <v>0</v>
      </c>
      <c r="AI98" s="41">
        <v>0</v>
      </c>
      <c r="AJ98" s="41">
        <v>0</v>
      </c>
      <c r="AK98" s="41">
        <v>0</v>
      </c>
      <c r="AL98" s="41">
        <v>0</v>
      </c>
      <c r="AM98" s="41"/>
      <c r="AN98" s="41">
        <v>36</v>
      </c>
      <c r="AO98" s="41">
        <v>36</v>
      </c>
      <c r="AP98" s="40"/>
      <c r="AQ98" s="36">
        <v>45061</v>
      </c>
      <c r="AR98" s="36"/>
      <c r="AS98" s="36"/>
      <c r="AT98" s="36">
        <v>45076</v>
      </c>
      <c r="AU98" s="36"/>
      <c r="AV98" s="38"/>
      <c r="AW98" s="40" t="s">
        <v>49</v>
      </c>
    </row>
    <row r="99" spans="1:49" ht="90.75" customHeight="1" x14ac:dyDescent="0.3">
      <c r="A99" s="35" t="s">
        <v>2486</v>
      </c>
      <c r="B99" s="38">
        <v>44978</v>
      </c>
      <c r="C99" s="40" t="s">
        <v>162</v>
      </c>
      <c r="D99" s="39" t="s">
        <v>2487</v>
      </c>
      <c r="E99" s="1" t="s">
        <v>2488</v>
      </c>
      <c r="F99" s="36">
        <v>45005</v>
      </c>
      <c r="G99" s="37" t="s">
        <v>2489</v>
      </c>
      <c r="H99" s="40" t="s">
        <v>186</v>
      </c>
      <c r="I99" s="40" t="s">
        <v>2122</v>
      </c>
      <c r="J99" s="57">
        <v>25312996.800000001</v>
      </c>
      <c r="K99" s="41">
        <v>25312996.800000001</v>
      </c>
      <c r="L99" s="30">
        <v>25312996.800000001</v>
      </c>
      <c r="M99" s="30">
        <v>25312996.800000001</v>
      </c>
      <c r="N99" s="40" t="s">
        <v>1121</v>
      </c>
      <c r="O99" s="40" t="s">
        <v>2490</v>
      </c>
      <c r="P99" s="40" t="s">
        <v>190</v>
      </c>
      <c r="Q99" s="44">
        <v>0</v>
      </c>
      <c r="R99" s="37">
        <v>100</v>
      </c>
      <c r="S99" s="37" t="s">
        <v>1964</v>
      </c>
      <c r="T99" s="48">
        <v>120</v>
      </c>
      <c r="U99" s="30">
        <v>160.29</v>
      </c>
      <c r="V99" s="41">
        <v>19234.8</v>
      </c>
      <c r="W99" s="41">
        <v>157920</v>
      </c>
      <c r="X99" s="41">
        <v>157920</v>
      </c>
      <c r="Y99" s="41">
        <v>0</v>
      </c>
      <c r="Z99" s="41">
        <v>0</v>
      </c>
      <c r="AA99" s="41">
        <v>0</v>
      </c>
      <c r="AB99" s="41">
        <v>0</v>
      </c>
      <c r="AC99" s="41">
        <v>0</v>
      </c>
      <c r="AD99" s="41">
        <v>0</v>
      </c>
      <c r="AE99" s="41">
        <v>0</v>
      </c>
      <c r="AF99" s="41">
        <v>0</v>
      </c>
      <c r="AG99" s="41">
        <v>0</v>
      </c>
      <c r="AH99" s="41">
        <v>0</v>
      </c>
      <c r="AI99" s="41">
        <v>0</v>
      </c>
      <c r="AJ99" s="41">
        <v>0</v>
      </c>
      <c r="AK99" s="41">
        <v>0</v>
      </c>
      <c r="AL99" s="41">
        <v>0</v>
      </c>
      <c r="AM99" s="41"/>
      <c r="AN99" s="41">
        <v>1316</v>
      </c>
      <c r="AO99" s="41">
        <v>1316</v>
      </c>
      <c r="AP99" s="40"/>
      <c r="AQ99" s="36">
        <v>45066</v>
      </c>
      <c r="AR99" s="36"/>
      <c r="AS99" s="36"/>
      <c r="AT99" s="36">
        <v>45082</v>
      </c>
      <c r="AU99" s="36"/>
      <c r="AV99" s="38"/>
      <c r="AW99" s="40" t="s">
        <v>87</v>
      </c>
    </row>
    <row r="100" spans="1:49" ht="90.75" customHeight="1" x14ac:dyDescent="0.3">
      <c r="A100" s="83" t="s">
        <v>2494</v>
      </c>
      <c r="B100" s="84">
        <v>44984</v>
      </c>
      <c r="C100" s="85" t="s">
        <v>162</v>
      </c>
      <c r="D100" s="39" t="s">
        <v>459</v>
      </c>
      <c r="E100" s="1" t="s">
        <v>2495</v>
      </c>
      <c r="F100" s="36" t="s">
        <v>459</v>
      </c>
      <c r="G100" s="37" t="s">
        <v>459</v>
      </c>
      <c r="H100" s="40" t="s">
        <v>459</v>
      </c>
      <c r="I100" s="85" t="s">
        <v>2496</v>
      </c>
      <c r="J100" s="86">
        <v>164923188.08000001</v>
      </c>
      <c r="K100" s="41">
        <v>0</v>
      </c>
      <c r="L100" s="30">
        <v>0</v>
      </c>
      <c r="M100" s="30">
        <v>0</v>
      </c>
      <c r="N100" s="40"/>
      <c r="O100" s="40"/>
      <c r="P100" s="40"/>
      <c r="Q100" s="44"/>
      <c r="R100" s="37"/>
      <c r="S100" s="37"/>
      <c r="T100" s="48"/>
      <c r="U100" s="30" t="e">
        <v>#DIV/0!</v>
      </c>
      <c r="V100" s="41" t="e">
        <v>#DIV/0!</v>
      </c>
      <c r="W100" s="41">
        <v>0</v>
      </c>
      <c r="X100" s="41">
        <v>0</v>
      </c>
      <c r="Y100" s="41">
        <v>0</v>
      </c>
      <c r="Z100" s="41">
        <v>0</v>
      </c>
      <c r="AA100" s="41">
        <v>0</v>
      </c>
      <c r="AB100" s="41">
        <v>0</v>
      </c>
      <c r="AC100" s="41">
        <v>0</v>
      </c>
      <c r="AD100" s="41">
        <v>0</v>
      </c>
      <c r="AE100" s="41">
        <v>0</v>
      </c>
      <c r="AF100" s="41">
        <v>0</v>
      </c>
      <c r="AG100" s="41">
        <v>0</v>
      </c>
      <c r="AH100" s="41">
        <v>0</v>
      </c>
      <c r="AI100" s="41">
        <v>0</v>
      </c>
      <c r="AJ100" s="41">
        <v>0</v>
      </c>
      <c r="AK100" s="41">
        <v>0</v>
      </c>
      <c r="AL100" s="41">
        <v>0</v>
      </c>
      <c r="AM100" s="41"/>
      <c r="AN100" s="41" t="e">
        <v>#DIV/0!</v>
      </c>
      <c r="AO100" s="41" t="e">
        <v>#DIV/0!</v>
      </c>
      <c r="AP100" s="40"/>
      <c r="AQ100" s="36"/>
      <c r="AR100" s="36"/>
      <c r="AS100" s="36"/>
      <c r="AT100" s="36"/>
      <c r="AU100" s="36"/>
      <c r="AV100" s="38"/>
      <c r="AW100" s="40"/>
    </row>
    <row r="101" spans="1:49" ht="88.5" customHeight="1" x14ac:dyDescent="0.3">
      <c r="A101" s="35" t="s">
        <v>2536</v>
      </c>
      <c r="B101" s="38">
        <v>44985</v>
      </c>
      <c r="C101" s="40" t="s">
        <v>162</v>
      </c>
      <c r="D101" s="39" t="s">
        <v>2537</v>
      </c>
      <c r="E101" s="1" t="s">
        <v>2538</v>
      </c>
      <c r="F101" s="36">
        <v>45009</v>
      </c>
      <c r="G101" s="37" t="s">
        <v>2539</v>
      </c>
      <c r="H101" s="40" t="s">
        <v>177</v>
      </c>
      <c r="I101" s="40" t="s">
        <v>1185</v>
      </c>
      <c r="J101" s="57">
        <v>27672354.5</v>
      </c>
      <c r="K101" s="41">
        <v>27672354.5</v>
      </c>
      <c r="L101" s="30">
        <v>28375157</v>
      </c>
      <c r="M101" s="30">
        <v>28375157</v>
      </c>
      <c r="N101" s="40" t="s">
        <v>2540</v>
      </c>
      <c r="O101" s="40" t="s">
        <v>2541</v>
      </c>
      <c r="P101" s="40" t="s">
        <v>218</v>
      </c>
      <c r="Q101" s="44">
        <v>0</v>
      </c>
      <c r="R101" s="37">
        <v>100</v>
      </c>
      <c r="S101" s="37" t="s">
        <v>1964</v>
      </c>
      <c r="T101" s="48">
        <v>60</v>
      </c>
      <c r="U101" s="30">
        <v>56.45</v>
      </c>
      <c r="V101" s="41">
        <v>3387</v>
      </c>
      <c r="W101" s="41">
        <v>502660</v>
      </c>
      <c r="X101" s="41">
        <v>468615</v>
      </c>
      <c r="Y101" s="41">
        <v>0</v>
      </c>
      <c r="Z101" s="41">
        <v>0</v>
      </c>
      <c r="AA101" s="41">
        <v>0</v>
      </c>
      <c r="AB101" s="41">
        <v>0</v>
      </c>
      <c r="AC101" s="41">
        <v>34045</v>
      </c>
      <c r="AD101" s="41">
        <v>0</v>
      </c>
      <c r="AE101" s="41">
        <v>0</v>
      </c>
      <c r="AF101" s="41">
        <v>0</v>
      </c>
      <c r="AG101" s="41">
        <v>0</v>
      </c>
      <c r="AH101" s="41">
        <v>0</v>
      </c>
      <c r="AI101" s="41">
        <v>0</v>
      </c>
      <c r="AJ101" s="41">
        <v>0</v>
      </c>
      <c r="AK101" s="41">
        <v>0</v>
      </c>
      <c r="AL101" s="41">
        <v>0</v>
      </c>
      <c r="AM101" s="41"/>
      <c r="AN101" s="41">
        <v>8377.6666666666661</v>
      </c>
      <c r="AO101" s="41">
        <v>8378</v>
      </c>
      <c r="AP101" s="40"/>
      <c r="AQ101" s="36">
        <v>45139</v>
      </c>
      <c r="AR101" s="36">
        <v>45199</v>
      </c>
      <c r="AS101" s="36"/>
      <c r="AT101" s="36">
        <v>45153</v>
      </c>
      <c r="AU101" s="36">
        <v>45214</v>
      </c>
      <c r="AV101" s="38"/>
      <c r="AW101" s="40" t="s">
        <v>75</v>
      </c>
    </row>
    <row r="102" spans="1:49" s="34" customFormat="1" ht="88.5" customHeight="1" x14ac:dyDescent="0.3">
      <c r="A102" s="35" t="s">
        <v>2597</v>
      </c>
      <c r="B102" s="38">
        <v>44994</v>
      </c>
      <c r="C102" s="40" t="s">
        <v>162</v>
      </c>
      <c r="D102" s="39" t="s">
        <v>2598</v>
      </c>
      <c r="E102" s="1" t="s">
        <v>2599</v>
      </c>
      <c r="F102" s="36">
        <v>45014</v>
      </c>
      <c r="G102" s="37" t="s">
        <v>2600</v>
      </c>
      <c r="H102" s="40" t="s">
        <v>186</v>
      </c>
      <c r="I102" s="40" t="s">
        <v>2601</v>
      </c>
      <c r="J102" s="57">
        <v>182843105.40000001</v>
      </c>
      <c r="K102" s="41">
        <v>182843105.40000001</v>
      </c>
      <c r="L102" s="30">
        <v>182843105.40000001</v>
      </c>
      <c r="M102" s="30">
        <v>182843105.40000001</v>
      </c>
      <c r="N102" s="40" t="s">
        <v>2602</v>
      </c>
      <c r="O102" s="40" t="s">
        <v>2603</v>
      </c>
      <c r="P102" s="40" t="s">
        <v>47</v>
      </c>
      <c r="Q102" s="44">
        <v>100</v>
      </c>
      <c r="R102" s="37">
        <v>0</v>
      </c>
      <c r="S102" s="37" t="s">
        <v>1964</v>
      </c>
      <c r="T102" s="48">
        <v>30</v>
      </c>
      <c r="U102" s="30">
        <v>201.66</v>
      </c>
      <c r="V102" s="41">
        <v>6049.8</v>
      </c>
      <c r="W102" s="41">
        <v>906690</v>
      </c>
      <c r="X102" s="41">
        <v>208230</v>
      </c>
      <c r="Y102" s="41">
        <v>0</v>
      </c>
      <c r="Z102" s="41">
        <v>0</v>
      </c>
      <c r="AA102" s="41">
        <v>0</v>
      </c>
      <c r="AB102" s="41">
        <v>0</v>
      </c>
      <c r="AC102" s="41">
        <v>698460</v>
      </c>
      <c r="AD102" s="41">
        <v>0</v>
      </c>
      <c r="AE102" s="41">
        <v>0</v>
      </c>
      <c r="AF102" s="41">
        <v>0</v>
      </c>
      <c r="AG102" s="41">
        <v>0</v>
      </c>
      <c r="AH102" s="41">
        <v>0</v>
      </c>
      <c r="AI102" s="41">
        <v>0</v>
      </c>
      <c r="AJ102" s="41">
        <v>0</v>
      </c>
      <c r="AK102" s="41">
        <v>0</v>
      </c>
      <c r="AL102" s="41">
        <v>0</v>
      </c>
      <c r="AM102" s="41"/>
      <c r="AN102" s="41">
        <v>30223</v>
      </c>
      <c r="AO102" s="41">
        <v>30223</v>
      </c>
      <c r="AP102" s="40"/>
      <c r="AQ102" s="36">
        <v>45107</v>
      </c>
      <c r="AR102" s="36">
        <v>45169</v>
      </c>
      <c r="AS102" s="36"/>
      <c r="AT102" s="36">
        <v>45122</v>
      </c>
      <c r="AU102" s="36">
        <v>45184</v>
      </c>
      <c r="AV102" s="38"/>
      <c r="AW102" s="40" t="s">
        <v>49</v>
      </c>
    </row>
    <row r="103" spans="1:49" s="34" customFormat="1" ht="88.5" customHeight="1" x14ac:dyDescent="0.3">
      <c r="A103" s="35" t="s">
        <v>2609</v>
      </c>
      <c r="B103" s="38">
        <v>44999</v>
      </c>
      <c r="C103" s="40" t="s">
        <v>162</v>
      </c>
      <c r="D103" s="39" t="s">
        <v>2610</v>
      </c>
      <c r="E103" s="1" t="s">
        <v>2611</v>
      </c>
      <c r="F103" s="36">
        <v>45035</v>
      </c>
      <c r="G103" s="37" t="s">
        <v>2612</v>
      </c>
      <c r="H103" s="40" t="s">
        <v>186</v>
      </c>
      <c r="I103" s="40" t="s">
        <v>2613</v>
      </c>
      <c r="J103" s="57">
        <v>1187236748.6900001</v>
      </c>
      <c r="K103" s="41">
        <v>1187236748.6900001</v>
      </c>
      <c r="L103" s="30">
        <v>1187236748.6900001</v>
      </c>
      <c r="M103" s="30">
        <v>1187236748.6900001</v>
      </c>
      <c r="N103" s="40" t="s">
        <v>2614</v>
      </c>
      <c r="O103" s="40" t="s">
        <v>2615</v>
      </c>
      <c r="P103" s="40" t="s">
        <v>199</v>
      </c>
      <c r="Q103" s="44">
        <v>0</v>
      </c>
      <c r="R103" s="37">
        <v>100</v>
      </c>
      <c r="S103" s="37" t="s">
        <v>1964</v>
      </c>
      <c r="T103" s="48">
        <v>30</v>
      </c>
      <c r="U103" s="30">
        <v>524.33000000000004</v>
      </c>
      <c r="V103" s="41">
        <v>15729.900000000001</v>
      </c>
      <c r="W103" s="41">
        <v>2264293</v>
      </c>
      <c r="X103" s="41">
        <v>2264293</v>
      </c>
      <c r="Y103" s="41">
        <v>0</v>
      </c>
      <c r="Z103" s="41">
        <v>0</v>
      </c>
      <c r="AA103" s="41">
        <v>0</v>
      </c>
      <c r="AB103" s="41">
        <v>0</v>
      </c>
      <c r="AC103" s="41">
        <v>0</v>
      </c>
      <c r="AD103" s="41">
        <v>0</v>
      </c>
      <c r="AE103" s="41">
        <v>0</v>
      </c>
      <c r="AF103" s="41">
        <v>0</v>
      </c>
      <c r="AG103" s="41">
        <v>0</v>
      </c>
      <c r="AH103" s="41">
        <v>0</v>
      </c>
      <c r="AI103" s="41">
        <v>0</v>
      </c>
      <c r="AJ103" s="41">
        <v>0</v>
      </c>
      <c r="AK103" s="41">
        <v>0</v>
      </c>
      <c r="AL103" s="41">
        <v>0</v>
      </c>
      <c r="AM103" s="41"/>
      <c r="AN103" s="41">
        <v>75476.433333333334</v>
      </c>
      <c r="AO103" s="41">
        <v>75477</v>
      </c>
      <c r="AP103" s="40"/>
      <c r="AQ103" s="36">
        <v>45108</v>
      </c>
      <c r="AR103" s="36"/>
      <c r="AS103" s="36"/>
      <c r="AT103" s="36">
        <v>45122</v>
      </c>
      <c r="AU103" s="36"/>
      <c r="AV103" s="38"/>
      <c r="AW103" s="40" t="s">
        <v>87</v>
      </c>
    </row>
    <row r="104" spans="1:49" s="34" customFormat="1" ht="88.5" customHeight="1" x14ac:dyDescent="0.3">
      <c r="A104" s="35" t="s">
        <v>2616</v>
      </c>
      <c r="B104" s="38">
        <v>45002</v>
      </c>
      <c r="C104" s="40" t="s">
        <v>162</v>
      </c>
      <c r="D104" s="39" t="s">
        <v>2617</v>
      </c>
      <c r="E104" s="1" t="s">
        <v>2618</v>
      </c>
      <c r="F104" s="36">
        <v>45023</v>
      </c>
      <c r="G104" s="37" t="s">
        <v>2619</v>
      </c>
      <c r="H104" s="40" t="s">
        <v>555</v>
      </c>
      <c r="I104" s="40" t="s">
        <v>1250</v>
      </c>
      <c r="J104" s="57">
        <v>11424842</v>
      </c>
      <c r="K104" s="41">
        <v>11424842</v>
      </c>
      <c r="L104" s="30">
        <v>11312246</v>
      </c>
      <c r="M104" s="30">
        <v>11312246</v>
      </c>
      <c r="N104" s="40" t="s">
        <v>2620</v>
      </c>
      <c r="O104" s="40" t="s">
        <v>2621</v>
      </c>
      <c r="P104" s="40" t="s">
        <v>2622</v>
      </c>
      <c r="Q104" s="44">
        <v>0</v>
      </c>
      <c r="R104" s="37">
        <v>100</v>
      </c>
      <c r="S104" s="37" t="s">
        <v>219</v>
      </c>
      <c r="T104" s="48">
        <v>100</v>
      </c>
      <c r="U104" s="30">
        <v>18.37</v>
      </c>
      <c r="V104" s="41">
        <v>1837</v>
      </c>
      <c r="W104" s="41">
        <v>615800</v>
      </c>
      <c r="X104" s="41">
        <v>615800</v>
      </c>
      <c r="Y104" s="41">
        <v>0</v>
      </c>
      <c r="Z104" s="41">
        <v>0</v>
      </c>
      <c r="AA104" s="41">
        <v>0</v>
      </c>
      <c r="AB104" s="41">
        <v>0</v>
      </c>
      <c r="AC104" s="41">
        <v>0</v>
      </c>
      <c r="AD104" s="41">
        <v>0</v>
      </c>
      <c r="AE104" s="41">
        <v>0</v>
      </c>
      <c r="AF104" s="41">
        <v>0</v>
      </c>
      <c r="AG104" s="41">
        <v>0</v>
      </c>
      <c r="AH104" s="41">
        <v>0</v>
      </c>
      <c r="AI104" s="41">
        <v>0</v>
      </c>
      <c r="AJ104" s="41">
        <v>0</v>
      </c>
      <c r="AK104" s="41">
        <v>0</v>
      </c>
      <c r="AL104" s="41">
        <v>0</v>
      </c>
      <c r="AM104" s="41"/>
      <c r="AN104" s="41">
        <v>6158</v>
      </c>
      <c r="AO104" s="41">
        <v>6158</v>
      </c>
      <c r="AP104" s="40"/>
      <c r="AQ104" s="36">
        <v>45078</v>
      </c>
      <c r="AR104" s="36"/>
      <c r="AS104" s="36"/>
      <c r="AT104" s="36">
        <v>45092</v>
      </c>
      <c r="AU104" s="36"/>
      <c r="AV104" s="38"/>
      <c r="AW104" s="40" t="s">
        <v>49</v>
      </c>
    </row>
    <row r="105" spans="1:49" s="34" customFormat="1" ht="88.5" customHeight="1" x14ac:dyDescent="0.3">
      <c r="A105" s="35" t="s">
        <v>2643</v>
      </c>
      <c r="B105" s="38">
        <v>45002</v>
      </c>
      <c r="C105" s="40" t="s">
        <v>162</v>
      </c>
      <c r="D105" s="39" t="s">
        <v>2644</v>
      </c>
      <c r="E105" s="1" t="s">
        <v>2645</v>
      </c>
      <c r="F105" s="36">
        <v>45030</v>
      </c>
      <c r="G105" s="35" t="s">
        <v>2646</v>
      </c>
      <c r="H105" s="40" t="s">
        <v>177</v>
      </c>
      <c r="I105" s="40" t="s">
        <v>2328</v>
      </c>
      <c r="J105" s="57">
        <v>546770400</v>
      </c>
      <c r="K105" s="41">
        <v>546770400</v>
      </c>
      <c r="L105" s="30">
        <v>546770400</v>
      </c>
      <c r="M105" s="30">
        <v>546770400</v>
      </c>
      <c r="N105" s="40" t="s">
        <v>2647</v>
      </c>
      <c r="O105" s="40" t="s">
        <v>2648</v>
      </c>
      <c r="P105" s="40" t="s">
        <v>199</v>
      </c>
      <c r="Q105" s="44">
        <v>0</v>
      </c>
      <c r="R105" s="37">
        <v>100</v>
      </c>
      <c r="S105" s="37" t="s">
        <v>1964</v>
      </c>
      <c r="T105" s="48">
        <v>30</v>
      </c>
      <c r="U105" s="30">
        <v>414.22</v>
      </c>
      <c r="V105" s="41">
        <v>12426.6</v>
      </c>
      <c r="W105" s="41">
        <v>1320000</v>
      </c>
      <c r="X105" s="41">
        <v>120000</v>
      </c>
      <c r="Y105" s="41">
        <v>0</v>
      </c>
      <c r="Z105" s="41">
        <v>0</v>
      </c>
      <c r="AA105" s="41">
        <v>0</v>
      </c>
      <c r="AB105" s="41">
        <v>0</v>
      </c>
      <c r="AC105" s="41">
        <v>510000</v>
      </c>
      <c r="AD105" s="41">
        <v>0</v>
      </c>
      <c r="AE105" s="41">
        <v>0</v>
      </c>
      <c r="AF105" s="41">
        <v>0</v>
      </c>
      <c r="AG105" s="41">
        <v>0</v>
      </c>
      <c r="AH105" s="41">
        <v>690000</v>
      </c>
      <c r="AI105" s="41">
        <v>0</v>
      </c>
      <c r="AJ105" s="41">
        <v>0</v>
      </c>
      <c r="AK105" s="41">
        <v>0</v>
      </c>
      <c r="AL105" s="41">
        <v>0</v>
      </c>
      <c r="AM105" s="41"/>
      <c r="AN105" s="41">
        <v>44000</v>
      </c>
      <c r="AO105" s="41">
        <v>44000</v>
      </c>
      <c r="AP105" s="40"/>
      <c r="AQ105" s="36">
        <v>45047</v>
      </c>
      <c r="AR105" s="36">
        <v>45170</v>
      </c>
      <c r="AS105" s="36"/>
      <c r="AT105" s="36">
        <v>45061</v>
      </c>
      <c r="AU105" s="36">
        <v>45184</v>
      </c>
      <c r="AV105" s="38"/>
      <c r="AW105" s="40" t="s">
        <v>75</v>
      </c>
    </row>
    <row r="106" spans="1:49" ht="72" x14ac:dyDescent="0.3">
      <c r="A106" s="35" t="s">
        <v>2663</v>
      </c>
      <c r="B106" s="38">
        <v>45006</v>
      </c>
      <c r="C106" s="40" t="s">
        <v>162</v>
      </c>
      <c r="D106" s="39" t="s">
        <v>459</v>
      </c>
      <c r="E106" s="1" t="s">
        <v>2664</v>
      </c>
      <c r="F106" s="36" t="s">
        <v>459</v>
      </c>
      <c r="G106" s="37" t="s">
        <v>459</v>
      </c>
      <c r="H106" s="40" t="s">
        <v>459</v>
      </c>
      <c r="I106" s="40" t="s">
        <v>2496</v>
      </c>
      <c r="J106" s="57">
        <v>225467294.36000001</v>
      </c>
      <c r="K106" s="41">
        <v>0</v>
      </c>
      <c r="L106" s="30">
        <v>0</v>
      </c>
      <c r="M106" s="30">
        <v>0</v>
      </c>
      <c r="N106" s="40"/>
      <c r="O106" s="40"/>
      <c r="P106" s="40"/>
      <c r="Q106" s="44"/>
      <c r="R106" s="37"/>
      <c r="S106" s="37"/>
      <c r="T106" s="48"/>
      <c r="U106" s="30" t="e">
        <v>#DIV/0!</v>
      </c>
      <c r="V106" s="41" t="e">
        <v>#DIV/0!</v>
      </c>
      <c r="W106" s="41">
        <v>0</v>
      </c>
      <c r="X106" s="41">
        <v>0</v>
      </c>
      <c r="Y106" s="41">
        <v>0</v>
      </c>
      <c r="Z106" s="41">
        <v>0</v>
      </c>
      <c r="AA106" s="41">
        <v>0</v>
      </c>
      <c r="AB106" s="41">
        <v>0</v>
      </c>
      <c r="AC106" s="41">
        <v>0</v>
      </c>
      <c r="AD106" s="41">
        <v>0</v>
      </c>
      <c r="AE106" s="41">
        <v>0</v>
      </c>
      <c r="AF106" s="41">
        <v>0</v>
      </c>
      <c r="AG106" s="41">
        <v>0</v>
      </c>
      <c r="AH106" s="41">
        <v>0</v>
      </c>
      <c r="AI106" s="41">
        <v>0</v>
      </c>
      <c r="AJ106" s="41">
        <v>0</v>
      </c>
      <c r="AK106" s="41">
        <v>0</v>
      </c>
      <c r="AL106" s="41">
        <v>0</v>
      </c>
      <c r="AM106" s="41"/>
      <c r="AN106" s="41" t="e">
        <v>#DIV/0!</v>
      </c>
      <c r="AO106" s="41" t="e">
        <v>#DIV/0!</v>
      </c>
      <c r="AP106" s="40"/>
      <c r="AQ106" s="36">
        <v>45107</v>
      </c>
      <c r="AR106" s="36"/>
      <c r="AS106" s="36"/>
      <c r="AT106" s="36"/>
      <c r="AU106" s="36"/>
      <c r="AV106" s="38"/>
      <c r="AW106" s="40"/>
    </row>
    <row r="107" spans="1:49" s="34" customFormat="1" ht="45" customHeight="1" x14ac:dyDescent="0.3">
      <c r="A107" s="35" t="s">
        <v>2919</v>
      </c>
      <c r="B107" s="36">
        <v>45035</v>
      </c>
      <c r="C107" s="37" t="s">
        <v>162</v>
      </c>
      <c r="D107" s="39" t="s">
        <v>2920</v>
      </c>
      <c r="E107" s="1" t="s">
        <v>2921</v>
      </c>
      <c r="F107" s="36">
        <v>45058</v>
      </c>
      <c r="G107" s="37" t="s">
        <v>2922</v>
      </c>
      <c r="H107" s="40" t="s">
        <v>186</v>
      </c>
      <c r="I107" s="40" t="s">
        <v>2496</v>
      </c>
      <c r="J107" s="41">
        <v>263960434.63999999</v>
      </c>
      <c r="K107" s="41">
        <v>263960434.63999999</v>
      </c>
      <c r="L107" s="30">
        <v>266594536.63999999</v>
      </c>
      <c r="M107" s="30">
        <v>266594536.63999999</v>
      </c>
      <c r="N107" s="40" t="s">
        <v>2923</v>
      </c>
      <c r="O107" s="40" t="s">
        <v>2924</v>
      </c>
      <c r="P107" s="40" t="s">
        <v>199</v>
      </c>
      <c r="Q107" s="44">
        <v>0</v>
      </c>
      <c r="R107" s="37">
        <v>100</v>
      </c>
      <c r="S107" s="37" t="s">
        <v>1964</v>
      </c>
      <c r="T107" s="48">
        <v>28</v>
      </c>
      <c r="U107" s="30">
        <v>2926.7799999999997</v>
      </c>
      <c r="V107" s="41">
        <v>81949.84</v>
      </c>
      <c r="W107" s="41">
        <v>91088</v>
      </c>
      <c r="X107" s="41">
        <v>91088</v>
      </c>
      <c r="Y107" s="41">
        <v>0</v>
      </c>
      <c r="Z107" s="41">
        <v>0</v>
      </c>
      <c r="AA107" s="41">
        <v>0</v>
      </c>
      <c r="AB107" s="41">
        <v>0</v>
      </c>
      <c r="AC107" s="41">
        <v>0</v>
      </c>
      <c r="AD107" s="41">
        <v>0</v>
      </c>
      <c r="AE107" s="41">
        <v>0</v>
      </c>
      <c r="AF107" s="41">
        <v>0</v>
      </c>
      <c r="AG107" s="41">
        <v>0</v>
      </c>
      <c r="AH107" s="41">
        <v>0</v>
      </c>
      <c r="AI107" s="41">
        <v>0</v>
      </c>
      <c r="AJ107" s="41">
        <v>0</v>
      </c>
      <c r="AK107" s="41">
        <v>0</v>
      </c>
      <c r="AL107" s="41">
        <v>0</v>
      </c>
      <c r="AM107" s="41">
        <v>0</v>
      </c>
      <c r="AN107" s="41">
        <v>3253.1428571428573</v>
      </c>
      <c r="AO107" s="41">
        <v>3254</v>
      </c>
      <c r="AP107" s="40"/>
      <c r="AQ107" s="36">
        <v>45107</v>
      </c>
      <c r="AR107" s="36"/>
      <c r="AS107" s="36"/>
      <c r="AT107" s="36">
        <v>45122</v>
      </c>
      <c r="AU107" s="36"/>
      <c r="AV107" s="38"/>
      <c r="AW107" s="40" t="s">
        <v>87</v>
      </c>
    </row>
    <row r="108" spans="1:49" s="34" customFormat="1" ht="64.5" customHeight="1" x14ac:dyDescent="0.3">
      <c r="A108" s="35" t="s">
        <v>3217</v>
      </c>
      <c r="B108" s="38">
        <v>45063</v>
      </c>
      <c r="C108" s="40" t="s">
        <v>162</v>
      </c>
      <c r="D108" s="39" t="s">
        <v>3218</v>
      </c>
      <c r="E108" s="1" t="s">
        <v>3219</v>
      </c>
      <c r="F108" s="36">
        <v>45083</v>
      </c>
      <c r="G108" s="37" t="s">
        <v>3220</v>
      </c>
      <c r="H108" s="40" t="s">
        <v>571</v>
      </c>
      <c r="I108" s="40" t="s">
        <v>3221</v>
      </c>
      <c r="J108" s="57">
        <v>3885</v>
      </c>
      <c r="K108" s="41">
        <v>3885</v>
      </c>
      <c r="L108" s="30">
        <v>3885</v>
      </c>
      <c r="M108" s="30">
        <v>3885</v>
      </c>
      <c r="N108" s="40" t="s">
        <v>2029</v>
      </c>
      <c r="O108" s="40" t="s">
        <v>3222</v>
      </c>
      <c r="P108" s="40" t="s">
        <v>47</v>
      </c>
      <c r="Q108" s="44">
        <v>100</v>
      </c>
      <c r="R108" s="37">
        <v>0</v>
      </c>
      <c r="S108" s="37" t="s">
        <v>1964</v>
      </c>
      <c r="T108" s="48">
        <v>60</v>
      </c>
      <c r="U108" s="30">
        <v>2.59</v>
      </c>
      <c r="V108" s="41">
        <v>155.39999999999998</v>
      </c>
      <c r="W108" s="41">
        <v>1500</v>
      </c>
      <c r="X108" s="41">
        <v>1500</v>
      </c>
      <c r="Y108" s="41">
        <v>0</v>
      </c>
      <c r="Z108" s="41">
        <v>0</v>
      </c>
      <c r="AA108" s="41">
        <v>1500</v>
      </c>
      <c r="AB108" s="41">
        <v>3885</v>
      </c>
      <c r="AC108" s="41">
        <v>0</v>
      </c>
      <c r="AD108" s="41">
        <v>0</v>
      </c>
      <c r="AE108" s="41">
        <v>0</v>
      </c>
      <c r="AF108" s="41">
        <v>0</v>
      </c>
      <c r="AG108" s="41">
        <v>0</v>
      </c>
      <c r="AH108" s="41">
        <v>0</v>
      </c>
      <c r="AI108" s="41">
        <v>0</v>
      </c>
      <c r="AJ108" s="41">
        <v>0</v>
      </c>
      <c r="AK108" s="41">
        <v>0</v>
      </c>
      <c r="AL108" s="41">
        <v>0</v>
      </c>
      <c r="AM108" s="41">
        <v>0</v>
      </c>
      <c r="AN108" s="41">
        <v>25</v>
      </c>
      <c r="AO108" s="41">
        <v>25</v>
      </c>
      <c r="AP108" s="40"/>
      <c r="AQ108" s="36">
        <v>45108</v>
      </c>
      <c r="AR108" s="36"/>
      <c r="AS108" s="36"/>
      <c r="AT108" s="36"/>
      <c r="AU108" s="36"/>
      <c r="AV108" s="38"/>
      <c r="AW108" s="40" t="s">
        <v>87</v>
      </c>
    </row>
    <row r="109" spans="1:49" ht="62.25" customHeight="1" x14ac:dyDescent="0.3">
      <c r="A109" s="35" t="s">
        <v>3256</v>
      </c>
      <c r="B109" s="38">
        <v>45065</v>
      </c>
      <c r="C109" s="40" t="s">
        <v>162</v>
      </c>
      <c r="D109" s="39" t="s">
        <v>3257</v>
      </c>
      <c r="E109" s="1" t="s">
        <v>3258</v>
      </c>
      <c r="F109" s="36">
        <v>45086</v>
      </c>
      <c r="G109" s="37" t="s">
        <v>3259</v>
      </c>
      <c r="H109" s="40" t="s">
        <v>571</v>
      </c>
      <c r="I109" s="87" t="s">
        <v>3260</v>
      </c>
      <c r="J109" s="57">
        <v>1151883.7</v>
      </c>
      <c r="K109" s="41">
        <v>127067.3</v>
      </c>
      <c r="L109" s="30">
        <v>127067.3</v>
      </c>
      <c r="M109" s="30">
        <v>127067.3</v>
      </c>
      <c r="N109" s="40" t="s">
        <v>3261</v>
      </c>
      <c r="O109" s="40" t="s">
        <v>3262</v>
      </c>
      <c r="P109" s="40" t="s">
        <v>47</v>
      </c>
      <c r="Q109" s="44">
        <v>100</v>
      </c>
      <c r="R109" s="37">
        <v>0</v>
      </c>
      <c r="S109" s="37" t="s">
        <v>1964</v>
      </c>
      <c r="T109" s="48">
        <v>30</v>
      </c>
      <c r="U109" s="30">
        <v>3.0700000000000003</v>
      </c>
      <c r="V109" s="41">
        <v>92.100000000000009</v>
      </c>
      <c r="W109" s="41">
        <v>41390</v>
      </c>
      <c r="X109" s="41">
        <v>41390</v>
      </c>
      <c r="Y109" s="41">
        <v>0</v>
      </c>
      <c r="Z109" s="41">
        <v>0</v>
      </c>
      <c r="AA109" s="41">
        <v>0</v>
      </c>
      <c r="AB109" s="41">
        <v>0</v>
      </c>
      <c r="AC109" s="41">
        <v>0</v>
      </c>
      <c r="AD109" s="41">
        <v>0</v>
      </c>
      <c r="AE109" s="41">
        <v>0</v>
      </c>
      <c r="AF109" s="41">
        <v>0</v>
      </c>
      <c r="AG109" s="41">
        <v>0</v>
      </c>
      <c r="AH109" s="41">
        <v>0</v>
      </c>
      <c r="AI109" s="41">
        <v>0</v>
      </c>
      <c r="AJ109" s="41">
        <v>0</v>
      </c>
      <c r="AK109" s="41">
        <v>0</v>
      </c>
      <c r="AL109" s="41">
        <v>0</v>
      </c>
      <c r="AM109" s="41">
        <v>0</v>
      </c>
      <c r="AN109" s="41">
        <v>1379.6666666666667</v>
      </c>
      <c r="AO109" s="41">
        <v>1380</v>
      </c>
      <c r="AP109" s="40"/>
      <c r="AQ109" s="36">
        <v>45122</v>
      </c>
      <c r="AR109" s="36"/>
      <c r="AS109" s="36"/>
      <c r="AT109" s="36">
        <v>45137</v>
      </c>
      <c r="AU109" s="36"/>
      <c r="AV109" s="38"/>
      <c r="AW109" s="40" t="s">
        <v>87</v>
      </c>
    </row>
    <row r="110" spans="1:49" ht="62.25" customHeight="1" x14ac:dyDescent="0.3">
      <c r="A110" s="35" t="s">
        <v>3276</v>
      </c>
      <c r="B110" s="38">
        <v>45068</v>
      </c>
      <c r="C110" s="40" t="s">
        <v>162</v>
      </c>
      <c r="D110" s="39" t="s">
        <v>3277</v>
      </c>
      <c r="E110" s="1" t="s">
        <v>3278</v>
      </c>
      <c r="F110" s="36">
        <v>45090</v>
      </c>
      <c r="G110" s="37" t="s">
        <v>3279</v>
      </c>
      <c r="H110" s="40" t="s">
        <v>571</v>
      </c>
      <c r="I110" s="40" t="s">
        <v>3280</v>
      </c>
      <c r="J110" s="57">
        <v>240026.4</v>
      </c>
      <c r="K110" s="41">
        <v>239644.79999999999</v>
      </c>
      <c r="L110" s="30">
        <v>239644.79999999999</v>
      </c>
      <c r="M110" s="30">
        <v>239644.79999999999</v>
      </c>
      <c r="N110" s="40" t="s">
        <v>1128</v>
      </c>
      <c r="O110" s="40" t="s">
        <v>2154</v>
      </c>
      <c r="P110" s="40" t="s">
        <v>47</v>
      </c>
      <c r="Q110" s="44">
        <v>100</v>
      </c>
      <c r="R110" s="37">
        <v>0</v>
      </c>
      <c r="S110" s="37" t="s">
        <v>1964</v>
      </c>
      <c r="T110" s="48">
        <v>30</v>
      </c>
      <c r="U110" s="30">
        <v>6.2799999999999994</v>
      </c>
      <c r="V110" s="41">
        <v>188.39999999999998</v>
      </c>
      <c r="W110" s="41">
        <v>38160</v>
      </c>
      <c r="X110" s="41">
        <v>38160</v>
      </c>
      <c r="Y110" s="41">
        <v>0</v>
      </c>
      <c r="Z110" s="41">
        <v>0</v>
      </c>
      <c r="AA110" s="41">
        <v>0</v>
      </c>
      <c r="AB110" s="41">
        <v>0</v>
      </c>
      <c r="AC110" s="41">
        <v>0</v>
      </c>
      <c r="AD110" s="41">
        <v>0</v>
      </c>
      <c r="AE110" s="41">
        <v>0</v>
      </c>
      <c r="AF110" s="41">
        <v>0</v>
      </c>
      <c r="AG110" s="41">
        <v>0</v>
      </c>
      <c r="AH110" s="41">
        <v>0</v>
      </c>
      <c r="AI110" s="41">
        <v>0</v>
      </c>
      <c r="AJ110" s="41">
        <v>0</v>
      </c>
      <c r="AK110" s="41">
        <v>0</v>
      </c>
      <c r="AL110" s="41">
        <v>0</v>
      </c>
      <c r="AM110" s="41">
        <v>0</v>
      </c>
      <c r="AN110" s="41">
        <v>1272</v>
      </c>
      <c r="AO110" s="41">
        <v>1272</v>
      </c>
      <c r="AP110" s="40"/>
      <c r="AQ110" s="36">
        <v>45122</v>
      </c>
      <c r="AR110" s="36"/>
      <c r="AS110" s="36"/>
      <c r="AT110" s="36">
        <v>45137</v>
      </c>
      <c r="AU110" s="36"/>
      <c r="AV110" s="38"/>
      <c r="AW110" s="40" t="s">
        <v>87</v>
      </c>
    </row>
    <row r="111" spans="1:49" ht="62.25" customHeight="1" x14ac:dyDescent="0.3">
      <c r="A111" s="35" t="s">
        <v>3291</v>
      </c>
      <c r="B111" s="38">
        <v>45069</v>
      </c>
      <c r="C111" s="40" t="s">
        <v>1245</v>
      </c>
      <c r="D111" s="39" t="s">
        <v>3292</v>
      </c>
      <c r="E111" s="1" t="s">
        <v>3293</v>
      </c>
      <c r="F111" s="36">
        <v>45090</v>
      </c>
      <c r="G111" s="37" t="s">
        <v>3294</v>
      </c>
      <c r="H111" s="40" t="s">
        <v>186</v>
      </c>
      <c r="I111" s="40" t="s">
        <v>3295</v>
      </c>
      <c r="J111" s="57">
        <v>6032947.25</v>
      </c>
      <c r="K111" s="41">
        <v>6032947.25</v>
      </c>
      <c r="L111" s="30">
        <v>6032947.25</v>
      </c>
      <c r="M111" s="30">
        <v>6032947.25</v>
      </c>
      <c r="N111" s="40" t="s">
        <v>1235</v>
      </c>
      <c r="O111" s="40" t="s">
        <v>3296</v>
      </c>
      <c r="P111" s="40" t="s">
        <v>1237</v>
      </c>
      <c r="Q111" s="44">
        <v>0</v>
      </c>
      <c r="R111" s="37">
        <v>100</v>
      </c>
      <c r="S111" s="37" t="s">
        <v>1964</v>
      </c>
      <c r="T111" s="48">
        <v>30</v>
      </c>
      <c r="U111" s="30">
        <v>835.01</v>
      </c>
      <c r="V111" s="41">
        <v>25050.3</v>
      </c>
      <c r="W111" s="41">
        <v>7225</v>
      </c>
      <c r="X111" s="41">
        <v>7225</v>
      </c>
      <c r="Y111" s="41">
        <v>0</v>
      </c>
      <c r="Z111" s="41">
        <v>0</v>
      </c>
      <c r="AA111" s="41">
        <v>0</v>
      </c>
      <c r="AB111" s="41">
        <v>0</v>
      </c>
      <c r="AC111" s="41">
        <v>0</v>
      </c>
      <c r="AD111" s="41">
        <v>0</v>
      </c>
      <c r="AE111" s="41">
        <v>0</v>
      </c>
      <c r="AF111" s="41">
        <v>0</v>
      </c>
      <c r="AG111" s="41">
        <v>0</v>
      </c>
      <c r="AH111" s="41">
        <v>0</v>
      </c>
      <c r="AI111" s="41">
        <v>0</v>
      </c>
      <c r="AJ111" s="41">
        <v>0</v>
      </c>
      <c r="AK111" s="41">
        <v>0</v>
      </c>
      <c r="AL111" s="41">
        <v>0</v>
      </c>
      <c r="AM111" s="41">
        <v>0</v>
      </c>
      <c r="AN111" s="41">
        <v>240.83333333333334</v>
      </c>
      <c r="AO111" s="41">
        <v>241</v>
      </c>
      <c r="AP111" s="40"/>
      <c r="AQ111" s="36">
        <v>45122</v>
      </c>
      <c r="AR111" s="36"/>
      <c r="AS111" s="36"/>
      <c r="AT111" s="36">
        <v>45137</v>
      </c>
      <c r="AU111" s="36"/>
      <c r="AV111" s="38"/>
      <c r="AW111" s="40" t="s">
        <v>87</v>
      </c>
    </row>
    <row r="112" spans="1:49" ht="62.25" customHeight="1" x14ac:dyDescent="0.3">
      <c r="A112" s="35" t="s">
        <v>3297</v>
      </c>
      <c r="B112" s="38">
        <v>45069</v>
      </c>
      <c r="C112" s="40" t="s">
        <v>162</v>
      </c>
      <c r="D112" s="39" t="s">
        <v>3298</v>
      </c>
      <c r="E112" s="1" t="s">
        <v>3299</v>
      </c>
      <c r="F112" s="36">
        <v>45090</v>
      </c>
      <c r="G112" s="37" t="s">
        <v>3300</v>
      </c>
      <c r="H112" s="40" t="s">
        <v>571</v>
      </c>
      <c r="I112" s="40" t="s">
        <v>1053</v>
      </c>
      <c r="J112" s="57">
        <v>12318352.199999999</v>
      </c>
      <c r="K112" s="41">
        <v>10100428.800000001</v>
      </c>
      <c r="L112" s="30">
        <v>10100428.800000001</v>
      </c>
      <c r="M112" s="30">
        <v>10100428.800000001</v>
      </c>
      <c r="N112" s="40" t="s">
        <v>1054</v>
      </c>
      <c r="O112" s="40" t="s">
        <v>3301</v>
      </c>
      <c r="P112" s="40" t="s">
        <v>47</v>
      </c>
      <c r="Q112" s="44">
        <v>100</v>
      </c>
      <c r="R112" s="37">
        <v>0</v>
      </c>
      <c r="S112" s="37" t="s">
        <v>1964</v>
      </c>
      <c r="T112" s="48">
        <v>30</v>
      </c>
      <c r="U112" s="30">
        <v>35.840000000000003</v>
      </c>
      <c r="V112" s="41">
        <v>1075.2</v>
      </c>
      <c r="W112" s="41">
        <v>281820</v>
      </c>
      <c r="X112" s="41">
        <v>281820</v>
      </c>
      <c r="Y112" s="41">
        <v>0</v>
      </c>
      <c r="Z112" s="41">
        <v>0</v>
      </c>
      <c r="AA112" s="41">
        <v>0</v>
      </c>
      <c r="AB112" s="41">
        <v>0</v>
      </c>
      <c r="AC112" s="41">
        <v>0</v>
      </c>
      <c r="AD112" s="41">
        <v>0</v>
      </c>
      <c r="AE112" s="41">
        <v>0</v>
      </c>
      <c r="AF112" s="41">
        <v>0</v>
      </c>
      <c r="AG112" s="41">
        <v>0</v>
      </c>
      <c r="AH112" s="41">
        <v>0</v>
      </c>
      <c r="AI112" s="41">
        <v>0</v>
      </c>
      <c r="AJ112" s="41">
        <v>0</v>
      </c>
      <c r="AK112" s="41">
        <v>0</v>
      </c>
      <c r="AL112" s="41">
        <v>0</v>
      </c>
      <c r="AM112" s="41">
        <v>0</v>
      </c>
      <c r="AN112" s="41">
        <v>9394</v>
      </c>
      <c r="AO112" s="41">
        <v>9394</v>
      </c>
      <c r="AP112" s="40"/>
      <c r="AQ112" s="36">
        <v>45122</v>
      </c>
      <c r="AR112" s="36"/>
      <c r="AS112" s="36"/>
      <c r="AT112" s="36">
        <v>45137</v>
      </c>
      <c r="AU112" s="36"/>
      <c r="AV112" s="38"/>
      <c r="AW112" s="40" t="s">
        <v>87</v>
      </c>
    </row>
    <row r="113" spans="1:49" ht="62.25" customHeight="1" x14ac:dyDescent="0.3">
      <c r="A113" s="35" t="s">
        <v>3302</v>
      </c>
      <c r="B113" s="38">
        <v>45071</v>
      </c>
      <c r="C113" s="40" t="s">
        <v>1245</v>
      </c>
      <c r="D113" s="39" t="s">
        <v>3303</v>
      </c>
      <c r="E113" s="1" t="s">
        <v>3304</v>
      </c>
      <c r="F113" s="36">
        <v>45091</v>
      </c>
      <c r="G113" s="37" t="s">
        <v>3305</v>
      </c>
      <c r="H113" s="40" t="s">
        <v>186</v>
      </c>
      <c r="I113" s="40" t="s">
        <v>3306</v>
      </c>
      <c r="J113" s="57">
        <v>231163988.75</v>
      </c>
      <c r="K113" s="57">
        <v>231163988.75</v>
      </c>
      <c r="L113" s="30">
        <v>231163988.75</v>
      </c>
      <c r="M113" s="30">
        <v>231163988.75</v>
      </c>
      <c r="N113" s="40" t="s">
        <v>2614</v>
      </c>
      <c r="O113" s="40" t="s">
        <v>3307</v>
      </c>
      <c r="P113" s="40" t="s">
        <v>199</v>
      </c>
      <c r="Q113" s="44">
        <v>0</v>
      </c>
      <c r="R113" s="37">
        <v>100</v>
      </c>
      <c r="S113" s="37" t="s">
        <v>1964</v>
      </c>
      <c r="T113" s="48">
        <v>30</v>
      </c>
      <c r="U113" s="30">
        <v>524.33000000000004</v>
      </c>
      <c r="V113" s="41">
        <v>15729.900000000001</v>
      </c>
      <c r="W113" s="41">
        <v>440875</v>
      </c>
      <c r="X113" s="41">
        <v>440875</v>
      </c>
      <c r="Y113" s="41">
        <v>0</v>
      </c>
      <c r="Z113" s="41">
        <v>0</v>
      </c>
      <c r="AA113" s="41">
        <v>0</v>
      </c>
      <c r="AB113" s="41">
        <v>0</v>
      </c>
      <c r="AC113" s="41">
        <v>0</v>
      </c>
      <c r="AD113" s="41">
        <v>0</v>
      </c>
      <c r="AE113" s="41">
        <v>0</v>
      </c>
      <c r="AF113" s="41">
        <v>0</v>
      </c>
      <c r="AG113" s="41">
        <v>0</v>
      </c>
      <c r="AH113" s="41">
        <v>0</v>
      </c>
      <c r="AI113" s="41">
        <v>0</v>
      </c>
      <c r="AJ113" s="41">
        <v>0</v>
      </c>
      <c r="AK113" s="41">
        <v>0</v>
      </c>
      <c r="AL113" s="41">
        <v>0</v>
      </c>
      <c r="AM113" s="41">
        <v>0</v>
      </c>
      <c r="AN113" s="41">
        <v>14695.833333333334</v>
      </c>
      <c r="AO113" s="41">
        <v>14696</v>
      </c>
      <c r="AP113" s="40"/>
      <c r="AQ113" s="36">
        <v>45138</v>
      </c>
      <c r="AR113" s="36"/>
      <c r="AS113" s="36"/>
      <c r="AT113" s="36">
        <v>45153</v>
      </c>
      <c r="AU113" s="36"/>
      <c r="AV113" s="38"/>
      <c r="AW113" s="40" t="s">
        <v>49</v>
      </c>
    </row>
    <row r="114" spans="1:49" ht="37.200000000000003" customHeight="1" x14ac:dyDescent="0.3">
      <c r="A114" s="35" t="s">
        <v>3330</v>
      </c>
      <c r="B114" s="38">
        <v>45078</v>
      </c>
      <c r="C114" s="40" t="s">
        <v>162</v>
      </c>
      <c r="D114" s="39" t="s">
        <v>459</v>
      </c>
      <c r="E114" s="1" t="s">
        <v>3331</v>
      </c>
      <c r="F114" s="36" t="s">
        <v>459</v>
      </c>
      <c r="G114" s="37" t="s">
        <v>459</v>
      </c>
      <c r="H114" s="40" t="s">
        <v>459</v>
      </c>
      <c r="I114" s="40" t="s">
        <v>922</v>
      </c>
      <c r="J114" s="57">
        <v>374253.3</v>
      </c>
      <c r="K114" s="41">
        <v>0</v>
      </c>
      <c r="L114" s="30">
        <v>0</v>
      </c>
      <c r="M114" s="30">
        <v>0</v>
      </c>
      <c r="N114" s="40"/>
      <c r="O114" s="40"/>
      <c r="P114" s="40"/>
      <c r="Q114" s="44"/>
      <c r="R114" s="37"/>
      <c r="S114" s="37"/>
      <c r="T114" s="48"/>
      <c r="U114" s="30" t="e">
        <v>#DIV/0!</v>
      </c>
      <c r="V114" s="41" t="e">
        <v>#DIV/0!</v>
      </c>
      <c r="W114" s="41">
        <v>0</v>
      </c>
      <c r="X114" s="41">
        <v>0</v>
      </c>
      <c r="Y114" s="41">
        <v>0</v>
      </c>
      <c r="Z114" s="41" t="e">
        <v>#DIV/0!</v>
      </c>
      <c r="AA114" s="41">
        <v>0</v>
      </c>
      <c r="AB114" s="41" t="e">
        <v>#DIV/0!</v>
      </c>
      <c r="AC114" s="41">
        <v>0</v>
      </c>
      <c r="AD114" s="41">
        <v>0</v>
      </c>
      <c r="AE114" s="41" t="e">
        <v>#DIV/0!</v>
      </c>
      <c r="AF114" s="41">
        <v>0</v>
      </c>
      <c r="AG114" s="41" t="e">
        <v>#DIV/0!</v>
      </c>
      <c r="AH114" s="41">
        <v>0</v>
      </c>
      <c r="AI114" s="41">
        <v>0</v>
      </c>
      <c r="AJ114" s="41">
        <v>0</v>
      </c>
      <c r="AK114" s="41">
        <v>0</v>
      </c>
      <c r="AL114" s="41">
        <v>0</v>
      </c>
      <c r="AM114" s="41" t="e">
        <v>#DIV/0!</v>
      </c>
      <c r="AN114" s="41" t="e">
        <v>#DIV/0!</v>
      </c>
      <c r="AO114" s="41" t="e">
        <v>#DIV/0!</v>
      </c>
      <c r="AP114" s="40"/>
      <c r="AQ114" s="36">
        <v>45122</v>
      </c>
      <c r="AR114" s="36">
        <v>45170</v>
      </c>
      <c r="AS114" s="36"/>
      <c r="AT114" s="36"/>
      <c r="AU114" s="36"/>
      <c r="AV114" s="38"/>
      <c r="AW114" s="40"/>
    </row>
    <row r="115" spans="1:49" ht="37.200000000000003" customHeight="1" x14ac:dyDescent="0.3">
      <c r="A115" s="35" t="s">
        <v>3332</v>
      </c>
      <c r="B115" s="38">
        <v>45078</v>
      </c>
      <c r="C115" s="40" t="s">
        <v>162</v>
      </c>
      <c r="D115" s="39" t="s">
        <v>3333</v>
      </c>
      <c r="E115" s="1" t="s">
        <v>3334</v>
      </c>
      <c r="F115" s="36">
        <v>45104</v>
      </c>
      <c r="G115" s="37" t="s">
        <v>3335</v>
      </c>
      <c r="H115" s="40" t="s">
        <v>571</v>
      </c>
      <c r="I115" s="40" t="s">
        <v>2146</v>
      </c>
      <c r="J115" s="57">
        <v>874184.7</v>
      </c>
      <c r="K115" s="41">
        <v>441326.1</v>
      </c>
      <c r="L115" s="30">
        <v>441326.1</v>
      </c>
      <c r="M115" s="30">
        <v>441326.1</v>
      </c>
      <c r="N115" s="40" t="s">
        <v>1093</v>
      </c>
      <c r="O115" s="40" t="s">
        <v>3336</v>
      </c>
      <c r="P115" s="40" t="s">
        <v>47</v>
      </c>
      <c r="Q115" s="44">
        <v>100</v>
      </c>
      <c r="R115" s="37">
        <v>0</v>
      </c>
      <c r="S115" s="37" t="s">
        <v>1964</v>
      </c>
      <c r="T115" s="48">
        <v>30</v>
      </c>
      <c r="U115" s="30">
        <v>13.03</v>
      </c>
      <c r="V115" s="41">
        <v>390.9</v>
      </c>
      <c r="W115" s="41">
        <v>33870</v>
      </c>
      <c r="X115" s="41">
        <v>33870</v>
      </c>
      <c r="Y115" s="41">
        <v>0</v>
      </c>
      <c r="Z115" s="41">
        <v>0</v>
      </c>
      <c r="AA115" s="41">
        <v>0</v>
      </c>
      <c r="AB115" s="41">
        <v>0</v>
      </c>
      <c r="AC115" s="41">
        <v>0</v>
      </c>
      <c r="AD115" s="41">
        <v>0</v>
      </c>
      <c r="AE115" s="41">
        <v>0</v>
      </c>
      <c r="AF115" s="41">
        <v>0</v>
      </c>
      <c r="AG115" s="41">
        <v>0</v>
      </c>
      <c r="AH115" s="41">
        <v>0</v>
      </c>
      <c r="AI115" s="41">
        <v>0</v>
      </c>
      <c r="AJ115" s="41">
        <v>0</v>
      </c>
      <c r="AK115" s="41">
        <v>0</v>
      </c>
      <c r="AL115" s="41">
        <v>0</v>
      </c>
      <c r="AM115" s="41">
        <v>0</v>
      </c>
      <c r="AN115" s="41">
        <v>1129</v>
      </c>
      <c r="AO115" s="41">
        <v>1129</v>
      </c>
      <c r="AP115" s="40"/>
      <c r="AQ115" s="36">
        <v>45122</v>
      </c>
      <c r="AR115" s="36"/>
      <c r="AS115" s="36"/>
      <c r="AT115" s="36">
        <v>45137</v>
      </c>
      <c r="AU115" s="36"/>
      <c r="AV115" s="38"/>
      <c r="AW115" s="40" t="s">
        <v>87</v>
      </c>
    </row>
    <row r="116" spans="1:49" ht="37.950000000000003" customHeight="1" x14ac:dyDescent="0.3">
      <c r="A116" s="35" t="s">
        <v>3350</v>
      </c>
      <c r="B116" s="38">
        <v>45084</v>
      </c>
      <c r="C116" s="40" t="s">
        <v>162</v>
      </c>
      <c r="D116" s="39" t="s">
        <v>3351</v>
      </c>
      <c r="E116" s="1" t="s">
        <v>3352</v>
      </c>
      <c r="F116" s="36">
        <v>45107</v>
      </c>
      <c r="G116" s="37" t="s">
        <v>3353</v>
      </c>
      <c r="H116" s="40" t="s">
        <v>571</v>
      </c>
      <c r="I116" s="40" t="s">
        <v>3354</v>
      </c>
      <c r="J116" s="57">
        <v>9215593.8000000007</v>
      </c>
      <c r="K116" s="41">
        <v>9169511.4000000004</v>
      </c>
      <c r="L116" s="30">
        <v>9169511.4000000004</v>
      </c>
      <c r="M116" s="30">
        <v>9169511.4000000004</v>
      </c>
      <c r="N116" s="40" t="s">
        <v>3355</v>
      </c>
      <c r="O116" s="40" t="s">
        <v>2048</v>
      </c>
      <c r="P116" s="40" t="s">
        <v>47</v>
      </c>
      <c r="Q116" s="44">
        <v>100</v>
      </c>
      <c r="R116" s="37">
        <v>0</v>
      </c>
      <c r="S116" s="37" t="s">
        <v>1964</v>
      </c>
      <c r="T116" s="48">
        <v>60</v>
      </c>
      <c r="U116" s="30">
        <v>206.94</v>
      </c>
      <c r="V116" s="41">
        <v>12416.4</v>
      </c>
      <c r="W116" s="41">
        <v>44310</v>
      </c>
      <c r="X116" s="41">
        <v>44310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v>0</v>
      </c>
      <c r="AN116" s="41">
        <v>738.5</v>
      </c>
      <c r="AO116" s="41">
        <v>739</v>
      </c>
      <c r="AP116" s="40"/>
      <c r="AQ116" s="36">
        <v>45122</v>
      </c>
      <c r="AR116" s="36"/>
      <c r="AS116" s="36"/>
      <c r="AT116" s="36">
        <v>45137</v>
      </c>
      <c r="AU116" s="36"/>
      <c r="AV116" s="38"/>
      <c r="AW116" s="40" t="s">
        <v>87</v>
      </c>
    </row>
    <row r="117" spans="1:49" ht="37.950000000000003" customHeight="1" x14ac:dyDescent="0.3">
      <c r="A117" s="35" t="s">
        <v>3362</v>
      </c>
      <c r="B117" s="38">
        <v>45084</v>
      </c>
      <c r="C117" s="40" t="s">
        <v>162</v>
      </c>
      <c r="D117" s="39" t="s">
        <v>3363</v>
      </c>
      <c r="E117" s="1" t="s">
        <v>3364</v>
      </c>
      <c r="F117" s="36">
        <v>45107</v>
      </c>
      <c r="G117" s="37" t="s">
        <v>3365</v>
      </c>
      <c r="H117" s="40" t="s">
        <v>571</v>
      </c>
      <c r="I117" s="40" t="s">
        <v>187</v>
      </c>
      <c r="J117" s="57">
        <v>3704078.4</v>
      </c>
      <c r="K117" s="41">
        <v>3685507.2</v>
      </c>
      <c r="L117" s="30">
        <v>3685507.2</v>
      </c>
      <c r="M117" s="30">
        <v>3685507.2</v>
      </c>
      <c r="N117" s="40" t="s">
        <v>3366</v>
      </c>
      <c r="O117" s="40" t="s">
        <v>3367</v>
      </c>
      <c r="P117" s="40" t="s">
        <v>47</v>
      </c>
      <c r="Q117" s="44">
        <v>100</v>
      </c>
      <c r="R117" s="37">
        <v>0</v>
      </c>
      <c r="S117" s="37" t="s">
        <v>1964</v>
      </c>
      <c r="T117" s="48">
        <v>60</v>
      </c>
      <c r="U117" s="30">
        <v>210.36</v>
      </c>
      <c r="V117" s="41">
        <v>12621.6</v>
      </c>
      <c r="W117" s="41">
        <v>17520</v>
      </c>
      <c r="X117" s="41">
        <v>17520</v>
      </c>
      <c r="Y117" s="41">
        <v>0</v>
      </c>
      <c r="Z117" s="41">
        <v>0</v>
      </c>
      <c r="AA117" s="41">
        <v>0</v>
      </c>
      <c r="AB117" s="41">
        <v>0</v>
      </c>
      <c r="AC117" s="41">
        <v>0</v>
      </c>
      <c r="AD117" s="41">
        <v>0</v>
      </c>
      <c r="AE117" s="41">
        <v>0</v>
      </c>
      <c r="AF117" s="41">
        <v>0</v>
      </c>
      <c r="AG117" s="41">
        <v>0</v>
      </c>
      <c r="AH117" s="41">
        <v>0</v>
      </c>
      <c r="AI117" s="41">
        <v>0</v>
      </c>
      <c r="AJ117" s="41">
        <v>0</v>
      </c>
      <c r="AK117" s="41">
        <v>0</v>
      </c>
      <c r="AL117" s="41">
        <v>0</v>
      </c>
      <c r="AM117" s="41">
        <v>0</v>
      </c>
      <c r="AN117" s="41">
        <v>292</v>
      </c>
      <c r="AO117" s="41">
        <v>292</v>
      </c>
      <c r="AP117" s="40"/>
      <c r="AQ117" s="36">
        <v>45139</v>
      </c>
      <c r="AR117" s="36"/>
      <c r="AS117" s="36"/>
      <c r="AT117" s="36">
        <v>45153</v>
      </c>
      <c r="AU117" s="36"/>
      <c r="AV117" s="38"/>
      <c r="AW117" s="40" t="s">
        <v>49</v>
      </c>
    </row>
    <row r="118" spans="1:49" ht="37.950000000000003" customHeight="1" x14ac:dyDescent="0.3">
      <c r="A118" s="35" t="s">
        <v>3368</v>
      </c>
      <c r="B118" s="38">
        <v>45084</v>
      </c>
      <c r="C118" s="40" t="s">
        <v>162</v>
      </c>
      <c r="D118" s="39" t="s">
        <v>3369</v>
      </c>
      <c r="E118" s="1" t="s">
        <v>3370</v>
      </c>
      <c r="F118" s="36">
        <v>45107</v>
      </c>
      <c r="G118" s="37" t="s">
        <v>3371</v>
      </c>
      <c r="H118" s="40" t="s">
        <v>971</v>
      </c>
      <c r="I118" s="40" t="s">
        <v>1148</v>
      </c>
      <c r="J118" s="57">
        <v>2011822.8</v>
      </c>
      <c r="K118" s="41">
        <v>1456837.2</v>
      </c>
      <c r="L118" s="30">
        <v>1456837.2</v>
      </c>
      <c r="M118" s="30">
        <v>1456837.2</v>
      </c>
      <c r="N118" s="40" t="s">
        <v>1204</v>
      </c>
      <c r="O118" s="40" t="s">
        <v>3372</v>
      </c>
      <c r="P118" s="40" t="s">
        <v>47</v>
      </c>
      <c r="Q118" s="44">
        <v>100</v>
      </c>
      <c r="R118" s="37">
        <v>0</v>
      </c>
      <c r="S118" s="37" t="s">
        <v>1964</v>
      </c>
      <c r="T118" s="48">
        <v>30</v>
      </c>
      <c r="U118" s="30">
        <v>1.26</v>
      </c>
      <c r="V118" s="41">
        <v>37.799999999999997</v>
      </c>
      <c r="W118" s="41">
        <v>1156220</v>
      </c>
      <c r="X118" s="41">
        <v>1156220</v>
      </c>
      <c r="Y118" s="41">
        <v>0</v>
      </c>
      <c r="Z118" s="41">
        <v>0</v>
      </c>
      <c r="AA118" s="41">
        <v>0</v>
      </c>
      <c r="AB118" s="41">
        <v>0</v>
      </c>
      <c r="AC118" s="41">
        <v>0</v>
      </c>
      <c r="AD118" s="41">
        <v>0</v>
      </c>
      <c r="AE118" s="41">
        <v>0</v>
      </c>
      <c r="AF118" s="41">
        <v>0</v>
      </c>
      <c r="AG118" s="41">
        <v>0</v>
      </c>
      <c r="AH118" s="41">
        <v>0</v>
      </c>
      <c r="AI118" s="41">
        <v>0</v>
      </c>
      <c r="AJ118" s="41">
        <v>0</v>
      </c>
      <c r="AK118" s="41">
        <v>0</v>
      </c>
      <c r="AL118" s="41">
        <v>0</v>
      </c>
      <c r="AM118" s="41">
        <v>0</v>
      </c>
      <c r="AN118" s="41">
        <v>38540.666666666664</v>
      </c>
      <c r="AO118" s="41">
        <v>38541</v>
      </c>
      <c r="AP118" s="40"/>
      <c r="AQ118" s="36">
        <v>45122</v>
      </c>
      <c r="AR118" s="36"/>
      <c r="AS118" s="36"/>
      <c r="AT118" s="36">
        <v>45137</v>
      </c>
      <c r="AU118" s="36"/>
      <c r="AV118" s="38"/>
      <c r="AW118" s="40" t="s">
        <v>49</v>
      </c>
    </row>
    <row r="119" spans="1:49" ht="37.950000000000003" customHeight="1" x14ac:dyDescent="0.3">
      <c r="A119" s="35" t="s">
        <v>3373</v>
      </c>
      <c r="B119" s="38">
        <v>45084</v>
      </c>
      <c r="C119" s="40" t="s">
        <v>162</v>
      </c>
      <c r="D119" s="39" t="s">
        <v>3374</v>
      </c>
      <c r="E119" s="1" t="s">
        <v>3375</v>
      </c>
      <c r="F119" s="36">
        <v>45107</v>
      </c>
      <c r="G119" s="37" t="s">
        <v>3376</v>
      </c>
      <c r="H119" s="40" t="s">
        <v>571</v>
      </c>
      <c r="I119" s="40" t="s">
        <v>1127</v>
      </c>
      <c r="J119" s="57">
        <v>1691482.6</v>
      </c>
      <c r="K119" s="41">
        <v>1638843.1</v>
      </c>
      <c r="L119" s="30">
        <v>1638843.1</v>
      </c>
      <c r="M119" s="30">
        <v>1638843.1</v>
      </c>
      <c r="N119" s="40" t="s">
        <v>1128</v>
      </c>
      <c r="O119" s="40" t="s">
        <v>3377</v>
      </c>
      <c r="P119" s="40" t="s">
        <v>47</v>
      </c>
      <c r="Q119" s="44">
        <v>100</v>
      </c>
      <c r="R119" s="37">
        <v>0</v>
      </c>
      <c r="S119" s="37" t="s">
        <v>1964</v>
      </c>
      <c r="T119" s="48">
        <v>30</v>
      </c>
      <c r="U119" s="30">
        <v>4.67</v>
      </c>
      <c r="V119" s="41">
        <v>140.1</v>
      </c>
      <c r="W119" s="41">
        <v>350930</v>
      </c>
      <c r="X119" s="41">
        <v>350930</v>
      </c>
      <c r="Y119" s="41">
        <v>0</v>
      </c>
      <c r="Z119" s="41">
        <v>0</v>
      </c>
      <c r="AA119" s="41">
        <v>0</v>
      </c>
      <c r="AB119" s="41">
        <v>0</v>
      </c>
      <c r="AC119" s="41">
        <v>0</v>
      </c>
      <c r="AD119" s="41">
        <v>0</v>
      </c>
      <c r="AE119" s="41">
        <v>0</v>
      </c>
      <c r="AF119" s="41">
        <v>0</v>
      </c>
      <c r="AG119" s="41">
        <v>0</v>
      </c>
      <c r="AH119" s="41">
        <v>0</v>
      </c>
      <c r="AI119" s="41">
        <v>0</v>
      </c>
      <c r="AJ119" s="41">
        <v>0</v>
      </c>
      <c r="AK119" s="41">
        <v>0</v>
      </c>
      <c r="AL119" s="41">
        <v>0</v>
      </c>
      <c r="AM119" s="41">
        <v>0</v>
      </c>
      <c r="AN119" s="41">
        <v>11697.666666666666</v>
      </c>
      <c r="AO119" s="41">
        <v>11698</v>
      </c>
      <c r="AP119" s="40"/>
      <c r="AQ119" s="36">
        <v>45122</v>
      </c>
      <c r="AR119" s="36"/>
      <c r="AS119" s="36"/>
      <c r="AT119" s="36">
        <v>45137</v>
      </c>
      <c r="AU119" s="36"/>
      <c r="AV119" s="38"/>
      <c r="AW119" s="40" t="s">
        <v>87</v>
      </c>
    </row>
    <row r="120" spans="1:49" ht="37.950000000000003" customHeight="1" x14ac:dyDescent="0.3">
      <c r="A120" s="35" t="s">
        <v>3378</v>
      </c>
      <c r="B120" s="38">
        <v>45084</v>
      </c>
      <c r="C120" s="40" t="s">
        <v>162</v>
      </c>
      <c r="D120" s="39" t="s">
        <v>459</v>
      </c>
      <c r="E120" s="1" t="s">
        <v>3379</v>
      </c>
      <c r="F120" s="36" t="s">
        <v>459</v>
      </c>
      <c r="G120" s="37" t="s">
        <v>459</v>
      </c>
      <c r="H120" s="40" t="s">
        <v>459</v>
      </c>
      <c r="I120" s="40" t="s">
        <v>1203</v>
      </c>
      <c r="J120" s="57">
        <v>29863.8</v>
      </c>
      <c r="K120" s="41">
        <v>0</v>
      </c>
      <c r="L120" s="30">
        <v>0</v>
      </c>
      <c r="M120" s="30">
        <v>0</v>
      </c>
      <c r="N120" s="40"/>
      <c r="O120" s="40"/>
      <c r="P120" s="40"/>
      <c r="Q120" s="44"/>
      <c r="R120" s="37"/>
      <c r="S120" s="37"/>
      <c r="T120" s="48"/>
      <c r="U120" s="30" t="e">
        <v>#DIV/0!</v>
      </c>
      <c r="V120" s="41" t="e">
        <v>#DIV/0!</v>
      </c>
      <c r="W120" s="41">
        <v>0</v>
      </c>
      <c r="X120" s="41">
        <v>0</v>
      </c>
      <c r="Y120" s="41">
        <v>0</v>
      </c>
      <c r="Z120" s="41" t="e">
        <v>#DIV/0!</v>
      </c>
      <c r="AA120" s="41">
        <v>0</v>
      </c>
      <c r="AB120" s="41" t="e">
        <v>#DIV/0!</v>
      </c>
      <c r="AC120" s="41">
        <v>0</v>
      </c>
      <c r="AD120" s="41">
        <v>0</v>
      </c>
      <c r="AE120" s="41" t="e">
        <v>#DIV/0!</v>
      </c>
      <c r="AF120" s="41">
        <v>0</v>
      </c>
      <c r="AG120" s="41" t="e">
        <v>#DIV/0!</v>
      </c>
      <c r="AH120" s="41">
        <v>0</v>
      </c>
      <c r="AI120" s="41">
        <v>0</v>
      </c>
      <c r="AJ120" s="41">
        <v>0</v>
      </c>
      <c r="AK120" s="41">
        <v>0</v>
      </c>
      <c r="AL120" s="41">
        <v>0</v>
      </c>
      <c r="AM120" s="41" t="e">
        <v>#DIV/0!</v>
      </c>
      <c r="AN120" s="41" t="e">
        <v>#DIV/0!</v>
      </c>
      <c r="AO120" s="41" t="e">
        <v>#DIV/0!</v>
      </c>
      <c r="AP120" s="40"/>
      <c r="AQ120" s="36">
        <v>45122</v>
      </c>
      <c r="AR120" s="36"/>
      <c r="AS120" s="36"/>
      <c r="AT120" s="36"/>
      <c r="AU120" s="36"/>
      <c r="AV120" s="38"/>
      <c r="AW120" s="40"/>
    </row>
    <row r="121" spans="1:49" ht="45" customHeight="1" x14ac:dyDescent="0.3">
      <c r="A121" s="35" t="s">
        <v>3380</v>
      </c>
      <c r="B121" s="38">
        <v>45084</v>
      </c>
      <c r="C121" s="40" t="s">
        <v>162</v>
      </c>
      <c r="D121" s="39" t="s">
        <v>3381</v>
      </c>
      <c r="E121" s="1" t="s">
        <v>3379</v>
      </c>
      <c r="F121" s="36">
        <v>45107</v>
      </c>
      <c r="G121" s="37" t="s">
        <v>3382</v>
      </c>
      <c r="H121" s="40" t="s">
        <v>555</v>
      </c>
      <c r="I121" s="40" t="s">
        <v>1181</v>
      </c>
      <c r="J121" s="57">
        <v>577131.15</v>
      </c>
      <c r="K121" s="41">
        <v>226393.2</v>
      </c>
      <c r="L121" s="30">
        <v>226393.2</v>
      </c>
      <c r="M121" s="30">
        <v>226393.2</v>
      </c>
      <c r="N121" s="40" t="s">
        <v>3383</v>
      </c>
      <c r="O121" s="40" t="s">
        <v>3384</v>
      </c>
      <c r="P121" s="40" t="s">
        <v>47</v>
      </c>
      <c r="Q121" s="44">
        <v>100</v>
      </c>
      <c r="R121" s="37">
        <v>0</v>
      </c>
      <c r="S121" s="37" t="s">
        <v>1964</v>
      </c>
      <c r="T121" s="48">
        <v>30</v>
      </c>
      <c r="U121" s="30">
        <v>2.64</v>
      </c>
      <c r="V121" s="41">
        <v>79.2</v>
      </c>
      <c r="W121" s="41">
        <v>85755</v>
      </c>
      <c r="X121" s="41">
        <v>85755</v>
      </c>
      <c r="Y121" s="41">
        <v>0</v>
      </c>
      <c r="Z121" s="41">
        <v>0</v>
      </c>
      <c r="AA121" s="41">
        <v>0</v>
      </c>
      <c r="AB121" s="41">
        <v>0</v>
      </c>
      <c r="AC121" s="41">
        <v>0</v>
      </c>
      <c r="AD121" s="41">
        <v>0</v>
      </c>
      <c r="AE121" s="41">
        <v>0</v>
      </c>
      <c r="AF121" s="41">
        <v>0</v>
      </c>
      <c r="AG121" s="41">
        <v>0</v>
      </c>
      <c r="AH121" s="41">
        <v>0</v>
      </c>
      <c r="AI121" s="41">
        <v>0</v>
      </c>
      <c r="AJ121" s="41">
        <v>0</v>
      </c>
      <c r="AK121" s="41">
        <v>0</v>
      </c>
      <c r="AL121" s="41">
        <v>0</v>
      </c>
      <c r="AM121" s="41">
        <v>0</v>
      </c>
      <c r="AN121" s="41">
        <v>2858.5</v>
      </c>
      <c r="AO121" s="41">
        <v>2859</v>
      </c>
      <c r="AP121" s="40"/>
      <c r="AQ121" s="36">
        <v>45122</v>
      </c>
      <c r="AR121" s="36"/>
      <c r="AS121" s="36"/>
      <c r="AT121" s="36">
        <v>45137</v>
      </c>
      <c r="AU121" s="36"/>
      <c r="AV121" s="38"/>
      <c r="AW121" s="40" t="s">
        <v>49</v>
      </c>
    </row>
    <row r="122" spans="1:49" ht="54" customHeight="1" x14ac:dyDescent="0.3">
      <c r="A122" s="35" t="s">
        <v>3385</v>
      </c>
      <c r="B122" s="38">
        <v>45084</v>
      </c>
      <c r="C122" s="40" t="s">
        <v>162</v>
      </c>
      <c r="D122" s="39" t="s">
        <v>3386</v>
      </c>
      <c r="E122" s="1" t="s">
        <v>3387</v>
      </c>
      <c r="F122" s="36">
        <v>45107</v>
      </c>
      <c r="G122" s="35" t="s">
        <v>3388</v>
      </c>
      <c r="H122" s="40" t="s">
        <v>555</v>
      </c>
      <c r="I122" s="40" t="s">
        <v>1062</v>
      </c>
      <c r="J122" s="57">
        <v>639354.1</v>
      </c>
      <c r="K122" s="41">
        <v>20816.18</v>
      </c>
      <c r="L122" s="30">
        <v>20816.18</v>
      </c>
      <c r="M122" s="30">
        <v>20816.18</v>
      </c>
      <c r="N122" s="40" t="s">
        <v>2047</v>
      </c>
      <c r="O122" s="40" t="s">
        <v>3389</v>
      </c>
      <c r="P122" s="40" t="s">
        <v>47</v>
      </c>
      <c r="Q122" s="44">
        <v>100</v>
      </c>
      <c r="R122" s="37">
        <v>0</v>
      </c>
      <c r="S122" s="37" t="s">
        <v>1964</v>
      </c>
      <c r="T122" s="48">
        <v>60</v>
      </c>
      <c r="U122" s="30">
        <v>1.54</v>
      </c>
      <c r="V122" s="41">
        <v>92.4</v>
      </c>
      <c r="W122" s="41">
        <v>13517</v>
      </c>
      <c r="X122" s="41">
        <v>13517</v>
      </c>
      <c r="Y122" s="41">
        <v>0</v>
      </c>
      <c r="Z122" s="41">
        <v>0</v>
      </c>
      <c r="AA122" s="41">
        <v>0</v>
      </c>
      <c r="AB122" s="41">
        <v>0</v>
      </c>
      <c r="AC122" s="41">
        <v>0</v>
      </c>
      <c r="AD122" s="41">
        <v>0</v>
      </c>
      <c r="AE122" s="41">
        <v>0</v>
      </c>
      <c r="AF122" s="41">
        <v>0</v>
      </c>
      <c r="AG122" s="41">
        <v>0</v>
      </c>
      <c r="AH122" s="41">
        <v>0</v>
      </c>
      <c r="AI122" s="41">
        <v>0</v>
      </c>
      <c r="AJ122" s="41">
        <v>0</v>
      </c>
      <c r="AK122" s="41">
        <v>0</v>
      </c>
      <c r="AL122" s="41">
        <v>0</v>
      </c>
      <c r="AM122" s="41">
        <v>0</v>
      </c>
      <c r="AN122" s="41">
        <v>225.28333333333333</v>
      </c>
      <c r="AO122" s="41">
        <v>226</v>
      </c>
      <c r="AP122" s="40"/>
      <c r="AQ122" s="36">
        <v>45122</v>
      </c>
      <c r="AR122" s="36"/>
      <c r="AS122" s="36"/>
      <c r="AT122" s="36">
        <v>45137</v>
      </c>
      <c r="AU122" s="36"/>
      <c r="AV122" s="38"/>
      <c r="AW122" s="40" t="s">
        <v>49</v>
      </c>
    </row>
    <row r="123" spans="1:49" ht="54" customHeight="1" x14ac:dyDescent="0.3">
      <c r="A123" s="35" t="s">
        <v>3390</v>
      </c>
      <c r="B123" s="38">
        <v>45084</v>
      </c>
      <c r="C123" s="40" t="s">
        <v>1245</v>
      </c>
      <c r="D123" s="39" t="s">
        <v>3391</v>
      </c>
      <c r="E123" s="1" t="s">
        <v>3392</v>
      </c>
      <c r="F123" s="36">
        <v>45104</v>
      </c>
      <c r="G123" s="35" t="s">
        <v>3393</v>
      </c>
      <c r="H123" s="40" t="s">
        <v>186</v>
      </c>
      <c r="I123" s="40" t="s">
        <v>3394</v>
      </c>
      <c r="J123" s="57">
        <v>13865341.050000001</v>
      </c>
      <c r="K123" s="41">
        <v>13865341.050000001</v>
      </c>
      <c r="L123" s="30">
        <v>13865341.050000001</v>
      </c>
      <c r="M123" s="30">
        <v>13865341.050000001</v>
      </c>
      <c r="N123" s="40" t="s">
        <v>1235</v>
      </c>
      <c r="O123" s="40" t="s">
        <v>3395</v>
      </c>
      <c r="P123" s="40" t="s">
        <v>1237</v>
      </c>
      <c r="Q123" s="44">
        <v>0</v>
      </c>
      <c r="R123" s="37">
        <v>100</v>
      </c>
      <c r="S123" s="37" t="s">
        <v>1964</v>
      </c>
      <c r="T123" s="48">
        <v>30</v>
      </c>
      <c r="U123" s="30">
        <v>835.01</v>
      </c>
      <c r="V123" s="41">
        <v>25050.3</v>
      </c>
      <c r="W123" s="41">
        <v>16605</v>
      </c>
      <c r="X123" s="41">
        <v>16605</v>
      </c>
      <c r="Y123" s="41">
        <v>0</v>
      </c>
      <c r="Z123" s="41">
        <v>0</v>
      </c>
      <c r="AA123" s="41">
        <v>0</v>
      </c>
      <c r="AB123" s="41">
        <v>0</v>
      </c>
      <c r="AC123" s="41">
        <v>0</v>
      </c>
      <c r="AD123" s="41">
        <v>0</v>
      </c>
      <c r="AE123" s="41">
        <v>0</v>
      </c>
      <c r="AF123" s="41">
        <v>0</v>
      </c>
      <c r="AG123" s="41">
        <v>0</v>
      </c>
      <c r="AH123" s="41">
        <v>0</v>
      </c>
      <c r="AI123" s="41">
        <v>0</v>
      </c>
      <c r="AJ123" s="41">
        <v>0</v>
      </c>
      <c r="AK123" s="41">
        <v>0</v>
      </c>
      <c r="AL123" s="41">
        <v>0</v>
      </c>
      <c r="AM123" s="41">
        <v>0</v>
      </c>
      <c r="AN123" s="41">
        <v>553.5</v>
      </c>
      <c r="AO123" s="41">
        <v>554</v>
      </c>
      <c r="AP123" s="40"/>
      <c r="AQ123" s="36">
        <v>45122</v>
      </c>
      <c r="AR123" s="36"/>
      <c r="AS123" s="36"/>
      <c r="AT123" s="36">
        <v>45137</v>
      </c>
      <c r="AU123" s="36"/>
      <c r="AV123" s="38"/>
      <c r="AW123" s="40" t="s">
        <v>87</v>
      </c>
    </row>
    <row r="124" spans="1:49" ht="54" customHeight="1" x14ac:dyDescent="0.3">
      <c r="A124" s="35" t="s">
        <v>3396</v>
      </c>
      <c r="B124" s="38">
        <v>45084</v>
      </c>
      <c r="C124" s="40" t="s">
        <v>162</v>
      </c>
      <c r="D124" s="39" t="s">
        <v>3397</v>
      </c>
      <c r="E124" s="1" t="s">
        <v>3398</v>
      </c>
      <c r="F124" s="36">
        <v>45107</v>
      </c>
      <c r="G124" s="35" t="s">
        <v>3399</v>
      </c>
      <c r="H124" s="40" t="s">
        <v>3400</v>
      </c>
      <c r="I124" s="40" t="s">
        <v>1157</v>
      </c>
      <c r="J124" s="57">
        <v>10578122.5</v>
      </c>
      <c r="K124" s="41">
        <v>4684097.55</v>
      </c>
      <c r="L124" s="30">
        <v>4684097.55</v>
      </c>
      <c r="M124" s="30">
        <v>4684097.55</v>
      </c>
      <c r="N124" s="40" t="s">
        <v>2047</v>
      </c>
      <c r="O124" s="40" t="s">
        <v>3401</v>
      </c>
      <c r="P124" s="40" t="s">
        <v>47</v>
      </c>
      <c r="Q124" s="44">
        <v>100</v>
      </c>
      <c r="R124" s="37">
        <v>0</v>
      </c>
      <c r="S124" s="37" t="s">
        <v>1964</v>
      </c>
      <c r="T124" s="48">
        <v>60</v>
      </c>
      <c r="U124" s="30">
        <v>26.79</v>
      </c>
      <c r="V124" s="41">
        <v>1607.3999999999999</v>
      </c>
      <c r="W124" s="41">
        <v>174845</v>
      </c>
      <c r="X124" s="41">
        <v>174845</v>
      </c>
      <c r="Y124" s="41">
        <v>0</v>
      </c>
      <c r="Z124" s="41">
        <v>0</v>
      </c>
      <c r="AA124" s="41">
        <v>0</v>
      </c>
      <c r="AB124" s="41">
        <v>0</v>
      </c>
      <c r="AC124" s="41">
        <v>0</v>
      </c>
      <c r="AD124" s="41">
        <v>0</v>
      </c>
      <c r="AE124" s="41">
        <v>0</v>
      </c>
      <c r="AF124" s="41">
        <v>0</v>
      </c>
      <c r="AG124" s="41">
        <v>0</v>
      </c>
      <c r="AH124" s="41">
        <v>0</v>
      </c>
      <c r="AI124" s="41">
        <v>0</v>
      </c>
      <c r="AJ124" s="41">
        <v>0</v>
      </c>
      <c r="AK124" s="41">
        <v>0</v>
      </c>
      <c r="AL124" s="41">
        <v>0</v>
      </c>
      <c r="AM124" s="41">
        <v>0</v>
      </c>
      <c r="AN124" s="41">
        <v>2914.0833333333335</v>
      </c>
      <c r="AO124" s="41">
        <v>2915</v>
      </c>
      <c r="AP124" s="40"/>
      <c r="AQ124" s="36">
        <v>45122</v>
      </c>
      <c r="AR124" s="36"/>
      <c r="AS124" s="36"/>
      <c r="AT124" s="36">
        <v>45137</v>
      </c>
      <c r="AU124" s="36"/>
      <c r="AV124" s="38"/>
      <c r="AW124" s="40" t="s">
        <v>49</v>
      </c>
    </row>
    <row r="125" spans="1:49" ht="54" customHeight="1" x14ac:dyDescent="0.3">
      <c r="A125" s="35" t="s">
        <v>3402</v>
      </c>
      <c r="B125" s="38">
        <v>45084</v>
      </c>
      <c r="C125" s="40" t="s">
        <v>162</v>
      </c>
      <c r="D125" s="39" t="s">
        <v>3403</v>
      </c>
      <c r="E125" s="1" t="s">
        <v>3404</v>
      </c>
      <c r="F125" s="36">
        <v>45107</v>
      </c>
      <c r="G125" s="35" t="s">
        <v>3405</v>
      </c>
      <c r="H125" s="40" t="s">
        <v>571</v>
      </c>
      <c r="I125" s="40" t="s">
        <v>3406</v>
      </c>
      <c r="J125" s="57">
        <v>6287492.75</v>
      </c>
      <c r="K125" s="41">
        <v>1841288.75</v>
      </c>
      <c r="L125" s="30">
        <v>1841288.75</v>
      </c>
      <c r="M125" s="30">
        <v>1841288.75</v>
      </c>
      <c r="N125" s="40" t="s">
        <v>3261</v>
      </c>
      <c r="O125" s="40" t="s">
        <v>3407</v>
      </c>
      <c r="P125" s="40" t="s">
        <v>47</v>
      </c>
      <c r="Q125" s="44">
        <v>100</v>
      </c>
      <c r="R125" s="37">
        <v>0</v>
      </c>
      <c r="S125" s="37" t="s">
        <v>1964</v>
      </c>
      <c r="T125" s="48">
        <v>30</v>
      </c>
      <c r="U125" s="30">
        <v>8.15</v>
      </c>
      <c r="V125" s="41">
        <v>244.5</v>
      </c>
      <c r="W125" s="41">
        <v>225925</v>
      </c>
      <c r="X125" s="41">
        <v>225925</v>
      </c>
      <c r="Y125" s="41">
        <v>0</v>
      </c>
      <c r="Z125" s="41">
        <v>0</v>
      </c>
      <c r="AA125" s="41">
        <v>0</v>
      </c>
      <c r="AB125" s="41">
        <v>0</v>
      </c>
      <c r="AC125" s="41">
        <v>0</v>
      </c>
      <c r="AD125" s="41">
        <v>0</v>
      </c>
      <c r="AE125" s="41">
        <v>0</v>
      </c>
      <c r="AF125" s="41">
        <v>0</v>
      </c>
      <c r="AG125" s="41">
        <v>0</v>
      </c>
      <c r="AH125" s="41">
        <v>0</v>
      </c>
      <c r="AI125" s="41">
        <v>0</v>
      </c>
      <c r="AJ125" s="41">
        <v>0</v>
      </c>
      <c r="AK125" s="41">
        <v>0</v>
      </c>
      <c r="AL125" s="41">
        <v>0</v>
      </c>
      <c r="AM125" s="41">
        <v>0</v>
      </c>
      <c r="AN125" s="41">
        <v>7530.833333333333</v>
      </c>
      <c r="AO125" s="41">
        <v>7531</v>
      </c>
      <c r="AP125" s="40"/>
      <c r="AQ125" s="36">
        <v>45122</v>
      </c>
      <c r="AR125" s="36"/>
      <c r="AS125" s="36"/>
      <c r="AT125" s="36">
        <v>45137</v>
      </c>
      <c r="AU125" s="36"/>
      <c r="AV125" s="38"/>
      <c r="AW125" s="40" t="s">
        <v>87</v>
      </c>
    </row>
    <row r="126" spans="1:49" s="34" customFormat="1" ht="54" customHeight="1" x14ac:dyDescent="0.3">
      <c r="A126" s="35" t="s">
        <v>3408</v>
      </c>
      <c r="B126" s="38">
        <v>45086</v>
      </c>
      <c r="C126" s="40" t="s">
        <v>162</v>
      </c>
      <c r="D126" s="39" t="s">
        <v>459</v>
      </c>
      <c r="E126" s="1" t="s">
        <v>3409</v>
      </c>
      <c r="F126" s="36" t="s">
        <v>459</v>
      </c>
      <c r="G126" s="35" t="s">
        <v>459</v>
      </c>
      <c r="H126" s="40" t="s">
        <v>459</v>
      </c>
      <c r="I126" s="40" t="s">
        <v>1250</v>
      </c>
      <c r="J126" s="57">
        <v>16713</v>
      </c>
      <c r="K126" s="41">
        <v>0</v>
      </c>
      <c r="L126" s="30">
        <v>0</v>
      </c>
      <c r="M126" s="30">
        <v>0</v>
      </c>
      <c r="N126" s="40"/>
      <c r="O126" s="40"/>
      <c r="P126" s="40"/>
      <c r="Q126" s="44"/>
      <c r="R126" s="37"/>
      <c r="S126" s="37"/>
      <c r="T126" s="48"/>
      <c r="U126" s="30" t="e">
        <v>#DIV/0!</v>
      </c>
      <c r="V126" s="41" t="e">
        <v>#DIV/0!</v>
      </c>
      <c r="W126" s="41">
        <v>0</v>
      </c>
      <c r="X126" s="41">
        <v>0</v>
      </c>
      <c r="Y126" s="41">
        <v>0</v>
      </c>
      <c r="Z126" s="41" t="e">
        <v>#DIV/0!</v>
      </c>
      <c r="AA126" s="41">
        <v>0</v>
      </c>
      <c r="AB126" s="41" t="e">
        <v>#DIV/0!</v>
      </c>
      <c r="AC126" s="41">
        <v>0</v>
      </c>
      <c r="AD126" s="41">
        <v>0</v>
      </c>
      <c r="AE126" s="41" t="e">
        <v>#DIV/0!</v>
      </c>
      <c r="AF126" s="41">
        <v>0</v>
      </c>
      <c r="AG126" s="41" t="e">
        <v>#DIV/0!</v>
      </c>
      <c r="AH126" s="41">
        <v>0</v>
      </c>
      <c r="AI126" s="41">
        <v>0</v>
      </c>
      <c r="AJ126" s="41">
        <v>0</v>
      </c>
      <c r="AK126" s="41">
        <v>0</v>
      </c>
      <c r="AL126" s="41">
        <v>0</v>
      </c>
      <c r="AM126" s="41" t="e">
        <v>#DIV/0!</v>
      </c>
      <c r="AN126" s="41" t="e">
        <v>#DIV/0!</v>
      </c>
      <c r="AO126" s="41" t="e">
        <v>#DIV/0!</v>
      </c>
      <c r="AP126" s="40"/>
      <c r="AQ126" s="36">
        <v>45122</v>
      </c>
      <c r="AR126" s="36"/>
      <c r="AS126" s="36"/>
      <c r="AT126" s="36"/>
      <c r="AU126" s="36"/>
      <c r="AV126" s="38"/>
      <c r="AW126" s="40"/>
    </row>
    <row r="127" spans="1:49" s="34" customFormat="1" ht="45" customHeight="1" x14ac:dyDescent="0.3">
      <c r="A127" s="35" t="s">
        <v>3410</v>
      </c>
      <c r="B127" s="38">
        <v>45086</v>
      </c>
      <c r="C127" s="40" t="s">
        <v>162</v>
      </c>
      <c r="D127" s="39" t="s">
        <v>3411</v>
      </c>
      <c r="E127" s="1" t="s">
        <v>3412</v>
      </c>
      <c r="F127" s="36">
        <v>45110</v>
      </c>
      <c r="G127" s="37" t="s">
        <v>3413</v>
      </c>
      <c r="H127" s="40" t="s">
        <v>177</v>
      </c>
      <c r="I127" s="40" t="s">
        <v>1225</v>
      </c>
      <c r="J127" s="57">
        <v>9422020.4000000004</v>
      </c>
      <c r="K127" s="41">
        <v>9422020.4000000004</v>
      </c>
      <c r="L127" s="30">
        <v>9422020.4000000004</v>
      </c>
      <c r="M127" s="30">
        <v>9422020.4000000004</v>
      </c>
      <c r="N127" s="40" t="s">
        <v>3414</v>
      </c>
      <c r="O127" s="40" t="s">
        <v>3415</v>
      </c>
      <c r="P127" s="40" t="s">
        <v>47</v>
      </c>
      <c r="Q127" s="44">
        <v>100</v>
      </c>
      <c r="R127" s="37">
        <v>0</v>
      </c>
      <c r="S127" s="37" t="s">
        <v>1964</v>
      </c>
      <c r="T127" s="48">
        <v>120</v>
      </c>
      <c r="U127" s="30">
        <v>37.67</v>
      </c>
      <c r="V127" s="41">
        <v>4520.4000000000005</v>
      </c>
      <c r="W127" s="41">
        <v>250120</v>
      </c>
      <c r="X127" s="41">
        <v>250120</v>
      </c>
      <c r="Y127" s="41">
        <v>0</v>
      </c>
      <c r="Z127" s="41">
        <v>0</v>
      </c>
      <c r="AA127" s="41">
        <v>0</v>
      </c>
      <c r="AB127" s="41">
        <v>0</v>
      </c>
      <c r="AC127" s="41">
        <v>0</v>
      </c>
      <c r="AD127" s="41">
        <v>0</v>
      </c>
      <c r="AE127" s="41">
        <v>0</v>
      </c>
      <c r="AF127" s="41">
        <v>0</v>
      </c>
      <c r="AG127" s="41">
        <v>0</v>
      </c>
      <c r="AH127" s="41">
        <v>0</v>
      </c>
      <c r="AI127" s="41">
        <v>0</v>
      </c>
      <c r="AJ127" s="41">
        <v>0</v>
      </c>
      <c r="AK127" s="41">
        <v>0</v>
      </c>
      <c r="AL127" s="41">
        <v>0</v>
      </c>
      <c r="AM127" s="41">
        <v>0</v>
      </c>
      <c r="AN127" s="41">
        <v>2084.3333333333335</v>
      </c>
      <c r="AO127" s="41">
        <v>2085</v>
      </c>
      <c r="AP127" s="40"/>
      <c r="AQ127" s="36">
        <v>45122</v>
      </c>
      <c r="AR127" s="36"/>
      <c r="AS127" s="36"/>
      <c r="AT127" s="36">
        <v>45137</v>
      </c>
      <c r="AU127" s="36"/>
      <c r="AV127" s="38"/>
      <c r="AW127" s="40" t="s">
        <v>87</v>
      </c>
    </row>
    <row r="128" spans="1:49" s="34" customFormat="1" ht="45" customHeight="1" x14ac:dyDescent="0.3">
      <c r="A128" s="35" t="s">
        <v>3416</v>
      </c>
      <c r="B128" s="38">
        <v>45086</v>
      </c>
      <c r="C128" s="40" t="s">
        <v>162</v>
      </c>
      <c r="D128" s="39" t="s">
        <v>3417</v>
      </c>
      <c r="E128" s="1" t="s">
        <v>3418</v>
      </c>
      <c r="F128" s="36">
        <v>45110</v>
      </c>
      <c r="G128" s="37" t="s">
        <v>3419</v>
      </c>
      <c r="H128" s="40" t="s">
        <v>186</v>
      </c>
      <c r="I128" s="40" t="s">
        <v>1166</v>
      </c>
      <c r="J128" s="57">
        <v>9369079.6500000004</v>
      </c>
      <c r="K128" s="41">
        <v>9369079.6500000004</v>
      </c>
      <c r="L128" s="30">
        <v>9369079.6500000004</v>
      </c>
      <c r="M128" s="30">
        <v>9369079.6500000004</v>
      </c>
      <c r="N128" s="40" t="s">
        <v>2320</v>
      </c>
      <c r="O128" s="40" t="s">
        <v>2321</v>
      </c>
      <c r="P128" s="40" t="s">
        <v>47</v>
      </c>
      <c r="Q128" s="44">
        <v>100</v>
      </c>
      <c r="R128" s="37">
        <v>0</v>
      </c>
      <c r="S128" s="37" t="s">
        <v>1964</v>
      </c>
      <c r="T128" s="48">
        <v>30</v>
      </c>
      <c r="U128" s="30">
        <v>183.33</v>
      </c>
      <c r="V128" s="41">
        <v>5499.9000000000005</v>
      </c>
      <c r="W128" s="41">
        <v>51105</v>
      </c>
      <c r="X128" s="41">
        <v>51105</v>
      </c>
      <c r="Y128" s="41">
        <v>0</v>
      </c>
      <c r="Z128" s="41">
        <v>0</v>
      </c>
      <c r="AA128" s="41">
        <v>0</v>
      </c>
      <c r="AB128" s="41">
        <v>0</v>
      </c>
      <c r="AC128" s="41">
        <v>0</v>
      </c>
      <c r="AD128" s="41">
        <v>0</v>
      </c>
      <c r="AE128" s="41">
        <v>0</v>
      </c>
      <c r="AF128" s="41">
        <v>0</v>
      </c>
      <c r="AG128" s="41">
        <v>0</v>
      </c>
      <c r="AH128" s="41">
        <v>0</v>
      </c>
      <c r="AI128" s="41">
        <v>0</v>
      </c>
      <c r="AJ128" s="41">
        <v>0</v>
      </c>
      <c r="AK128" s="41">
        <v>0</v>
      </c>
      <c r="AL128" s="41">
        <v>0</v>
      </c>
      <c r="AM128" s="41">
        <v>0</v>
      </c>
      <c r="AN128" s="41">
        <v>1703.5</v>
      </c>
      <c r="AO128" s="41">
        <v>1704</v>
      </c>
      <c r="AP128" s="40"/>
      <c r="AQ128" s="36">
        <v>45122</v>
      </c>
      <c r="AR128" s="36"/>
      <c r="AS128" s="36"/>
      <c r="AT128" s="36">
        <v>45137</v>
      </c>
      <c r="AU128" s="36"/>
      <c r="AV128" s="38"/>
      <c r="AW128" s="40" t="s">
        <v>49</v>
      </c>
    </row>
    <row r="129" spans="1:49" s="34" customFormat="1" ht="45" customHeight="1" x14ac:dyDescent="0.3">
      <c r="A129" s="35" t="s">
        <v>3420</v>
      </c>
      <c r="B129" s="38">
        <v>45086</v>
      </c>
      <c r="C129" s="40" t="s">
        <v>162</v>
      </c>
      <c r="D129" s="39" t="s">
        <v>459</v>
      </c>
      <c r="E129" s="1" t="s">
        <v>3421</v>
      </c>
      <c r="F129" s="36" t="s">
        <v>459</v>
      </c>
      <c r="G129" s="37" t="s">
        <v>459</v>
      </c>
      <c r="H129" s="40" t="s">
        <v>459</v>
      </c>
      <c r="I129" s="40" t="s">
        <v>3422</v>
      </c>
      <c r="J129" s="57">
        <v>806733.6</v>
      </c>
      <c r="K129" s="41">
        <v>0</v>
      </c>
      <c r="L129" s="30">
        <v>0</v>
      </c>
      <c r="M129" s="30">
        <v>0</v>
      </c>
      <c r="N129" s="40"/>
      <c r="O129" s="40"/>
      <c r="P129" s="40"/>
      <c r="Q129" s="44"/>
      <c r="R129" s="37"/>
      <c r="S129" s="37"/>
      <c r="T129" s="48"/>
      <c r="U129" s="30" t="e">
        <v>#DIV/0!</v>
      </c>
      <c r="V129" s="41" t="e">
        <v>#DIV/0!</v>
      </c>
      <c r="W129" s="41">
        <v>0</v>
      </c>
      <c r="X129" s="41">
        <v>0</v>
      </c>
      <c r="Y129" s="41">
        <v>0</v>
      </c>
      <c r="Z129" s="41" t="e">
        <v>#DIV/0!</v>
      </c>
      <c r="AA129" s="41">
        <v>0</v>
      </c>
      <c r="AB129" s="41" t="e">
        <v>#DIV/0!</v>
      </c>
      <c r="AC129" s="41">
        <v>0</v>
      </c>
      <c r="AD129" s="41">
        <v>0</v>
      </c>
      <c r="AE129" s="41" t="e">
        <v>#DIV/0!</v>
      </c>
      <c r="AF129" s="41">
        <v>0</v>
      </c>
      <c r="AG129" s="41" t="e">
        <v>#DIV/0!</v>
      </c>
      <c r="AH129" s="41">
        <v>0</v>
      </c>
      <c r="AI129" s="41">
        <v>0</v>
      </c>
      <c r="AJ129" s="41">
        <v>0</v>
      </c>
      <c r="AK129" s="41">
        <v>0</v>
      </c>
      <c r="AL129" s="41">
        <v>0</v>
      </c>
      <c r="AM129" s="41" t="e">
        <v>#DIV/0!</v>
      </c>
      <c r="AN129" s="41" t="e">
        <v>#DIV/0!</v>
      </c>
      <c r="AO129" s="41" t="e">
        <v>#DIV/0!</v>
      </c>
      <c r="AP129" s="40"/>
      <c r="AQ129" s="36">
        <v>45122</v>
      </c>
      <c r="AR129" s="36"/>
      <c r="AS129" s="36"/>
      <c r="AT129" s="36"/>
      <c r="AU129" s="36"/>
      <c r="AV129" s="38"/>
      <c r="AW129" s="40"/>
    </row>
    <row r="130" spans="1:49" s="34" customFormat="1" ht="45" customHeight="1" x14ac:dyDescent="0.3">
      <c r="A130" s="35" t="s">
        <v>3423</v>
      </c>
      <c r="B130" s="38">
        <v>45086</v>
      </c>
      <c r="C130" s="40" t="s">
        <v>162</v>
      </c>
      <c r="D130" s="39" t="s">
        <v>459</v>
      </c>
      <c r="E130" s="1" t="s">
        <v>3424</v>
      </c>
      <c r="F130" s="36" t="s">
        <v>459</v>
      </c>
      <c r="G130" s="37" t="s">
        <v>459</v>
      </c>
      <c r="H130" s="40" t="s">
        <v>459</v>
      </c>
      <c r="I130" s="40" t="s">
        <v>2053</v>
      </c>
      <c r="J130" s="57">
        <v>18499.2</v>
      </c>
      <c r="K130" s="41">
        <v>0</v>
      </c>
      <c r="L130" s="30">
        <v>0</v>
      </c>
      <c r="M130" s="30">
        <v>0</v>
      </c>
      <c r="N130" s="40"/>
      <c r="O130" s="40"/>
      <c r="P130" s="40"/>
      <c r="Q130" s="44"/>
      <c r="R130" s="37"/>
      <c r="S130" s="37"/>
      <c r="T130" s="48"/>
      <c r="U130" s="30" t="e">
        <v>#DIV/0!</v>
      </c>
      <c r="V130" s="41" t="e">
        <v>#DIV/0!</v>
      </c>
      <c r="W130" s="41">
        <v>0</v>
      </c>
      <c r="X130" s="41">
        <v>0</v>
      </c>
      <c r="Y130" s="41">
        <v>0</v>
      </c>
      <c r="Z130" s="41" t="e">
        <v>#DIV/0!</v>
      </c>
      <c r="AA130" s="41">
        <v>0</v>
      </c>
      <c r="AB130" s="41" t="e">
        <v>#DIV/0!</v>
      </c>
      <c r="AC130" s="41">
        <v>0</v>
      </c>
      <c r="AD130" s="41">
        <v>0</v>
      </c>
      <c r="AE130" s="41" t="e">
        <v>#DIV/0!</v>
      </c>
      <c r="AF130" s="41">
        <v>0</v>
      </c>
      <c r="AG130" s="41" t="e">
        <v>#DIV/0!</v>
      </c>
      <c r="AH130" s="41">
        <v>0</v>
      </c>
      <c r="AI130" s="41">
        <v>0</v>
      </c>
      <c r="AJ130" s="41">
        <v>0</v>
      </c>
      <c r="AK130" s="41">
        <v>0</v>
      </c>
      <c r="AL130" s="41">
        <v>0</v>
      </c>
      <c r="AM130" s="41" t="e">
        <v>#DIV/0!</v>
      </c>
      <c r="AN130" s="41" t="e">
        <v>#DIV/0!</v>
      </c>
      <c r="AO130" s="41" t="e">
        <v>#DIV/0!</v>
      </c>
      <c r="AP130" s="40"/>
      <c r="AQ130" s="36">
        <v>45122</v>
      </c>
      <c r="AR130" s="36"/>
      <c r="AS130" s="36"/>
      <c r="AT130" s="36"/>
      <c r="AU130" s="36"/>
      <c r="AV130" s="38"/>
      <c r="AW130" s="40"/>
    </row>
    <row r="131" spans="1:49" s="34" customFormat="1" ht="45" customHeight="1" x14ac:dyDescent="0.3">
      <c r="A131" s="35" t="s">
        <v>3425</v>
      </c>
      <c r="B131" s="38">
        <v>45086</v>
      </c>
      <c r="C131" s="40" t="s">
        <v>162</v>
      </c>
      <c r="D131" s="39" t="s">
        <v>3426</v>
      </c>
      <c r="E131" s="1" t="s">
        <v>3427</v>
      </c>
      <c r="F131" s="36">
        <v>45110</v>
      </c>
      <c r="G131" s="37" t="s">
        <v>3428</v>
      </c>
      <c r="H131" s="40" t="s">
        <v>571</v>
      </c>
      <c r="I131" s="40" t="s">
        <v>3429</v>
      </c>
      <c r="J131" s="57">
        <v>1197900.2</v>
      </c>
      <c r="K131" s="41">
        <v>1197900.2</v>
      </c>
      <c r="L131" s="30">
        <v>1197900.2</v>
      </c>
      <c r="M131" s="30">
        <v>1197900.2</v>
      </c>
      <c r="N131" s="40" t="s">
        <v>1142</v>
      </c>
      <c r="O131" s="40" t="s">
        <v>3430</v>
      </c>
      <c r="P131" s="40" t="s">
        <v>47</v>
      </c>
      <c r="Q131" s="44">
        <v>100</v>
      </c>
      <c r="R131" s="37">
        <v>0</v>
      </c>
      <c r="S131" s="37" t="s">
        <v>1964</v>
      </c>
      <c r="T131" s="48">
        <v>60</v>
      </c>
      <c r="U131" s="30">
        <v>6.7399999999999993</v>
      </c>
      <c r="V131" s="41">
        <v>404.4</v>
      </c>
      <c r="W131" s="41">
        <v>177730</v>
      </c>
      <c r="X131" s="41">
        <v>177730</v>
      </c>
      <c r="Y131" s="41">
        <v>0</v>
      </c>
      <c r="Z131" s="41">
        <v>0</v>
      </c>
      <c r="AA131" s="41">
        <v>0</v>
      </c>
      <c r="AB131" s="41">
        <v>0</v>
      </c>
      <c r="AC131" s="41">
        <v>0</v>
      </c>
      <c r="AD131" s="41">
        <v>0</v>
      </c>
      <c r="AE131" s="41">
        <v>0</v>
      </c>
      <c r="AF131" s="41">
        <v>0</v>
      </c>
      <c r="AG131" s="41">
        <v>0</v>
      </c>
      <c r="AH131" s="41">
        <v>0</v>
      </c>
      <c r="AI131" s="41">
        <v>0</v>
      </c>
      <c r="AJ131" s="41">
        <v>0</v>
      </c>
      <c r="AK131" s="41">
        <v>0</v>
      </c>
      <c r="AL131" s="41">
        <v>0</v>
      </c>
      <c r="AM131" s="41">
        <v>0</v>
      </c>
      <c r="AN131" s="41">
        <v>2962.1666666666665</v>
      </c>
      <c r="AO131" s="41">
        <v>2963</v>
      </c>
      <c r="AP131" s="40"/>
      <c r="AQ131" s="36">
        <v>45122</v>
      </c>
      <c r="AR131" s="36"/>
      <c r="AS131" s="36"/>
      <c r="AT131" s="36">
        <v>45137</v>
      </c>
      <c r="AU131" s="36"/>
      <c r="AV131" s="38"/>
      <c r="AW131" s="40" t="s">
        <v>87</v>
      </c>
    </row>
    <row r="132" spans="1:49" s="34" customFormat="1" ht="45" customHeight="1" x14ac:dyDescent="0.3">
      <c r="A132" s="35" t="s">
        <v>3431</v>
      </c>
      <c r="B132" s="38">
        <v>45086</v>
      </c>
      <c r="C132" s="40" t="s">
        <v>162</v>
      </c>
      <c r="D132" s="39" t="s">
        <v>459</v>
      </c>
      <c r="E132" s="1" t="s">
        <v>3432</v>
      </c>
      <c r="F132" s="36" t="s">
        <v>459</v>
      </c>
      <c r="G132" s="37" t="s">
        <v>459</v>
      </c>
      <c r="H132" s="40" t="s">
        <v>459</v>
      </c>
      <c r="I132" s="40" t="s">
        <v>1196</v>
      </c>
      <c r="J132" s="57">
        <v>2889976.87</v>
      </c>
      <c r="K132" s="41">
        <v>0</v>
      </c>
      <c r="L132" s="30">
        <v>0</v>
      </c>
      <c r="M132" s="30">
        <v>0</v>
      </c>
      <c r="N132" s="40"/>
      <c r="O132" s="40"/>
      <c r="P132" s="40"/>
      <c r="Q132" s="44"/>
      <c r="R132" s="37"/>
      <c r="S132" s="37"/>
      <c r="T132" s="48"/>
      <c r="U132" s="30" t="e">
        <v>#DIV/0!</v>
      </c>
      <c r="V132" s="41" t="e">
        <v>#DIV/0!</v>
      </c>
      <c r="W132" s="41">
        <v>0</v>
      </c>
      <c r="X132" s="41">
        <v>0</v>
      </c>
      <c r="Y132" s="41">
        <v>0</v>
      </c>
      <c r="Z132" s="41" t="e">
        <v>#DIV/0!</v>
      </c>
      <c r="AA132" s="41">
        <v>0</v>
      </c>
      <c r="AB132" s="41" t="e">
        <v>#DIV/0!</v>
      </c>
      <c r="AC132" s="41">
        <v>0</v>
      </c>
      <c r="AD132" s="41">
        <v>0</v>
      </c>
      <c r="AE132" s="41" t="e">
        <v>#DIV/0!</v>
      </c>
      <c r="AF132" s="41">
        <v>0</v>
      </c>
      <c r="AG132" s="41" t="e">
        <v>#DIV/0!</v>
      </c>
      <c r="AH132" s="41">
        <v>0</v>
      </c>
      <c r="AI132" s="41">
        <v>0</v>
      </c>
      <c r="AJ132" s="41">
        <v>0</v>
      </c>
      <c r="AK132" s="41">
        <v>0</v>
      </c>
      <c r="AL132" s="41">
        <v>0</v>
      </c>
      <c r="AM132" s="41" t="e">
        <v>#DIV/0!</v>
      </c>
      <c r="AN132" s="41" t="e">
        <v>#DIV/0!</v>
      </c>
      <c r="AO132" s="41" t="e">
        <v>#DIV/0!</v>
      </c>
      <c r="AP132" s="40"/>
      <c r="AQ132" s="36">
        <v>45122</v>
      </c>
      <c r="AR132" s="36"/>
      <c r="AS132" s="36"/>
      <c r="AT132" s="36"/>
      <c r="AU132" s="36"/>
      <c r="AV132" s="38"/>
      <c r="AW132" s="40"/>
    </row>
    <row r="133" spans="1:49" s="34" customFormat="1" ht="45" customHeight="1" x14ac:dyDescent="0.3">
      <c r="A133" s="35" t="s">
        <v>3433</v>
      </c>
      <c r="B133" s="38">
        <v>45086</v>
      </c>
      <c r="C133" s="40" t="s">
        <v>162</v>
      </c>
      <c r="D133" s="39" t="s">
        <v>3434</v>
      </c>
      <c r="E133" s="1" t="s">
        <v>3435</v>
      </c>
      <c r="F133" s="36">
        <v>45110</v>
      </c>
      <c r="G133" s="37" t="s">
        <v>3436</v>
      </c>
      <c r="H133" s="40" t="s">
        <v>555</v>
      </c>
      <c r="I133" s="40" t="s">
        <v>3437</v>
      </c>
      <c r="J133" s="57">
        <v>67536</v>
      </c>
      <c r="K133" s="41">
        <v>66993.3</v>
      </c>
      <c r="L133" s="30">
        <v>66993.3</v>
      </c>
      <c r="M133" s="30">
        <v>66993.3</v>
      </c>
      <c r="N133" s="40" t="s">
        <v>1219</v>
      </c>
      <c r="O133" s="40" t="s">
        <v>3438</v>
      </c>
      <c r="P133" s="40" t="s">
        <v>47</v>
      </c>
      <c r="Q133" s="44">
        <v>100</v>
      </c>
      <c r="R133" s="37">
        <v>0</v>
      </c>
      <c r="S133" s="37" t="s">
        <v>219</v>
      </c>
      <c r="T133" s="48">
        <v>300</v>
      </c>
      <c r="U133" s="30">
        <v>22.11</v>
      </c>
      <c r="V133" s="41">
        <v>6633</v>
      </c>
      <c r="W133" s="41">
        <v>3030</v>
      </c>
      <c r="X133" s="41">
        <v>3030</v>
      </c>
      <c r="Y133" s="41">
        <v>0</v>
      </c>
      <c r="Z133" s="41">
        <v>0</v>
      </c>
      <c r="AA133" s="41">
        <v>0</v>
      </c>
      <c r="AB133" s="41">
        <v>0</v>
      </c>
      <c r="AC133" s="41">
        <v>0</v>
      </c>
      <c r="AD133" s="41">
        <v>0</v>
      </c>
      <c r="AE133" s="41">
        <v>0</v>
      </c>
      <c r="AF133" s="41">
        <v>0</v>
      </c>
      <c r="AG133" s="41">
        <v>0</v>
      </c>
      <c r="AH133" s="41">
        <v>0</v>
      </c>
      <c r="AI133" s="41">
        <v>0</v>
      </c>
      <c r="AJ133" s="41">
        <v>0</v>
      </c>
      <c r="AK133" s="41">
        <v>0</v>
      </c>
      <c r="AL133" s="41">
        <v>0</v>
      </c>
      <c r="AM133" s="41">
        <v>0</v>
      </c>
      <c r="AN133" s="41">
        <v>10.1</v>
      </c>
      <c r="AO133" s="41">
        <v>11</v>
      </c>
      <c r="AP133" s="40"/>
      <c r="AQ133" s="36">
        <v>45122</v>
      </c>
      <c r="AR133" s="36"/>
      <c r="AS133" s="36"/>
      <c r="AT133" s="36">
        <v>45137</v>
      </c>
      <c r="AU133" s="36"/>
      <c r="AV133" s="38"/>
      <c r="AW133" s="40" t="s">
        <v>49</v>
      </c>
    </row>
    <row r="134" spans="1:49" s="34" customFormat="1" ht="45" customHeight="1" x14ac:dyDescent="0.3">
      <c r="A134" s="35" t="s">
        <v>3439</v>
      </c>
      <c r="B134" s="38">
        <v>45086</v>
      </c>
      <c r="C134" s="40" t="s">
        <v>162</v>
      </c>
      <c r="D134" s="39" t="s">
        <v>3440</v>
      </c>
      <c r="E134" s="1" t="s">
        <v>3441</v>
      </c>
      <c r="F134" s="36">
        <v>45110</v>
      </c>
      <c r="G134" s="37" t="s">
        <v>3442</v>
      </c>
      <c r="H134" s="40" t="s">
        <v>555</v>
      </c>
      <c r="I134" s="40" t="s">
        <v>2269</v>
      </c>
      <c r="J134" s="57">
        <v>140640</v>
      </c>
      <c r="K134" s="41">
        <v>135366</v>
      </c>
      <c r="L134" s="30">
        <v>135366</v>
      </c>
      <c r="M134" s="30">
        <v>135366</v>
      </c>
      <c r="N134" s="40" t="s">
        <v>1114</v>
      </c>
      <c r="O134" s="40" t="s">
        <v>1115</v>
      </c>
      <c r="P134" s="40" t="s">
        <v>47</v>
      </c>
      <c r="Q134" s="44">
        <v>100</v>
      </c>
      <c r="R134" s="37">
        <v>0</v>
      </c>
      <c r="S134" s="37" t="s">
        <v>219</v>
      </c>
      <c r="T134" s="48">
        <v>200</v>
      </c>
      <c r="U134" s="30">
        <v>2.31</v>
      </c>
      <c r="V134" s="41">
        <v>462</v>
      </c>
      <c r="W134" s="41">
        <v>58600</v>
      </c>
      <c r="X134" s="41">
        <v>58600</v>
      </c>
      <c r="Y134" s="41">
        <v>0</v>
      </c>
      <c r="Z134" s="41">
        <v>0</v>
      </c>
      <c r="AA134" s="41">
        <v>0</v>
      </c>
      <c r="AB134" s="41">
        <v>0</v>
      </c>
      <c r="AC134" s="41">
        <v>0</v>
      </c>
      <c r="AD134" s="41">
        <v>0</v>
      </c>
      <c r="AE134" s="41">
        <v>0</v>
      </c>
      <c r="AF134" s="41">
        <v>0</v>
      </c>
      <c r="AG134" s="41">
        <v>0</v>
      </c>
      <c r="AH134" s="41">
        <v>0</v>
      </c>
      <c r="AI134" s="41">
        <v>0</v>
      </c>
      <c r="AJ134" s="41">
        <v>0</v>
      </c>
      <c r="AK134" s="41">
        <v>0</v>
      </c>
      <c r="AL134" s="41">
        <v>0</v>
      </c>
      <c r="AM134" s="41">
        <v>0</v>
      </c>
      <c r="AN134" s="41">
        <v>293</v>
      </c>
      <c r="AO134" s="41">
        <v>293</v>
      </c>
      <c r="AP134" s="40"/>
      <c r="AQ134" s="36">
        <v>45122</v>
      </c>
      <c r="AR134" s="36"/>
      <c r="AS134" s="36"/>
      <c r="AT134" s="36">
        <v>45137</v>
      </c>
      <c r="AU134" s="36"/>
      <c r="AV134" s="38"/>
      <c r="AW134" s="40" t="s">
        <v>49</v>
      </c>
    </row>
    <row r="135" spans="1:49" s="34" customFormat="1" ht="45" customHeight="1" x14ac:dyDescent="0.3">
      <c r="A135" s="35" t="s">
        <v>3443</v>
      </c>
      <c r="B135" s="38">
        <v>45086</v>
      </c>
      <c r="C135" s="40" t="s">
        <v>162</v>
      </c>
      <c r="D135" s="39" t="s">
        <v>3444</v>
      </c>
      <c r="E135" s="1" t="s">
        <v>3445</v>
      </c>
      <c r="F135" s="36">
        <v>45114</v>
      </c>
      <c r="G135" s="37" t="s">
        <v>3446</v>
      </c>
      <c r="H135" s="40" t="s">
        <v>3447</v>
      </c>
      <c r="I135" s="40" t="s">
        <v>3448</v>
      </c>
      <c r="J135" s="57">
        <v>314075084.39999998</v>
      </c>
      <c r="K135" s="41">
        <v>314075084.39999998</v>
      </c>
      <c r="L135" s="30">
        <v>314075084.39999998</v>
      </c>
      <c r="M135" s="30">
        <v>314075084.39999998</v>
      </c>
      <c r="N135" s="40" t="s">
        <v>168</v>
      </c>
      <c r="O135" s="40" t="s">
        <v>3449</v>
      </c>
      <c r="P135" s="40" t="s">
        <v>47</v>
      </c>
      <c r="Q135" s="44">
        <v>100</v>
      </c>
      <c r="R135" s="37">
        <v>0</v>
      </c>
      <c r="S135" s="37" t="s">
        <v>3450</v>
      </c>
      <c r="T135" s="48">
        <v>30</v>
      </c>
      <c r="U135" s="30">
        <v>204.82</v>
      </c>
      <c r="V135" s="41">
        <v>6144.5999999999995</v>
      </c>
      <c r="W135" s="41">
        <v>1533420</v>
      </c>
      <c r="X135" s="41">
        <v>1533420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v>0</v>
      </c>
      <c r="AN135" s="41">
        <v>51114</v>
      </c>
      <c r="AO135" s="41">
        <v>51114</v>
      </c>
      <c r="AP135" s="40"/>
      <c r="AQ135" s="36">
        <v>45122</v>
      </c>
      <c r="AR135" s="36"/>
      <c r="AS135" s="36"/>
      <c r="AT135" s="36">
        <v>45137</v>
      </c>
      <c r="AU135" s="36"/>
      <c r="AV135" s="38"/>
      <c r="AW135" s="40" t="s">
        <v>87</v>
      </c>
    </row>
    <row r="136" spans="1:49" ht="48" customHeight="1" x14ac:dyDescent="0.3">
      <c r="A136" s="35" t="s">
        <v>3600</v>
      </c>
      <c r="B136" s="38">
        <v>45106</v>
      </c>
      <c r="C136" s="40" t="s">
        <v>162</v>
      </c>
      <c r="D136" s="39" t="s">
        <v>459</v>
      </c>
      <c r="E136" s="1" t="s">
        <v>3601</v>
      </c>
      <c r="F136" s="36" t="s">
        <v>459</v>
      </c>
      <c r="G136" s="37" t="s">
        <v>459</v>
      </c>
      <c r="H136" s="40" t="s">
        <v>459</v>
      </c>
      <c r="I136" s="40" t="s">
        <v>2053</v>
      </c>
      <c r="J136" s="57">
        <v>30307.200000000001</v>
      </c>
      <c r="K136" s="41">
        <v>0</v>
      </c>
      <c r="L136" s="30">
        <v>0</v>
      </c>
      <c r="M136" s="30">
        <v>0</v>
      </c>
      <c r="N136" s="40"/>
      <c r="O136" s="40"/>
      <c r="P136" s="40"/>
      <c r="Q136" s="44"/>
      <c r="R136" s="37"/>
      <c r="S136" s="37"/>
      <c r="T136" s="48"/>
      <c r="U136" s="30" t="e">
        <v>#DIV/0!</v>
      </c>
      <c r="V136" s="41" t="e">
        <v>#DIV/0!</v>
      </c>
      <c r="W136" s="41">
        <v>0</v>
      </c>
      <c r="X136" s="41">
        <v>0</v>
      </c>
      <c r="Y136" s="41">
        <v>0</v>
      </c>
      <c r="Z136" s="41" t="e">
        <v>#DIV/0!</v>
      </c>
      <c r="AA136" s="41">
        <v>0</v>
      </c>
      <c r="AB136" s="41" t="e">
        <v>#DIV/0!</v>
      </c>
      <c r="AC136" s="41">
        <v>0</v>
      </c>
      <c r="AD136" s="41">
        <v>0</v>
      </c>
      <c r="AE136" s="41" t="e">
        <v>#DIV/0!</v>
      </c>
      <c r="AF136" s="41">
        <v>0</v>
      </c>
      <c r="AG136" s="41" t="e">
        <v>#DIV/0!</v>
      </c>
      <c r="AH136" s="41">
        <v>0</v>
      </c>
      <c r="AI136" s="41">
        <v>0</v>
      </c>
      <c r="AJ136" s="41">
        <v>0</v>
      </c>
      <c r="AK136" s="41">
        <v>0</v>
      </c>
      <c r="AL136" s="41">
        <v>0</v>
      </c>
      <c r="AM136" s="41" t="e">
        <v>#DIV/0!</v>
      </c>
      <c r="AN136" s="41" t="e">
        <v>#DIV/0!</v>
      </c>
      <c r="AO136" s="41" t="e">
        <v>#DIV/0!</v>
      </c>
      <c r="AP136" s="40"/>
      <c r="AQ136" s="36">
        <v>45138</v>
      </c>
      <c r="AR136" s="36"/>
      <c r="AS136" s="36"/>
      <c r="AT136" s="36"/>
      <c r="AU136" s="36"/>
      <c r="AV136" s="38"/>
      <c r="AW136" s="40"/>
    </row>
    <row r="137" spans="1:49" ht="48" customHeight="1" x14ac:dyDescent="0.3">
      <c r="A137" s="35" t="s">
        <v>3637</v>
      </c>
      <c r="B137" s="38">
        <v>45106</v>
      </c>
      <c r="C137" s="40" t="s">
        <v>1245</v>
      </c>
      <c r="D137" s="39" t="s">
        <v>3638</v>
      </c>
      <c r="E137" s="1" t="s">
        <v>3639</v>
      </c>
      <c r="F137" s="36">
        <v>45128</v>
      </c>
      <c r="G137" s="37" t="s">
        <v>3640</v>
      </c>
      <c r="H137" s="40" t="s">
        <v>571</v>
      </c>
      <c r="I137" s="40" t="s">
        <v>3641</v>
      </c>
      <c r="J137" s="57">
        <v>125683314.90000001</v>
      </c>
      <c r="K137" s="41">
        <v>32949894.829999998</v>
      </c>
      <c r="L137" s="30">
        <v>36553691.200000003</v>
      </c>
      <c r="M137" s="30">
        <v>36553691.200000003</v>
      </c>
      <c r="N137" s="40" t="s">
        <v>3642</v>
      </c>
      <c r="O137" s="40" t="s">
        <v>3643</v>
      </c>
      <c r="P137" s="40" t="s">
        <v>47</v>
      </c>
      <c r="Q137" s="44">
        <v>100</v>
      </c>
      <c r="R137" s="37">
        <v>0</v>
      </c>
      <c r="S137" s="37" t="s">
        <v>1964</v>
      </c>
      <c r="T137" s="48">
        <v>30</v>
      </c>
      <c r="U137" s="30">
        <v>4.8100000000000005</v>
      </c>
      <c r="V137" s="41">
        <v>144.30000000000001</v>
      </c>
      <c r="W137" s="41">
        <v>7599520</v>
      </c>
      <c r="X137" s="41">
        <v>7599520</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v>0</v>
      </c>
      <c r="AN137" s="41">
        <v>253317.33333333334</v>
      </c>
      <c r="AO137" s="41">
        <v>253318</v>
      </c>
      <c r="AP137" s="40"/>
      <c r="AQ137" s="36">
        <v>45214</v>
      </c>
      <c r="AR137" s="36"/>
      <c r="AS137" s="36"/>
      <c r="AT137" s="36">
        <v>45229</v>
      </c>
      <c r="AU137" s="36"/>
      <c r="AV137" s="38"/>
      <c r="AW137" s="40" t="s">
        <v>49</v>
      </c>
    </row>
    <row r="138" spans="1:49" s="34" customFormat="1" ht="48" customHeight="1" x14ac:dyDescent="0.3">
      <c r="A138" s="35" t="s">
        <v>3655</v>
      </c>
      <c r="B138" s="38">
        <v>45106</v>
      </c>
      <c r="C138" s="40" t="s">
        <v>162</v>
      </c>
      <c r="D138" s="39" t="s">
        <v>3656</v>
      </c>
      <c r="E138" s="1" t="s">
        <v>3657</v>
      </c>
      <c r="F138" s="36">
        <v>45128</v>
      </c>
      <c r="G138" s="37" t="s">
        <v>3658</v>
      </c>
      <c r="H138" s="40" t="s">
        <v>186</v>
      </c>
      <c r="I138" s="40" t="s">
        <v>3659</v>
      </c>
      <c r="J138" s="57">
        <v>1379365.68</v>
      </c>
      <c r="K138" s="41">
        <v>1379365.68</v>
      </c>
      <c r="L138" s="30">
        <v>1379365.68</v>
      </c>
      <c r="M138" s="30">
        <v>1379365.68</v>
      </c>
      <c r="N138" s="40" t="s">
        <v>3660</v>
      </c>
      <c r="O138" s="40" t="s">
        <v>3661</v>
      </c>
      <c r="P138" s="40" t="s">
        <v>47</v>
      </c>
      <c r="Q138" s="44">
        <v>100</v>
      </c>
      <c r="R138" s="37">
        <v>0</v>
      </c>
      <c r="S138" s="37" t="s">
        <v>1964</v>
      </c>
      <c r="T138" s="48">
        <v>28</v>
      </c>
      <c r="U138" s="30">
        <v>1492.82</v>
      </c>
      <c r="V138" s="41">
        <v>41798.959999999999</v>
      </c>
      <c r="W138" s="41">
        <v>924</v>
      </c>
      <c r="X138" s="41">
        <v>924</v>
      </c>
      <c r="Y138" s="41">
        <v>0</v>
      </c>
      <c r="Z138" s="41">
        <v>0</v>
      </c>
      <c r="AA138" s="41">
        <v>0</v>
      </c>
      <c r="AB138" s="41">
        <v>0</v>
      </c>
      <c r="AC138" s="41">
        <v>0</v>
      </c>
      <c r="AD138" s="41">
        <v>0</v>
      </c>
      <c r="AE138" s="41">
        <v>0</v>
      </c>
      <c r="AF138" s="41">
        <v>0</v>
      </c>
      <c r="AG138" s="41">
        <v>0</v>
      </c>
      <c r="AH138" s="41">
        <v>0</v>
      </c>
      <c r="AI138" s="41">
        <v>0</v>
      </c>
      <c r="AJ138" s="41">
        <v>0</v>
      </c>
      <c r="AK138" s="41">
        <v>0</v>
      </c>
      <c r="AL138" s="41">
        <v>0</v>
      </c>
      <c r="AM138" s="41">
        <v>0</v>
      </c>
      <c r="AN138" s="41">
        <v>33</v>
      </c>
      <c r="AO138" s="41">
        <v>33</v>
      </c>
      <c r="AP138" s="40"/>
      <c r="AQ138" s="36">
        <v>45169</v>
      </c>
      <c r="AR138" s="36"/>
      <c r="AS138" s="36"/>
      <c r="AT138" s="36">
        <v>45184</v>
      </c>
      <c r="AU138" s="36"/>
      <c r="AV138" s="38"/>
      <c r="AW138" s="40" t="s">
        <v>49</v>
      </c>
    </row>
    <row r="139" spans="1:49" s="34" customFormat="1" ht="48" customHeight="1" x14ac:dyDescent="0.3">
      <c r="A139" s="35" t="s">
        <v>3662</v>
      </c>
      <c r="B139" s="38">
        <v>45106</v>
      </c>
      <c r="C139" s="40" t="s">
        <v>162</v>
      </c>
      <c r="D139" s="39" t="s">
        <v>3663</v>
      </c>
      <c r="E139" s="1" t="s">
        <v>3664</v>
      </c>
      <c r="F139" s="36">
        <v>45128</v>
      </c>
      <c r="G139" s="37" t="s">
        <v>3665</v>
      </c>
      <c r="H139" s="40" t="s">
        <v>186</v>
      </c>
      <c r="I139" s="40" t="s">
        <v>3357</v>
      </c>
      <c r="J139" s="57">
        <v>48855101.68</v>
      </c>
      <c r="K139" s="41">
        <v>48855101.68</v>
      </c>
      <c r="L139" s="30">
        <v>48855101.68</v>
      </c>
      <c r="M139" s="30">
        <v>48855101.68</v>
      </c>
      <c r="N139" s="40" t="s">
        <v>3465</v>
      </c>
      <c r="O139" s="40" t="s">
        <v>3466</v>
      </c>
      <c r="P139" s="40" t="s">
        <v>199</v>
      </c>
      <c r="Q139" s="44">
        <v>0</v>
      </c>
      <c r="R139" s="37">
        <v>100</v>
      </c>
      <c r="S139" s="37" t="s">
        <v>1964</v>
      </c>
      <c r="T139" s="48">
        <v>28</v>
      </c>
      <c r="U139" s="30">
        <v>4428.49</v>
      </c>
      <c r="V139" s="41">
        <v>123997.72</v>
      </c>
      <c r="W139" s="41">
        <v>11032</v>
      </c>
      <c r="X139" s="41">
        <v>11032</v>
      </c>
      <c r="Y139" s="41">
        <v>0</v>
      </c>
      <c r="Z139" s="41">
        <v>0</v>
      </c>
      <c r="AA139" s="41">
        <v>0</v>
      </c>
      <c r="AB139" s="41">
        <v>0</v>
      </c>
      <c r="AC139" s="41">
        <v>0</v>
      </c>
      <c r="AD139" s="41">
        <v>0</v>
      </c>
      <c r="AE139" s="41">
        <v>0</v>
      </c>
      <c r="AF139" s="41">
        <v>0</v>
      </c>
      <c r="AG139" s="41">
        <v>0</v>
      </c>
      <c r="AH139" s="41">
        <v>0</v>
      </c>
      <c r="AI139" s="41">
        <v>0</v>
      </c>
      <c r="AJ139" s="41">
        <v>0</v>
      </c>
      <c r="AK139" s="41">
        <v>0</v>
      </c>
      <c r="AL139" s="41">
        <v>0</v>
      </c>
      <c r="AM139" s="41">
        <v>0</v>
      </c>
      <c r="AN139" s="41">
        <v>394</v>
      </c>
      <c r="AO139" s="41">
        <v>394</v>
      </c>
      <c r="AP139" s="40"/>
      <c r="AQ139" s="36">
        <v>45199</v>
      </c>
      <c r="AR139" s="36"/>
      <c r="AS139" s="36"/>
      <c r="AT139" s="36">
        <v>45214</v>
      </c>
      <c r="AU139" s="36"/>
      <c r="AV139" s="38"/>
      <c r="AW139" s="40" t="s">
        <v>49</v>
      </c>
    </row>
    <row r="140" spans="1:49" s="34" customFormat="1" ht="48" customHeight="1" x14ac:dyDescent="0.3">
      <c r="A140" s="35" t="s">
        <v>3671</v>
      </c>
      <c r="B140" s="38">
        <v>45107</v>
      </c>
      <c r="C140" s="40" t="s">
        <v>162</v>
      </c>
      <c r="D140" s="39" t="s">
        <v>3672</v>
      </c>
      <c r="E140" s="1" t="s">
        <v>3673</v>
      </c>
      <c r="F140" s="36">
        <v>45128</v>
      </c>
      <c r="G140" s="37" t="s">
        <v>3674</v>
      </c>
      <c r="H140" s="40" t="s">
        <v>3675</v>
      </c>
      <c r="I140" s="40" t="s">
        <v>3573</v>
      </c>
      <c r="J140" s="57">
        <v>15868591.199999999</v>
      </c>
      <c r="K140" s="41">
        <v>15868591.199999999</v>
      </c>
      <c r="L140" s="30">
        <v>15868591.199999999</v>
      </c>
      <c r="M140" s="30">
        <v>15868591.199999999</v>
      </c>
      <c r="N140" s="40" t="s">
        <v>3574</v>
      </c>
      <c r="O140" s="40" t="s">
        <v>3575</v>
      </c>
      <c r="P140" s="40" t="s">
        <v>199</v>
      </c>
      <c r="Q140" s="44">
        <v>0</v>
      </c>
      <c r="R140" s="37">
        <v>100</v>
      </c>
      <c r="S140" s="37" t="s">
        <v>1964</v>
      </c>
      <c r="T140" s="48">
        <v>84</v>
      </c>
      <c r="U140" s="30">
        <v>2248.9499999999998</v>
      </c>
      <c r="V140" s="41">
        <v>188911.8</v>
      </c>
      <c r="W140" s="41">
        <v>7056</v>
      </c>
      <c r="X140" s="41">
        <v>7056</v>
      </c>
      <c r="Y140" s="41">
        <v>0</v>
      </c>
      <c r="Z140" s="41">
        <v>0</v>
      </c>
      <c r="AA140" s="41">
        <v>0</v>
      </c>
      <c r="AB140" s="41">
        <v>0</v>
      </c>
      <c r="AC140" s="41">
        <v>0</v>
      </c>
      <c r="AD140" s="41">
        <v>0</v>
      </c>
      <c r="AE140" s="41">
        <v>0</v>
      </c>
      <c r="AF140" s="41">
        <v>0</v>
      </c>
      <c r="AG140" s="41">
        <v>0</v>
      </c>
      <c r="AH140" s="41">
        <v>0</v>
      </c>
      <c r="AI140" s="41">
        <v>0</v>
      </c>
      <c r="AJ140" s="41">
        <v>0</v>
      </c>
      <c r="AK140" s="41">
        <v>0</v>
      </c>
      <c r="AL140" s="41">
        <v>0</v>
      </c>
      <c r="AM140" s="41">
        <v>0</v>
      </c>
      <c r="AN140" s="41">
        <v>84</v>
      </c>
      <c r="AO140" s="41">
        <v>84</v>
      </c>
      <c r="AP140" s="40"/>
      <c r="AQ140" s="36">
        <v>45153</v>
      </c>
      <c r="AR140" s="36"/>
      <c r="AS140" s="36"/>
      <c r="AT140" s="36">
        <v>45168</v>
      </c>
      <c r="AU140" s="36"/>
      <c r="AV140" s="38"/>
      <c r="AW140" s="40" t="s">
        <v>49</v>
      </c>
    </row>
    <row r="141" spans="1:49" ht="48" customHeight="1" x14ac:dyDescent="0.3">
      <c r="A141" s="35" t="s">
        <v>3742</v>
      </c>
      <c r="B141" s="38">
        <v>45107</v>
      </c>
      <c r="C141" s="40" t="s">
        <v>162</v>
      </c>
      <c r="D141" s="39"/>
      <c r="E141" s="1" t="s">
        <v>3743</v>
      </c>
      <c r="F141" s="36">
        <v>45135</v>
      </c>
      <c r="G141" s="37" t="s">
        <v>3744</v>
      </c>
      <c r="H141" s="40" t="s">
        <v>3745</v>
      </c>
      <c r="I141" s="40" t="s">
        <v>3448</v>
      </c>
      <c r="J141" s="57">
        <v>507946840.94</v>
      </c>
      <c r="K141" s="41">
        <v>507946840.94</v>
      </c>
      <c r="L141" s="30">
        <v>507946840.94</v>
      </c>
      <c r="M141" s="30">
        <v>507946840.94</v>
      </c>
      <c r="N141" s="40" t="s">
        <v>168</v>
      </c>
      <c r="O141" s="40" t="s">
        <v>3449</v>
      </c>
      <c r="P141" s="40" t="s">
        <v>47</v>
      </c>
      <c r="Q141" s="44">
        <v>100</v>
      </c>
      <c r="R141" s="37">
        <v>0</v>
      </c>
      <c r="S141" s="37" t="s">
        <v>1964</v>
      </c>
      <c r="T141" s="48">
        <v>30</v>
      </c>
      <c r="U141" s="30">
        <v>204.82</v>
      </c>
      <c r="V141" s="41">
        <v>6144.5999999999995</v>
      </c>
      <c r="W141" s="41">
        <v>2479967</v>
      </c>
      <c r="X141" s="41">
        <v>2479967</v>
      </c>
      <c r="Y141" s="41">
        <v>0</v>
      </c>
      <c r="Z141" s="41">
        <v>0</v>
      </c>
      <c r="AA141" s="41">
        <v>0</v>
      </c>
      <c r="AB141" s="41">
        <v>0</v>
      </c>
      <c r="AC141" s="41">
        <v>0</v>
      </c>
      <c r="AD141" s="41">
        <v>0</v>
      </c>
      <c r="AE141" s="41">
        <v>0</v>
      </c>
      <c r="AF141" s="41">
        <v>0</v>
      </c>
      <c r="AG141" s="41">
        <v>0</v>
      </c>
      <c r="AH141" s="41">
        <v>0</v>
      </c>
      <c r="AI141" s="41">
        <v>0</v>
      </c>
      <c r="AJ141" s="41">
        <v>0</v>
      </c>
      <c r="AK141" s="41">
        <v>0</v>
      </c>
      <c r="AL141" s="41">
        <v>0</v>
      </c>
      <c r="AM141" s="41">
        <v>0</v>
      </c>
      <c r="AN141" s="41">
        <v>82665.566666666666</v>
      </c>
      <c r="AO141" s="41">
        <v>82666</v>
      </c>
      <c r="AP141" s="40"/>
      <c r="AQ141" s="36">
        <v>45170</v>
      </c>
      <c r="AR141" s="36"/>
      <c r="AS141" s="36"/>
      <c r="AT141" s="36">
        <v>45122</v>
      </c>
      <c r="AU141" s="36"/>
      <c r="AV141" s="38"/>
      <c r="AW141" s="40" t="s">
        <v>49</v>
      </c>
    </row>
    <row r="142" spans="1:49" ht="48" customHeight="1" x14ac:dyDescent="0.3">
      <c r="A142" s="35" t="s">
        <v>3750</v>
      </c>
      <c r="B142" s="38">
        <v>45107</v>
      </c>
      <c r="C142" s="40" t="s">
        <v>162</v>
      </c>
      <c r="D142" s="39"/>
      <c r="E142" s="1" t="s">
        <v>3751</v>
      </c>
      <c r="F142" s="36">
        <v>45131</v>
      </c>
      <c r="G142" s="37" t="s">
        <v>3752</v>
      </c>
      <c r="H142" s="40" t="s">
        <v>571</v>
      </c>
      <c r="I142" s="40" t="s">
        <v>3422</v>
      </c>
      <c r="J142" s="57">
        <v>806708.58</v>
      </c>
      <c r="K142" s="41">
        <v>806708.58</v>
      </c>
      <c r="L142" s="30">
        <v>806708.58</v>
      </c>
      <c r="M142" s="30">
        <v>806708.58</v>
      </c>
      <c r="N142" s="40" t="s">
        <v>2240</v>
      </c>
      <c r="O142" s="40" t="s">
        <v>2241</v>
      </c>
      <c r="P142" s="40" t="s">
        <v>47</v>
      </c>
      <c r="Q142" s="44">
        <v>100</v>
      </c>
      <c r="R142" s="37">
        <v>0</v>
      </c>
      <c r="S142" s="37" t="s">
        <v>1964</v>
      </c>
      <c r="T142" s="48">
        <v>60</v>
      </c>
      <c r="U142" s="30">
        <v>95.82</v>
      </c>
      <c r="V142" s="41">
        <v>5749.2</v>
      </c>
      <c r="W142" s="41">
        <v>8419</v>
      </c>
      <c r="X142" s="41">
        <v>8419</v>
      </c>
      <c r="Y142" s="41">
        <v>0</v>
      </c>
      <c r="Z142" s="41">
        <v>0</v>
      </c>
      <c r="AA142" s="41">
        <v>0</v>
      </c>
      <c r="AB142" s="41">
        <v>0</v>
      </c>
      <c r="AC142" s="41">
        <v>0</v>
      </c>
      <c r="AD142" s="41">
        <v>0</v>
      </c>
      <c r="AE142" s="41">
        <v>0</v>
      </c>
      <c r="AF142" s="41">
        <v>0</v>
      </c>
      <c r="AG142" s="41">
        <v>0</v>
      </c>
      <c r="AH142" s="41">
        <v>0</v>
      </c>
      <c r="AI142" s="41">
        <v>0</v>
      </c>
      <c r="AJ142" s="41">
        <v>0</v>
      </c>
      <c r="AK142" s="41">
        <v>0</v>
      </c>
      <c r="AL142" s="41">
        <v>0</v>
      </c>
      <c r="AM142" s="41">
        <v>0</v>
      </c>
      <c r="AN142" s="41">
        <v>140.31666666666666</v>
      </c>
      <c r="AO142" s="41">
        <v>141</v>
      </c>
      <c r="AP142" s="40"/>
      <c r="AQ142" s="36">
        <v>45170</v>
      </c>
      <c r="AR142" s="36"/>
      <c r="AS142" s="36"/>
      <c r="AT142" s="36">
        <v>45184</v>
      </c>
      <c r="AU142" s="36"/>
      <c r="AV142" s="38"/>
      <c r="AW142" s="40" t="s">
        <v>49</v>
      </c>
    </row>
    <row r="143" spans="1:49" ht="48" customHeight="1" x14ac:dyDescent="0.3">
      <c r="A143" s="35" t="s">
        <v>3755</v>
      </c>
      <c r="B143" s="38">
        <v>45107</v>
      </c>
      <c r="C143" s="40" t="s">
        <v>162</v>
      </c>
      <c r="D143" s="39"/>
      <c r="E143" s="1" t="s">
        <v>3756</v>
      </c>
      <c r="F143" s="36">
        <v>45131</v>
      </c>
      <c r="G143" s="37" t="s">
        <v>3757</v>
      </c>
      <c r="H143" s="40" t="s">
        <v>555</v>
      </c>
      <c r="I143" s="40" t="s">
        <v>1250</v>
      </c>
      <c r="J143" s="57">
        <v>21105</v>
      </c>
      <c r="K143" s="41">
        <v>16533</v>
      </c>
      <c r="L143" s="30">
        <v>16533</v>
      </c>
      <c r="M143" s="30">
        <v>16533</v>
      </c>
      <c r="N143" s="40" t="s">
        <v>2620</v>
      </c>
      <c r="O143" s="40" t="s">
        <v>3758</v>
      </c>
      <c r="P143" s="40" t="s">
        <v>2622</v>
      </c>
      <c r="Q143" s="44">
        <v>0</v>
      </c>
      <c r="R143" s="37">
        <v>100</v>
      </c>
      <c r="S143" s="37" t="s">
        <v>219</v>
      </c>
      <c r="T143" s="48">
        <v>100</v>
      </c>
      <c r="U143" s="30">
        <v>18.37</v>
      </c>
      <c r="V143" s="41">
        <v>1837</v>
      </c>
      <c r="W143" s="41">
        <v>900</v>
      </c>
      <c r="X143" s="41">
        <v>900</v>
      </c>
      <c r="Y143" s="41">
        <v>0</v>
      </c>
      <c r="Z143" s="41">
        <v>0</v>
      </c>
      <c r="AA143" s="41">
        <v>0</v>
      </c>
      <c r="AB143" s="41">
        <v>0</v>
      </c>
      <c r="AC143" s="41">
        <v>0</v>
      </c>
      <c r="AD143" s="41">
        <v>0</v>
      </c>
      <c r="AE143" s="41">
        <v>0</v>
      </c>
      <c r="AF143" s="41">
        <v>0</v>
      </c>
      <c r="AG143" s="41">
        <v>0</v>
      </c>
      <c r="AH143" s="41">
        <v>0</v>
      </c>
      <c r="AI143" s="41">
        <v>0</v>
      </c>
      <c r="AJ143" s="41">
        <v>0</v>
      </c>
      <c r="AK143" s="41">
        <v>0</v>
      </c>
      <c r="AL143" s="41">
        <v>0</v>
      </c>
      <c r="AM143" s="41">
        <v>0</v>
      </c>
      <c r="AN143" s="41">
        <v>9</v>
      </c>
      <c r="AO143" s="41">
        <v>9</v>
      </c>
      <c r="AP143" s="40"/>
      <c r="AQ143" s="36">
        <v>45153</v>
      </c>
      <c r="AR143" s="36"/>
      <c r="AS143" s="36"/>
      <c r="AT143" s="36">
        <v>45168</v>
      </c>
      <c r="AU143" s="36"/>
      <c r="AV143" s="38"/>
      <c r="AW143" s="40" t="s">
        <v>49</v>
      </c>
    </row>
    <row r="144" spans="1:49" ht="48" customHeight="1" x14ac:dyDescent="0.3">
      <c r="A144" s="35" t="s">
        <v>3763</v>
      </c>
      <c r="B144" s="38">
        <v>45107</v>
      </c>
      <c r="C144" s="40" t="s">
        <v>162</v>
      </c>
      <c r="D144" s="39" t="s">
        <v>459</v>
      </c>
      <c r="E144" s="1" t="s">
        <v>3764</v>
      </c>
      <c r="F144" s="36" t="s">
        <v>459</v>
      </c>
      <c r="G144" s="37" t="s">
        <v>459</v>
      </c>
      <c r="H144" s="40" t="s">
        <v>459</v>
      </c>
      <c r="I144" s="40" t="s">
        <v>3765</v>
      </c>
      <c r="J144" s="57">
        <v>35791.800000000003</v>
      </c>
      <c r="K144" s="41">
        <v>0</v>
      </c>
      <c r="L144" s="30">
        <v>0</v>
      </c>
      <c r="M144" s="30">
        <v>0</v>
      </c>
      <c r="N144" s="40"/>
      <c r="O144" s="40"/>
      <c r="P144" s="40"/>
      <c r="Q144" s="44"/>
      <c r="R144" s="37"/>
      <c r="S144" s="37"/>
      <c r="T144" s="48"/>
      <c r="U144" s="30" t="e">
        <v>#DIV/0!</v>
      </c>
      <c r="V144" s="41" t="e">
        <v>#DIV/0!</v>
      </c>
      <c r="W144" s="41">
        <v>0</v>
      </c>
      <c r="X144" s="41">
        <v>0</v>
      </c>
      <c r="Y144" s="41">
        <v>0</v>
      </c>
      <c r="Z144" s="41" t="e">
        <v>#DIV/0!</v>
      </c>
      <c r="AA144" s="41">
        <v>0</v>
      </c>
      <c r="AB144" s="41" t="e">
        <v>#DIV/0!</v>
      </c>
      <c r="AC144" s="41">
        <v>0</v>
      </c>
      <c r="AD144" s="41">
        <v>0</v>
      </c>
      <c r="AE144" s="41" t="e">
        <v>#DIV/0!</v>
      </c>
      <c r="AF144" s="41">
        <v>0</v>
      </c>
      <c r="AG144" s="41" t="e">
        <v>#DIV/0!</v>
      </c>
      <c r="AH144" s="41">
        <v>0</v>
      </c>
      <c r="AI144" s="41">
        <v>0</v>
      </c>
      <c r="AJ144" s="41">
        <v>0</v>
      </c>
      <c r="AK144" s="41">
        <v>0</v>
      </c>
      <c r="AL144" s="41">
        <v>0</v>
      </c>
      <c r="AM144" s="41" t="e">
        <v>#DIV/0!</v>
      </c>
      <c r="AN144" s="41" t="e">
        <v>#DIV/0!</v>
      </c>
      <c r="AO144" s="41" t="e">
        <v>#DIV/0!</v>
      </c>
      <c r="AP144" s="40"/>
      <c r="AQ144" s="36">
        <v>45153</v>
      </c>
      <c r="AR144" s="36"/>
      <c r="AS144" s="36"/>
      <c r="AT144" s="36"/>
      <c r="AU144" s="36"/>
      <c r="AV144" s="38"/>
      <c r="AW144" s="40"/>
    </row>
    <row r="145" spans="1:49" ht="48" customHeight="1" x14ac:dyDescent="0.3">
      <c r="A145" s="35" t="s">
        <v>3802</v>
      </c>
      <c r="B145" s="38">
        <v>45107</v>
      </c>
      <c r="C145" s="40" t="s">
        <v>1245</v>
      </c>
      <c r="D145" s="39"/>
      <c r="E145" s="1" t="s">
        <v>3803</v>
      </c>
      <c r="F145" s="36">
        <v>45131</v>
      </c>
      <c r="G145" s="37" t="s">
        <v>3804</v>
      </c>
      <c r="H145" s="40" t="s">
        <v>186</v>
      </c>
      <c r="I145" s="40" t="s">
        <v>2333</v>
      </c>
      <c r="J145" s="57">
        <v>28534038.600000001</v>
      </c>
      <c r="K145" s="41">
        <v>28534038.600000001</v>
      </c>
      <c r="L145" s="30">
        <v>28534038.600000001</v>
      </c>
      <c r="M145" s="30">
        <v>28534038.600000001</v>
      </c>
      <c r="N145" s="40" t="s">
        <v>2334</v>
      </c>
      <c r="O145" s="40" t="s">
        <v>2335</v>
      </c>
      <c r="P145" s="40" t="s">
        <v>199</v>
      </c>
      <c r="Q145" s="44">
        <v>0</v>
      </c>
      <c r="R145" s="37">
        <v>100</v>
      </c>
      <c r="S145" s="37" t="s">
        <v>1964</v>
      </c>
      <c r="T145" s="48">
        <v>30</v>
      </c>
      <c r="U145" s="30">
        <v>524.33000000000004</v>
      </c>
      <c r="V145" s="41">
        <v>15729.900000000001</v>
      </c>
      <c r="W145" s="41">
        <v>54420</v>
      </c>
      <c r="X145" s="41">
        <v>54420</v>
      </c>
      <c r="Y145" s="41">
        <v>0</v>
      </c>
      <c r="Z145" s="41">
        <v>0</v>
      </c>
      <c r="AA145" s="41">
        <v>0</v>
      </c>
      <c r="AB145" s="41">
        <v>0</v>
      </c>
      <c r="AC145" s="41">
        <v>0</v>
      </c>
      <c r="AD145" s="41">
        <v>0</v>
      </c>
      <c r="AE145" s="41">
        <v>0</v>
      </c>
      <c r="AF145" s="41">
        <v>0</v>
      </c>
      <c r="AG145" s="41">
        <v>0</v>
      </c>
      <c r="AH145" s="41">
        <v>0</v>
      </c>
      <c r="AI145" s="41">
        <v>0</v>
      </c>
      <c r="AJ145" s="41">
        <v>0</v>
      </c>
      <c r="AK145" s="41">
        <v>0</v>
      </c>
      <c r="AL145" s="41">
        <v>0</v>
      </c>
      <c r="AM145" s="41">
        <v>0</v>
      </c>
      <c r="AN145" s="41">
        <v>1814</v>
      </c>
      <c r="AO145" s="41">
        <v>1814</v>
      </c>
      <c r="AP145" s="40"/>
      <c r="AQ145" s="36">
        <v>45199</v>
      </c>
      <c r="AR145" s="36"/>
      <c r="AS145" s="36"/>
      <c r="AT145" s="36">
        <v>45214</v>
      </c>
      <c r="AU145" s="36"/>
      <c r="AV145" s="38"/>
      <c r="AW145" s="40" t="s">
        <v>49</v>
      </c>
    </row>
    <row r="146" spans="1:49" ht="48" customHeight="1" x14ac:dyDescent="0.3">
      <c r="A146" s="35" t="s">
        <v>3816</v>
      </c>
      <c r="B146" s="38">
        <v>45107</v>
      </c>
      <c r="C146" s="40" t="s">
        <v>162</v>
      </c>
      <c r="D146" s="39" t="s">
        <v>459</v>
      </c>
      <c r="E146" s="1" t="s">
        <v>3817</v>
      </c>
      <c r="F146" s="36" t="s">
        <v>459</v>
      </c>
      <c r="G146" s="37" t="s">
        <v>459</v>
      </c>
      <c r="H146" s="40" t="s">
        <v>459</v>
      </c>
      <c r="I146" s="40" t="s">
        <v>1203</v>
      </c>
      <c r="J146" s="57">
        <v>50832</v>
      </c>
      <c r="K146" s="41">
        <v>0</v>
      </c>
      <c r="L146" s="30">
        <v>0</v>
      </c>
      <c r="M146" s="30">
        <v>0</v>
      </c>
      <c r="N146" s="40"/>
      <c r="O146" s="40"/>
      <c r="P146" s="40"/>
      <c r="Q146" s="44"/>
      <c r="R146" s="37"/>
      <c r="S146" s="37"/>
      <c r="T146" s="48"/>
      <c r="U146" s="30" t="e">
        <v>#DIV/0!</v>
      </c>
      <c r="V146" s="41" t="e">
        <v>#DIV/0!</v>
      </c>
      <c r="W146" s="41">
        <v>0</v>
      </c>
      <c r="X146" s="41">
        <v>0</v>
      </c>
      <c r="Y146" s="41">
        <v>0</v>
      </c>
      <c r="Z146" s="41" t="e">
        <v>#DIV/0!</v>
      </c>
      <c r="AA146" s="41">
        <v>0</v>
      </c>
      <c r="AB146" s="41" t="e">
        <v>#DIV/0!</v>
      </c>
      <c r="AC146" s="41">
        <v>0</v>
      </c>
      <c r="AD146" s="41">
        <v>0</v>
      </c>
      <c r="AE146" s="41" t="e">
        <v>#DIV/0!</v>
      </c>
      <c r="AF146" s="41">
        <v>0</v>
      </c>
      <c r="AG146" s="41" t="e">
        <v>#DIV/0!</v>
      </c>
      <c r="AH146" s="41">
        <v>0</v>
      </c>
      <c r="AI146" s="41">
        <v>0</v>
      </c>
      <c r="AJ146" s="41">
        <v>0</v>
      </c>
      <c r="AK146" s="41">
        <v>0</v>
      </c>
      <c r="AL146" s="41">
        <v>0</v>
      </c>
      <c r="AM146" s="41" t="e">
        <v>#DIV/0!</v>
      </c>
      <c r="AN146" s="41" t="e">
        <v>#DIV/0!</v>
      </c>
      <c r="AO146" s="41" t="e">
        <v>#DIV/0!</v>
      </c>
      <c r="AP146" s="40"/>
      <c r="AQ146" s="36">
        <v>45153</v>
      </c>
      <c r="AR146" s="36"/>
      <c r="AS146" s="36"/>
      <c r="AT146" s="36"/>
      <c r="AU146" s="36"/>
      <c r="AV146" s="38"/>
      <c r="AW146" s="40"/>
    </row>
    <row r="147" spans="1:49" ht="48" customHeight="1" x14ac:dyDescent="0.3">
      <c r="A147" s="35" t="s">
        <v>3837</v>
      </c>
      <c r="B147" s="38">
        <v>45107</v>
      </c>
      <c r="C147" s="40" t="s">
        <v>162</v>
      </c>
      <c r="D147" s="39"/>
      <c r="E147" s="1" t="s">
        <v>3838</v>
      </c>
      <c r="F147" s="36">
        <v>45132</v>
      </c>
      <c r="G147" s="37" t="s">
        <v>3839</v>
      </c>
      <c r="H147" s="40" t="s">
        <v>186</v>
      </c>
      <c r="I147" s="40" t="s">
        <v>3840</v>
      </c>
      <c r="J147" s="57">
        <v>178284984.41999999</v>
      </c>
      <c r="K147" s="41">
        <v>178284984.41999999</v>
      </c>
      <c r="L147" s="30">
        <v>178284984.41999999</v>
      </c>
      <c r="M147" s="30">
        <v>178284984.41999999</v>
      </c>
      <c r="N147" s="40" t="s">
        <v>2602</v>
      </c>
      <c r="O147" s="40" t="s">
        <v>3841</v>
      </c>
      <c r="P147" s="40" t="s">
        <v>47</v>
      </c>
      <c r="Q147" s="44">
        <v>100</v>
      </c>
      <c r="R147" s="37">
        <v>0</v>
      </c>
      <c r="S147" s="37" t="s">
        <v>1964</v>
      </c>
      <c r="T147" s="48">
        <v>30</v>
      </c>
      <c r="U147" s="30">
        <v>201.66</v>
      </c>
      <c r="V147" s="41">
        <v>6049.8</v>
      </c>
      <c r="W147" s="41">
        <v>884087</v>
      </c>
      <c r="X147" s="41">
        <v>390000</v>
      </c>
      <c r="Y147" s="41">
        <v>0</v>
      </c>
      <c r="Z147" s="41">
        <v>0</v>
      </c>
      <c r="AA147" s="41">
        <v>0</v>
      </c>
      <c r="AB147" s="41">
        <v>0</v>
      </c>
      <c r="AC147" s="41">
        <v>494087</v>
      </c>
      <c r="AD147" s="41">
        <v>0</v>
      </c>
      <c r="AE147" s="41">
        <v>0</v>
      </c>
      <c r="AF147" s="41">
        <v>0</v>
      </c>
      <c r="AG147" s="41">
        <v>0</v>
      </c>
      <c r="AH147" s="41">
        <v>0</v>
      </c>
      <c r="AI147" s="41">
        <v>0</v>
      </c>
      <c r="AJ147" s="41">
        <v>0</v>
      </c>
      <c r="AK147" s="41">
        <v>0</v>
      </c>
      <c r="AL147" s="41">
        <v>0</v>
      </c>
      <c r="AM147" s="41">
        <v>0</v>
      </c>
      <c r="AN147" s="41">
        <v>29469.566666666666</v>
      </c>
      <c r="AO147" s="41">
        <v>29470</v>
      </c>
      <c r="AP147" s="40"/>
      <c r="AQ147" s="36">
        <v>45169</v>
      </c>
      <c r="AR147" s="36">
        <v>45200</v>
      </c>
      <c r="AS147" s="36"/>
      <c r="AT147" s="36">
        <v>45184</v>
      </c>
      <c r="AU147" s="36">
        <v>45214</v>
      </c>
      <c r="AV147" s="38"/>
      <c r="AW147" s="40" t="s">
        <v>49</v>
      </c>
    </row>
    <row r="148" spans="1:49" s="34" customFormat="1" ht="48" customHeight="1" x14ac:dyDescent="0.3">
      <c r="A148" s="35" t="s">
        <v>3855</v>
      </c>
      <c r="B148" s="38">
        <v>45107</v>
      </c>
      <c r="C148" s="40" t="s">
        <v>162</v>
      </c>
      <c r="D148" s="39"/>
      <c r="E148" s="1" t="s">
        <v>3856</v>
      </c>
      <c r="F148" s="36">
        <v>45131</v>
      </c>
      <c r="G148" s="37" t="s">
        <v>3857</v>
      </c>
      <c r="H148" s="40" t="s">
        <v>571</v>
      </c>
      <c r="I148" s="40" t="s">
        <v>3354</v>
      </c>
      <c r="J148" s="57">
        <v>195434018.30000001</v>
      </c>
      <c r="K148" s="41">
        <v>195434018.30000001</v>
      </c>
      <c r="L148" s="30">
        <v>195434018.30000001</v>
      </c>
      <c r="M148" s="30">
        <v>195434018.30000001</v>
      </c>
      <c r="N148" s="40" t="s">
        <v>3858</v>
      </c>
      <c r="O148" s="40" t="s">
        <v>3859</v>
      </c>
      <c r="P148" s="40" t="s">
        <v>47</v>
      </c>
      <c r="Q148" s="44">
        <v>100</v>
      </c>
      <c r="R148" s="37">
        <v>0</v>
      </c>
      <c r="S148" s="37" t="s">
        <v>1964</v>
      </c>
      <c r="T148" s="48">
        <v>60</v>
      </c>
      <c r="U148" s="30">
        <v>207.97999999957435</v>
      </c>
      <c r="V148" s="41">
        <v>12478.799999974461</v>
      </c>
      <c r="W148" s="41">
        <v>939676.98</v>
      </c>
      <c r="X148" s="41">
        <v>939676.98</v>
      </c>
      <c r="Y148" s="41">
        <v>0</v>
      </c>
      <c r="Z148" s="41">
        <v>0</v>
      </c>
      <c r="AA148" s="41">
        <v>0</v>
      </c>
      <c r="AB148" s="41">
        <v>0</v>
      </c>
      <c r="AC148" s="41">
        <v>0</v>
      </c>
      <c r="AD148" s="41">
        <v>0</v>
      </c>
      <c r="AE148" s="41">
        <v>0</v>
      </c>
      <c r="AF148" s="41">
        <v>0</v>
      </c>
      <c r="AG148" s="41">
        <v>0</v>
      </c>
      <c r="AH148" s="41">
        <v>0</v>
      </c>
      <c r="AI148" s="41">
        <v>0</v>
      </c>
      <c r="AJ148" s="41">
        <v>0</v>
      </c>
      <c r="AK148" s="41">
        <v>0</v>
      </c>
      <c r="AL148" s="41">
        <v>0</v>
      </c>
      <c r="AM148" s="41">
        <v>0</v>
      </c>
      <c r="AN148" s="41">
        <v>15661.282999999999</v>
      </c>
      <c r="AO148" s="41">
        <v>15662</v>
      </c>
      <c r="AP148" s="40"/>
      <c r="AQ148" s="36">
        <v>45170</v>
      </c>
      <c r="AR148" s="36"/>
      <c r="AS148" s="36"/>
      <c r="AT148" s="36">
        <v>45184</v>
      </c>
      <c r="AU148" s="36"/>
      <c r="AV148" s="38"/>
      <c r="AW148" s="40" t="s">
        <v>49</v>
      </c>
    </row>
    <row r="149" spans="1:49" s="34" customFormat="1" ht="63.75" customHeight="1" x14ac:dyDescent="0.3">
      <c r="A149" s="35" t="s">
        <v>3881</v>
      </c>
      <c r="B149" s="38">
        <v>45127</v>
      </c>
      <c r="C149" s="40" t="s">
        <v>162</v>
      </c>
      <c r="D149" s="39" t="s">
        <v>459</v>
      </c>
      <c r="E149" s="1" t="s">
        <v>3882</v>
      </c>
      <c r="F149" s="36" t="s">
        <v>459</v>
      </c>
      <c r="G149" s="37" t="s">
        <v>459</v>
      </c>
      <c r="H149" s="40" t="s">
        <v>459</v>
      </c>
      <c r="I149" s="40" t="s">
        <v>3765</v>
      </c>
      <c r="J149" s="57">
        <v>35678.92</v>
      </c>
      <c r="K149" s="41">
        <v>0</v>
      </c>
      <c r="L149" s="30">
        <v>0</v>
      </c>
      <c r="M149" s="30">
        <v>0</v>
      </c>
      <c r="N149" s="40"/>
      <c r="O149" s="40"/>
      <c r="P149" s="40"/>
      <c r="Q149" s="44"/>
      <c r="R149" s="37"/>
      <c r="S149" s="37"/>
      <c r="T149" s="48"/>
      <c r="U149" s="30" t="e">
        <v>#DIV/0!</v>
      </c>
      <c r="V149" s="41" t="e">
        <v>#DIV/0!</v>
      </c>
      <c r="W149" s="41">
        <v>0</v>
      </c>
      <c r="X149" s="41">
        <v>0</v>
      </c>
      <c r="Y149" s="41">
        <v>0</v>
      </c>
      <c r="Z149" s="41" t="e">
        <v>#DIV/0!</v>
      </c>
      <c r="AA149" s="41">
        <v>0</v>
      </c>
      <c r="AB149" s="41" t="e">
        <v>#DIV/0!</v>
      </c>
      <c r="AC149" s="41">
        <v>0</v>
      </c>
      <c r="AD149" s="41">
        <v>0</v>
      </c>
      <c r="AE149" s="41" t="e">
        <v>#DIV/0!</v>
      </c>
      <c r="AF149" s="41">
        <v>0</v>
      </c>
      <c r="AG149" s="41" t="e">
        <v>#DIV/0!</v>
      </c>
      <c r="AH149" s="41">
        <v>0</v>
      </c>
      <c r="AI149" s="41">
        <v>0</v>
      </c>
      <c r="AJ149" s="41">
        <v>0</v>
      </c>
      <c r="AK149" s="41">
        <v>0</v>
      </c>
      <c r="AL149" s="41">
        <v>0</v>
      </c>
      <c r="AM149" s="41" t="e">
        <v>#DIV/0!</v>
      </c>
      <c r="AN149" s="41" t="e">
        <v>#DIV/0!</v>
      </c>
      <c r="AO149" s="41" t="e">
        <v>#DIV/0!</v>
      </c>
      <c r="AP149" s="40"/>
      <c r="AQ149" s="36">
        <v>45170</v>
      </c>
      <c r="AR149" s="36"/>
      <c r="AS149" s="36"/>
      <c r="AT149" s="36"/>
      <c r="AU149" s="36"/>
      <c r="AV149" s="38"/>
      <c r="AW149" s="40"/>
    </row>
    <row r="150" spans="1:49" s="34" customFormat="1" ht="63.75" customHeight="1" x14ac:dyDescent="0.3">
      <c r="A150" s="35" t="s">
        <v>3890</v>
      </c>
      <c r="B150" s="38">
        <v>45127</v>
      </c>
      <c r="C150" s="40" t="s">
        <v>162</v>
      </c>
      <c r="D150" s="39"/>
      <c r="E150" s="1" t="s">
        <v>3891</v>
      </c>
      <c r="F150" s="36">
        <v>45146</v>
      </c>
      <c r="G150" s="37" t="s">
        <v>3892</v>
      </c>
      <c r="H150" s="40" t="s">
        <v>555</v>
      </c>
      <c r="I150" s="40" t="s">
        <v>2053</v>
      </c>
      <c r="J150" s="57">
        <v>30307.200000000001</v>
      </c>
      <c r="K150" s="41">
        <v>30307.200000000001</v>
      </c>
      <c r="L150" s="30">
        <v>30307.200000000001</v>
      </c>
      <c r="M150" s="30">
        <v>30307.200000000001</v>
      </c>
      <c r="N150" s="40" t="s">
        <v>3893</v>
      </c>
      <c r="O150" s="40" t="s">
        <v>3894</v>
      </c>
      <c r="P150" s="40" t="s">
        <v>47</v>
      </c>
      <c r="Q150" s="44">
        <v>100</v>
      </c>
      <c r="R150" s="37">
        <v>0</v>
      </c>
      <c r="S150" s="37" t="s">
        <v>219</v>
      </c>
      <c r="T150" s="48">
        <v>240</v>
      </c>
      <c r="U150" s="30">
        <v>1.54</v>
      </c>
      <c r="V150" s="41">
        <v>369.6</v>
      </c>
      <c r="W150" s="41">
        <v>19680</v>
      </c>
      <c r="X150" s="41">
        <v>19680</v>
      </c>
      <c r="Y150" s="41">
        <v>0</v>
      </c>
      <c r="Z150" s="41">
        <v>0</v>
      </c>
      <c r="AA150" s="41">
        <v>0</v>
      </c>
      <c r="AB150" s="41">
        <v>0</v>
      </c>
      <c r="AC150" s="41">
        <v>0</v>
      </c>
      <c r="AD150" s="41">
        <v>0</v>
      </c>
      <c r="AE150" s="41">
        <v>0</v>
      </c>
      <c r="AF150" s="41">
        <v>0</v>
      </c>
      <c r="AG150" s="41">
        <v>0</v>
      </c>
      <c r="AH150" s="41">
        <v>0</v>
      </c>
      <c r="AI150" s="41">
        <v>0</v>
      </c>
      <c r="AJ150" s="41">
        <v>0</v>
      </c>
      <c r="AK150" s="41">
        <v>0</v>
      </c>
      <c r="AL150" s="41">
        <v>0</v>
      </c>
      <c r="AM150" s="41">
        <v>0</v>
      </c>
      <c r="AN150" s="41">
        <v>82</v>
      </c>
      <c r="AO150" s="41">
        <v>82</v>
      </c>
      <c r="AP150" s="40"/>
      <c r="AQ150" s="36">
        <v>45170</v>
      </c>
      <c r="AR150" s="36"/>
      <c r="AS150" s="36"/>
      <c r="AT150" s="36">
        <v>45184</v>
      </c>
      <c r="AU150" s="36"/>
      <c r="AV150" s="38"/>
      <c r="AW150" s="40" t="s">
        <v>49</v>
      </c>
    </row>
    <row r="151" spans="1:49" s="34" customFormat="1" ht="63.75" customHeight="1" x14ac:dyDescent="0.3">
      <c r="A151" s="35" t="s">
        <v>3895</v>
      </c>
      <c r="B151" s="38">
        <v>45127</v>
      </c>
      <c r="C151" s="40" t="s">
        <v>162</v>
      </c>
      <c r="D151" s="39"/>
      <c r="E151" s="1" t="s">
        <v>3896</v>
      </c>
      <c r="F151" s="36">
        <v>45146</v>
      </c>
      <c r="G151" s="37" t="s">
        <v>3897</v>
      </c>
      <c r="H151" s="40" t="s">
        <v>555</v>
      </c>
      <c r="I151" s="40" t="s">
        <v>1203</v>
      </c>
      <c r="J151" s="57">
        <v>50831</v>
      </c>
      <c r="K151" s="41">
        <v>50831</v>
      </c>
      <c r="L151" s="30">
        <v>50831</v>
      </c>
      <c r="M151" s="30">
        <v>50831</v>
      </c>
      <c r="N151" s="40" t="s">
        <v>1204</v>
      </c>
      <c r="O151" s="40" t="s">
        <v>3898</v>
      </c>
      <c r="P151" s="40" t="s">
        <v>47</v>
      </c>
      <c r="Q151" s="44">
        <v>100</v>
      </c>
      <c r="R151" s="37">
        <v>0</v>
      </c>
      <c r="S151" s="37" t="s">
        <v>219</v>
      </c>
      <c r="T151" s="48">
        <v>240</v>
      </c>
      <c r="U151" s="30">
        <v>1.1000000000000001</v>
      </c>
      <c r="V151" s="41">
        <v>264</v>
      </c>
      <c r="W151" s="41">
        <v>46210</v>
      </c>
      <c r="X151" s="41">
        <v>46210</v>
      </c>
      <c r="Y151" s="41">
        <v>0</v>
      </c>
      <c r="Z151" s="41">
        <v>0</v>
      </c>
      <c r="AA151" s="41">
        <v>0</v>
      </c>
      <c r="AB151" s="41">
        <v>0</v>
      </c>
      <c r="AC151" s="41">
        <v>0</v>
      </c>
      <c r="AD151" s="41">
        <v>0</v>
      </c>
      <c r="AE151" s="41">
        <v>0</v>
      </c>
      <c r="AF151" s="41">
        <v>0</v>
      </c>
      <c r="AG151" s="41">
        <v>0</v>
      </c>
      <c r="AH151" s="41">
        <v>0</v>
      </c>
      <c r="AI151" s="41">
        <v>0</v>
      </c>
      <c r="AJ151" s="41">
        <v>0</v>
      </c>
      <c r="AK151" s="41">
        <v>0</v>
      </c>
      <c r="AL151" s="41">
        <v>0</v>
      </c>
      <c r="AM151" s="41">
        <v>0</v>
      </c>
      <c r="AN151" s="41">
        <v>192.54166666666666</v>
      </c>
      <c r="AO151" s="41">
        <v>193</v>
      </c>
      <c r="AP151" s="40"/>
      <c r="AQ151" s="36">
        <v>45170</v>
      </c>
      <c r="AR151" s="36"/>
      <c r="AS151" s="36"/>
      <c r="AT151" s="36">
        <v>45184</v>
      </c>
      <c r="AU151" s="36"/>
      <c r="AV151" s="38"/>
      <c r="AW151" s="40" t="s">
        <v>49</v>
      </c>
    </row>
  </sheetData>
  <autoFilter ref="A2:BD49"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8AC85CF7-595B-43DB-8E33-2D23DF4E2616}"/>
    <hyperlink ref="E6" r:id="rId2" xr:uid="{5E880E68-AD4D-4DEF-B868-66951C8DCEF4}"/>
    <hyperlink ref="E7" r:id="rId3" xr:uid="{99C15781-06DD-4B64-9740-DDD78BC2EAC9}"/>
    <hyperlink ref="E4" r:id="rId4" xr:uid="{06D81295-8543-408F-99D0-8BD3C71D75AE}"/>
    <hyperlink ref="E8" r:id="rId5" xr:uid="{BDB8DE97-3F98-4488-8308-45D8EB99B5C2}"/>
    <hyperlink ref="E12" r:id="rId6" xr:uid="{9A895D90-8F53-472F-9CA6-F72C1D12A7A1}"/>
    <hyperlink ref="E35" r:id="rId7" xr:uid="{16CD7FA1-9909-4C8A-A612-3E9F3323840C}"/>
    <hyperlink ref="E27" r:id="rId8" xr:uid="{31298A26-AECD-4EDD-8D2F-DA8E79C95169}"/>
    <hyperlink ref="E29" r:id="rId9" xr:uid="{CBF9B657-8D1C-421F-8DAD-22B3EEDAEEBD}"/>
    <hyperlink ref="E31" r:id="rId10" xr:uid="{29623256-BF1C-41A9-8777-B1DFD2E22023}"/>
    <hyperlink ref="E25" r:id="rId11" xr:uid="{CC33EF33-D00E-4A4B-887D-AB221C270241}"/>
    <hyperlink ref="E28" r:id="rId12" xr:uid="{7B2C7C96-F1B6-4E43-8525-BAE0B4DAFDE3}"/>
    <hyperlink ref="E45" r:id="rId13" xr:uid="{8D610DF9-C926-4E6C-9183-FF9720BBDF96}"/>
    <hyperlink ref="E44" r:id="rId14" xr:uid="{6E5A2E87-197E-4591-86A8-2B79F4616E70}"/>
    <hyperlink ref="E43" r:id="rId15" xr:uid="{7CD84739-10D4-4645-864A-291A5DEDCC0A}"/>
    <hyperlink ref="E36" r:id="rId16" xr:uid="{F6B4CC75-4AA8-4C89-8325-02A5A549F945}"/>
    <hyperlink ref="E32" r:id="rId17" xr:uid="{C7868960-3C63-4F0E-B1E7-5AEAB4B4561C}"/>
    <hyperlink ref="E26" r:id="rId18" xr:uid="{84E7412D-B7BE-4FD9-89A5-DA62615FF144}"/>
    <hyperlink ref="E22" r:id="rId19" xr:uid="{5D6EA02A-1DCC-4041-BBCA-E58E2907583D}"/>
    <hyperlink ref="E41" r:id="rId20" xr:uid="{DCE6259D-6F49-4D6C-B7E0-74939ED0A85C}"/>
    <hyperlink ref="E40" r:id="rId21" xr:uid="{D0A4DEB8-D2AD-4740-8A57-2B585E4E2C1F}"/>
    <hyperlink ref="E39" r:id="rId22" xr:uid="{8EDECA9F-2805-4F90-BC39-88F1B9C62FF4}"/>
    <hyperlink ref="E47" r:id="rId23" xr:uid="{41E0A0D6-E183-45AA-BAC6-E837A5983BCC}"/>
    <hyperlink ref="E46" r:id="rId24" xr:uid="{50058765-CE2A-4D99-BC05-3EE2BC4841A0}"/>
    <hyperlink ref="E51" r:id="rId25" xr:uid="{4AF54E80-0C4E-4E72-AA76-4269BEF6C408}"/>
    <hyperlink ref="E52" r:id="rId26" xr:uid="{EB631B1D-5306-42FC-8D27-072FC3132454}"/>
    <hyperlink ref="E53" r:id="rId27" xr:uid="{01CED222-D7BA-4BFF-B484-AAB33172AE29}"/>
    <hyperlink ref="E54" r:id="rId28" xr:uid="{2C1BDCBD-8175-47A9-B624-597E6875B2CC}"/>
    <hyperlink ref="E55" r:id="rId29" xr:uid="{D97BE664-1771-4036-8374-6BDE8FDE3C7F}"/>
    <hyperlink ref="E56" r:id="rId30" xr:uid="{42769848-7C6D-42FD-9810-6FA6498F2EA8}"/>
    <hyperlink ref="E57" r:id="rId31" xr:uid="{B4B65BAC-B284-4D79-A896-A7FAD02B2E48}"/>
    <hyperlink ref="E58" r:id="rId32" xr:uid="{F7A47719-4A45-4FB1-9334-6D8A4C028690}"/>
    <hyperlink ref="E60" r:id="rId33" xr:uid="{51067519-6B2C-4CD2-B2EE-D5CB9E896B43}"/>
    <hyperlink ref="E59" r:id="rId34" xr:uid="{0E8F5798-DD34-4DE5-97ED-31AE94E23CD1}"/>
    <hyperlink ref="E61" r:id="rId35" xr:uid="{D125BA4D-750D-43FB-9142-B2DCFEAA3B9A}"/>
    <hyperlink ref="E62" r:id="rId36" xr:uid="{6BA6F04E-5AE8-443F-A392-181C6364A587}"/>
    <hyperlink ref="E63" r:id="rId37" xr:uid="{A1727FA2-0774-476C-BD95-3F7C5D659B06}"/>
    <hyperlink ref="E64" r:id="rId38" xr:uid="{769C230F-7B6E-444A-BFEC-06B82E877626}"/>
    <hyperlink ref="E65" r:id="rId39" xr:uid="{445FCF86-E1B2-437D-BE13-D4FA091EF88F}"/>
    <hyperlink ref="E66" r:id="rId40" xr:uid="{393B25AF-21E9-49DB-98DE-C009910C4A26}"/>
    <hyperlink ref="E67" r:id="rId41" xr:uid="{458B5C1D-7C66-4FB5-B2DD-E746C2BE9227}"/>
    <hyperlink ref="E68" r:id="rId42" xr:uid="{0D33EB00-BDA6-4D63-AEF1-B3B1ED27810C}"/>
    <hyperlink ref="E69" r:id="rId43" xr:uid="{94936BB2-9D2E-4C30-91AD-7EAA59632C56}"/>
    <hyperlink ref="E70" r:id="rId44" xr:uid="{8C5B7DDF-B72B-4F7B-84DB-5B1147FE947A}"/>
    <hyperlink ref="E71" r:id="rId45" xr:uid="{5DBA505C-25F9-4D4A-A96A-155C4B56EDD6}"/>
    <hyperlink ref="E72" r:id="rId46" xr:uid="{3B35714D-646C-4C74-8264-BD9B8282D1CF}"/>
    <hyperlink ref="E73" r:id="rId47" xr:uid="{FFE0B161-02C8-4F1F-ABD2-1D1DFF02BAC2}"/>
    <hyperlink ref="E74" r:id="rId48" xr:uid="{C4650761-08AC-4C2A-9B07-4271C2EEC096}"/>
    <hyperlink ref="E75" r:id="rId49" xr:uid="{0BD32A66-6D20-4C19-A6FC-F1C299DD5AEF}"/>
    <hyperlink ref="E76" r:id="rId50" xr:uid="{BD38E062-28CC-4B77-82B1-D6C6863EFF67}"/>
    <hyperlink ref="E77" r:id="rId51" xr:uid="{141E63CB-18D9-4422-BD1B-3CBD634C585D}"/>
    <hyperlink ref="E78" r:id="rId52" xr:uid="{E98042B4-7441-4236-8DEA-4D3A0033E145}"/>
    <hyperlink ref="E79" r:id="rId53" xr:uid="{A5C92A10-F502-42DB-84E8-461FB884C3F3}"/>
    <hyperlink ref="E80" r:id="rId54" xr:uid="{979118DC-D32B-459A-ACEC-24B3613FF0D0}"/>
    <hyperlink ref="E81" r:id="rId55" xr:uid="{96CF2D6A-8152-4E40-B7E9-FC9973A70556}"/>
    <hyperlink ref="E82" r:id="rId56" xr:uid="{EFA7BFAC-590B-488B-BEDA-E6A21C4BE087}"/>
    <hyperlink ref="E83" r:id="rId57" xr:uid="{98EB1BCE-2064-4F17-ABA3-BA33DBAE3178}"/>
    <hyperlink ref="E84" r:id="rId58" xr:uid="{326102AB-806B-40E2-91B2-478E77167703}"/>
    <hyperlink ref="E85" r:id="rId59" xr:uid="{E87E1A50-F5C1-42B6-811E-8FADE972D1AD}"/>
    <hyperlink ref="E86" r:id="rId60" xr:uid="{297846C4-1F1E-4592-946F-11431918B719}"/>
    <hyperlink ref="E87" r:id="rId61" xr:uid="{422DC166-E066-471E-83AD-FE34DD932247}"/>
    <hyperlink ref="E88" r:id="rId62" xr:uid="{87E1BB77-BD3E-4FED-AB6B-EAE1EF80D980}"/>
    <hyperlink ref="E89" r:id="rId63" xr:uid="{5419D480-F6E1-4E37-AAFA-4845F8081647}"/>
    <hyperlink ref="E90" r:id="rId64" xr:uid="{AF275E56-EB02-4A04-9A49-FB0C5FD52D35}"/>
    <hyperlink ref="E91" r:id="rId65" xr:uid="{5E9D2BCD-17A9-484E-818A-B6E86F5023D0}"/>
    <hyperlink ref="E92" r:id="rId66" xr:uid="{05CD86A6-E32C-4492-9BAF-3DCAED562075}"/>
    <hyperlink ref="E93" r:id="rId67" xr:uid="{CA74592D-86BC-423F-A1A3-316A3460E90C}"/>
    <hyperlink ref="E94" r:id="rId68" xr:uid="{281D3076-C207-4040-9AE4-A777151DB056}"/>
    <hyperlink ref="E95" r:id="rId69" xr:uid="{88AD80DD-9760-4DCD-8189-FE7072E569CA}"/>
    <hyperlink ref="E96" r:id="rId70" xr:uid="{F22DBC1B-474E-42E8-B290-2DE722A929D3}"/>
    <hyperlink ref="E97" r:id="rId71" xr:uid="{682F6765-2D5F-4ABC-AC15-4F9CAF562970}"/>
    <hyperlink ref="E98" r:id="rId72" xr:uid="{9BCAC7E6-A686-4861-8A45-B35732FD68C5}"/>
    <hyperlink ref="E99" r:id="rId73" xr:uid="{6934FA50-EC1B-46AA-92B7-9EC1D0EAAD49}"/>
    <hyperlink ref="E100" r:id="rId74" xr:uid="{1A503FF5-C55C-44CC-8EB9-083CF4DCA0D8}"/>
    <hyperlink ref="E101" r:id="rId75" xr:uid="{CE034ED2-966C-4530-BA16-FAEA4EA6622F}"/>
    <hyperlink ref="E102" r:id="rId76" xr:uid="{1362BE1E-6D60-40FB-A8D0-F862B28E1303}"/>
    <hyperlink ref="E104" r:id="rId77" xr:uid="{BF3CF1E8-92A4-43DA-9976-CBEE279D002B}"/>
    <hyperlink ref="E103" r:id="rId78" xr:uid="{F9642ECD-8E96-4E89-A7F3-A5C124BF2AA0}"/>
    <hyperlink ref="E105" r:id="rId79" xr:uid="{BB259A55-B57E-4CDE-9519-92E811C93C08}"/>
    <hyperlink ref="E106" r:id="rId80" xr:uid="{8300C43B-71BA-4FFB-9766-1C5E952185C8}"/>
    <hyperlink ref="E107" r:id="rId81" xr:uid="{E5A4F409-04CA-4EEC-B391-E2C245A33D62}"/>
    <hyperlink ref="E108" r:id="rId82" xr:uid="{BD28A69F-091D-41AF-B64E-339FDECBFF8E}"/>
    <hyperlink ref="E109" r:id="rId83" xr:uid="{0A257A38-1728-4E8F-821B-B4F810974618}"/>
    <hyperlink ref="E110" r:id="rId84" xr:uid="{F282D99E-254F-4DAA-9325-E16C0F38AE6E}"/>
    <hyperlink ref="E111" r:id="rId85" xr:uid="{48DFE712-CA43-40C5-B71B-4BEB19044CF4}"/>
    <hyperlink ref="E112" r:id="rId86" xr:uid="{4CDE29BE-5A44-41AC-9335-BDF9FD25E154}"/>
    <hyperlink ref="E113" r:id="rId87" xr:uid="{5D0A0043-DE3A-474D-8D4C-AEB86944C162}"/>
    <hyperlink ref="E114" r:id="rId88" xr:uid="{E349336F-2BD7-48FD-9B00-C32791F2E024}"/>
    <hyperlink ref="E116" r:id="rId89" display="https://zakupki.gov.ru/epz/order/notice/ea20/view/common-info.html?regNumber=0873400003923000288" xr:uid="{AB649DE6-4D27-4C6E-A01D-6C30D7671FFB}"/>
    <hyperlink ref="E124" r:id="rId90" display="https://zakupki.gov.ru/epz/order/notice/ea20/view/common-info.html?regNumber=0873400003923000302" xr:uid="{E9951104-FB3E-48A7-B1F3-3BEEF6B20CA8}"/>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D7F5AC6A-C645-44EB-8B99-D537E9C41FE6}"/>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778DD43A-1994-433C-9153-5C6F777840C0}"/>
    <hyperlink ref="E119" r:id="rId93" display="https://zakupki.gov.ru/epz/order/notice/ea20/view/common-info.html?regNumber=0873400003923000297" xr:uid="{0CCFE696-E87C-4B0D-AC03-815EB028B57D}"/>
    <hyperlink ref="E120" r:id="rId94" xr:uid="{7CBB6BD8-8098-48EB-AD18-DEF2F0747475}"/>
    <hyperlink ref="E122" r:id="rId95" display="https://zakupki.gov.ru/epz/order/notice/ea20/view/common-info.html?regNumber=0873400003923000300" xr:uid="{A81F0EAD-8E50-49FE-904C-4917CF01EEC1}"/>
    <hyperlink ref="E123" r:id="rId96" display="https://zakupki.gov.ru/epz/order/notice/ea20/view/common-info.html?regNumber=0873400003923000301" xr:uid="{88AD5970-9D3F-41DB-BC8B-DB31D50C418A}"/>
    <hyperlink ref="E125" r:id="rId97" display="https://zakupki.gov.ru/epz/order/notice/ea20/view/common-info.html?regNumber=0873400003923000303" xr:uid="{A2590A43-ECCF-45E7-82E3-E4081FFC6CC8}"/>
    <hyperlink ref="E126" r:id="rId98" xr:uid="{77608D26-084E-435C-BAAF-5272A754B4D6}"/>
    <hyperlink ref="E127" r:id="rId99" xr:uid="{33E2B8E0-BF48-4719-B285-0502B51534DE}"/>
    <hyperlink ref="E128" r:id="rId100" xr:uid="{E3596A33-51B2-4FDE-AABF-7C0B4AEF6555}"/>
    <hyperlink ref="E129" r:id="rId101" xr:uid="{2D95A6A8-DF2A-4DD0-989B-741095AA5D17}"/>
    <hyperlink ref="E130" r:id="rId102" xr:uid="{08D53ACB-82B4-4978-9060-EF2F98DCC575}"/>
    <hyperlink ref="E131" r:id="rId103" xr:uid="{3CD50F19-3562-4FFD-A0D8-9A58204F01C8}"/>
    <hyperlink ref="E132" r:id="rId104" xr:uid="{442514F7-131D-40A0-839C-90BEB724E21B}"/>
    <hyperlink ref="E133" r:id="rId105" xr:uid="{1A1C5D4C-82BA-45BC-9B09-17D9C9E85558}"/>
    <hyperlink ref="E134" r:id="rId106" xr:uid="{B66FE6E8-426C-4C81-ADB5-D1AF7977DA06}"/>
    <hyperlink ref="E135" r:id="rId107" xr:uid="{493DA918-2067-410D-B48D-C73F8B951590}"/>
    <hyperlink ref="E136" r:id="rId108" xr:uid="{CBF7BAB4-CC74-4027-96B4-EBF631DEA88E}"/>
    <hyperlink ref="E137" r:id="rId109" xr:uid="{9768F376-004E-488F-AA3C-2644A376EC48}"/>
    <hyperlink ref="E138" r:id="rId110" xr:uid="{68B8F513-6151-495A-8E96-C7AB8AF1FAE5}"/>
    <hyperlink ref="E139" r:id="rId111" xr:uid="{D81C5D69-FFAD-4A00-9732-AE9D8820B7B6}"/>
    <hyperlink ref="E140" r:id="rId112" xr:uid="{707F71A6-C30B-4C3F-9EDC-EB6C55C7FF8F}"/>
    <hyperlink ref="E141" r:id="rId113" xr:uid="{DE9B80CC-478B-48B5-B32A-C95D08421660}"/>
    <hyperlink ref="E142" r:id="rId114" xr:uid="{1D0DD009-FA8C-4130-8E48-3216F5FA9529}"/>
    <hyperlink ref="E143" r:id="rId115" xr:uid="{3B733101-B884-4A6A-8625-20EE6D292568}"/>
    <hyperlink ref="E144" r:id="rId116" xr:uid="{78B5732E-0B13-4982-B1C3-BD16285278AF}"/>
    <hyperlink ref="E145" r:id="rId117" xr:uid="{78F50E9F-96FA-4CBB-9123-05A8CB63F9E0}"/>
    <hyperlink ref="E146" r:id="rId118" xr:uid="{0A4C1672-9548-49D2-BF18-169738A5E70C}"/>
    <hyperlink ref="E147" r:id="rId119" xr:uid="{4B8B4399-2073-406B-9A40-DAA46DC2A48B}"/>
    <hyperlink ref="E148" r:id="rId120" xr:uid="{E6DEFD88-8177-4E82-AF49-2724EFA5ED87}"/>
    <hyperlink ref="E149" r:id="rId121" xr:uid="{C85FD577-998E-438F-802A-26761CFEA3AF}"/>
    <hyperlink ref="E150" r:id="rId122" xr:uid="{DD689D8D-E814-4098-B956-DC4B657255C7}"/>
    <hyperlink ref="E151" r:id="rId123" xr:uid="{86A8B4B3-35C7-4ABD-ABEF-67FCD9AE21E7}"/>
  </hyperlinks>
  <pageMargins left="0.7" right="0.7" top="0.75" bottom="0.75" header="0.3" footer="0.3"/>
  <pageSetup paperSize="9" orientation="portrait" r:id="rId1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42692-1B3B-46C5-A4FF-3E5052D0D404}">
  <dimension ref="A1:BD51"/>
  <sheetViews>
    <sheetView zoomScale="70" zoomScaleNormal="70" workbookViewId="0">
      <pane xSplit="1" ySplit="2" topLeftCell="B3" activePane="bottomRight" state="frozen"/>
      <selection pane="topRight" activeCell="D1" sqref="D1"/>
      <selection pane="bottomLeft" activeCell="A3" sqref="A3"/>
      <selection pane="bottomRight" activeCell="A3" sqref="A3"/>
    </sheetView>
  </sheetViews>
  <sheetFormatPr defaultColWidth="9.109375" defaultRowHeight="15.6" x14ac:dyDescent="0.3"/>
  <cols>
    <col min="1" max="1" width="24.6640625" style="19" customWidth="1"/>
    <col min="2" max="2" width="14.44140625" style="71" customWidth="1"/>
    <col min="3" max="3" width="17.109375" style="19" customWidth="1"/>
    <col min="4" max="4" width="24.44140625" style="88" customWidth="1"/>
    <col min="5" max="5" width="22.5546875" style="65" customWidth="1"/>
    <col min="6" max="6" width="13" style="71" customWidth="1"/>
    <col min="7" max="7" width="30.88671875" style="19" customWidth="1"/>
    <col min="8" max="8" width="20.33203125" style="65" customWidth="1"/>
    <col min="9" max="9" width="30.88671875" style="65" customWidth="1"/>
    <col min="10" max="10" width="20.6640625" style="19" customWidth="1"/>
    <col min="11" max="11" width="21.44140625" style="19" customWidth="1"/>
    <col min="12" max="12" width="22" style="62" customWidth="1"/>
    <col min="13" max="13" width="23.33203125" style="19" customWidth="1"/>
    <col min="14" max="14" width="24.44140625" style="65" customWidth="1"/>
    <col min="15" max="15" width="35" style="65" customWidth="1"/>
    <col min="16" max="16" width="14.109375" style="65" customWidth="1"/>
    <col min="17" max="17" width="16.6640625" style="19" customWidth="1"/>
    <col min="18" max="18" width="15.6640625" style="19" customWidth="1"/>
    <col min="19" max="19" width="12.6640625" style="19" customWidth="1"/>
    <col min="20" max="20" width="15.33203125" style="66" customWidth="1"/>
    <col min="21" max="21" width="14.44140625" style="19" customWidth="1"/>
    <col min="22" max="22" width="15.33203125" style="71" customWidth="1"/>
    <col min="23" max="23" width="22.6640625" style="19" customWidth="1"/>
    <col min="24" max="24" width="15.33203125" style="19" customWidth="1"/>
    <col min="25" max="25" width="16.5546875" style="19" customWidth="1"/>
    <col min="26" max="26" width="23.6640625" style="19" customWidth="1"/>
    <col min="27" max="27" width="17.5546875" style="19" customWidth="1"/>
    <col min="28" max="28" width="24.6640625" style="19" customWidth="1"/>
    <col min="29" max="29" width="15.33203125" style="19" customWidth="1"/>
    <col min="30" max="30" width="14" style="19" customWidth="1"/>
    <col min="31" max="31" width="23.6640625" style="19" customWidth="1"/>
    <col min="32" max="32" width="17.5546875" style="19" customWidth="1"/>
    <col min="33" max="33" width="27.88671875" style="19" customWidth="1"/>
    <col min="34" max="34" width="15.33203125" style="62" customWidth="1"/>
    <col min="35" max="35" width="14" style="62" customWidth="1"/>
    <col min="36" max="36" width="23.6640625" style="62" customWidth="1"/>
    <col min="37" max="37" width="17.5546875" style="62" customWidth="1"/>
    <col min="38" max="38" width="24.6640625" style="62" customWidth="1"/>
    <col min="39" max="39" width="28.33203125" style="62" customWidth="1"/>
    <col min="40" max="40" width="24.5546875" style="62" customWidth="1"/>
    <col min="41" max="41" width="21" style="62" customWidth="1"/>
    <col min="42" max="42" width="30.88671875" style="65" customWidth="1"/>
    <col min="43" max="43" width="16.109375" style="71" customWidth="1"/>
    <col min="44" max="44" width="15.109375" style="71" customWidth="1"/>
    <col min="45" max="45" width="13.33203125" style="71" customWidth="1"/>
    <col min="46" max="46" width="13" style="71" customWidth="1"/>
    <col min="47" max="47" width="14.6640625" style="71" customWidth="1"/>
    <col min="48" max="48" width="12.88671875" style="89" customWidth="1"/>
    <col min="49" max="49" width="16.6640625" style="65" customWidth="1"/>
    <col min="50" max="16384" width="9.109375" style="19"/>
  </cols>
  <sheetData>
    <row r="1" spans="1:56"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row>
    <row r="2" spans="1:56" ht="40.950000000000003" customHeight="1" x14ac:dyDescent="0.3">
      <c r="A2" s="20"/>
      <c r="B2" s="21"/>
      <c r="C2" s="24"/>
      <c r="D2" s="25"/>
      <c r="E2" s="23"/>
      <c r="F2" s="22"/>
      <c r="G2" s="23"/>
      <c r="H2" s="23"/>
      <c r="I2" s="26"/>
      <c r="J2" s="27"/>
      <c r="K2" s="26"/>
      <c r="L2" s="26"/>
      <c r="M2" s="26"/>
      <c r="N2" s="28"/>
      <c r="O2" s="28"/>
      <c r="P2" s="28"/>
      <c r="Q2" s="26"/>
      <c r="R2" s="26"/>
      <c r="S2" s="27"/>
      <c r="T2" s="29"/>
      <c r="U2" s="27"/>
      <c r="V2" s="21"/>
      <c r="W2" s="30" t="s">
        <v>27</v>
      </c>
      <c r="X2" s="30" t="s">
        <v>28</v>
      </c>
      <c r="Y2" s="30" t="s">
        <v>29</v>
      </c>
      <c r="Z2" s="30" t="s">
        <v>30</v>
      </c>
      <c r="AA2" s="30" t="s">
        <v>31</v>
      </c>
      <c r="AB2" s="30" t="s">
        <v>32</v>
      </c>
      <c r="AC2" s="30" t="s">
        <v>33</v>
      </c>
      <c r="AD2" s="30" t="s">
        <v>29</v>
      </c>
      <c r="AE2" s="30" t="s">
        <v>30</v>
      </c>
      <c r="AF2" s="30" t="s">
        <v>31</v>
      </c>
      <c r="AG2" s="30" t="s">
        <v>32</v>
      </c>
      <c r="AH2" s="30" t="s">
        <v>34</v>
      </c>
      <c r="AI2" s="30" t="s">
        <v>29</v>
      </c>
      <c r="AJ2" s="30" t="s">
        <v>30</v>
      </c>
      <c r="AK2" s="30" t="s">
        <v>31</v>
      </c>
      <c r="AL2" s="30" t="s">
        <v>32</v>
      </c>
      <c r="AM2" s="30" t="s">
        <v>35</v>
      </c>
      <c r="AN2" s="30" t="s">
        <v>36</v>
      </c>
      <c r="AO2" s="30" t="s">
        <v>37</v>
      </c>
      <c r="AP2" s="31"/>
      <c r="AQ2" s="32" t="s">
        <v>28</v>
      </c>
      <c r="AR2" s="32" t="s">
        <v>33</v>
      </c>
      <c r="AS2" s="32" t="s">
        <v>34</v>
      </c>
      <c r="AT2" s="32" t="s">
        <v>28</v>
      </c>
      <c r="AU2" s="32" t="s">
        <v>33</v>
      </c>
      <c r="AV2" s="32" t="s">
        <v>34</v>
      </c>
      <c r="AW2" s="28"/>
    </row>
    <row r="3" spans="1:56" s="34" customFormat="1" ht="64.95" customHeight="1" x14ac:dyDescent="0.3">
      <c r="A3" s="35" t="s">
        <v>2076</v>
      </c>
      <c r="B3" s="38">
        <v>44951</v>
      </c>
      <c r="C3" s="40" t="s">
        <v>2077</v>
      </c>
      <c r="D3" s="39" t="s">
        <v>2078</v>
      </c>
      <c r="E3" s="1" t="s">
        <v>2079</v>
      </c>
      <c r="F3" s="36">
        <v>44974</v>
      </c>
      <c r="G3" s="37" t="s">
        <v>2080</v>
      </c>
      <c r="H3" s="40" t="s">
        <v>2081</v>
      </c>
      <c r="I3" s="40" t="s">
        <v>2082</v>
      </c>
      <c r="J3" s="57">
        <v>58710268.700000003</v>
      </c>
      <c r="K3" s="41">
        <v>58410861.299999997</v>
      </c>
      <c r="L3" s="30">
        <v>58410861.299999997</v>
      </c>
      <c r="M3" s="30">
        <v>58410861.299999997</v>
      </c>
      <c r="N3" s="40" t="s">
        <v>2083</v>
      </c>
      <c r="O3" s="40" t="s">
        <v>2084</v>
      </c>
      <c r="P3" s="40" t="s">
        <v>47</v>
      </c>
      <c r="Q3" s="44">
        <v>100</v>
      </c>
      <c r="R3" s="37">
        <v>0</v>
      </c>
      <c r="S3" s="37" t="s">
        <v>1964</v>
      </c>
      <c r="T3" s="48">
        <v>10</v>
      </c>
      <c r="U3" s="30">
        <v>66.33</v>
      </c>
      <c r="V3" s="41">
        <v>663.3</v>
      </c>
      <c r="W3" s="41">
        <v>880610</v>
      </c>
      <c r="X3" s="41">
        <v>88060</v>
      </c>
      <c r="Y3" s="41">
        <v>0</v>
      </c>
      <c r="Z3" s="41">
        <v>0</v>
      </c>
      <c r="AA3" s="41">
        <v>0</v>
      </c>
      <c r="AB3" s="41">
        <v>0</v>
      </c>
      <c r="AC3" s="41">
        <v>792550</v>
      </c>
      <c r="AD3" s="41">
        <v>0</v>
      </c>
      <c r="AE3" s="41">
        <v>0</v>
      </c>
      <c r="AF3" s="41">
        <v>0</v>
      </c>
      <c r="AG3" s="41">
        <v>0</v>
      </c>
      <c r="AH3" s="41">
        <v>0</v>
      </c>
      <c r="AI3" s="41">
        <v>0</v>
      </c>
      <c r="AJ3" s="41">
        <v>0</v>
      </c>
      <c r="AK3" s="41">
        <v>0</v>
      </c>
      <c r="AL3" s="41">
        <v>0</v>
      </c>
      <c r="AM3" s="41"/>
      <c r="AN3" s="41">
        <v>88061</v>
      </c>
      <c r="AO3" s="41">
        <v>88061</v>
      </c>
      <c r="AP3" s="40"/>
      <c r="AQ3" s="36">
        <v>45047</v>
      </c>
      <c r="AR3" s="36">
        <v>45200</v>
      </c>
      <c r="AS3" s="36"/>
      <c r="AT3" s="36">
        <v>45061</v>
      </c>
      <c r="AU3" s="36">
        <v>45214</v>
      </c>
      <c r="AV3" s="38"/>
      <c r="AW3" s="40" t="s">
        <v>87</v>
      </c>
      <c r="AX3" s="19"/>
      <c r="AY3" s="19"/>
      <c r="AZ3" s="19"/>
      <c r="BA3" s="19"/>
      <c r="BB3" s="19"/>
      <c r="BC3" s="19"/>
      <c r="BD3" s="19"/>
    </row>
    <row r="4" spans="1:56" s="34" customFormat="1" ht="102" customHeight="1" x14ac:dyDescent="0.3">
      <c r="A4" s="35" t="s">
        <v>2085</v>
      </c>
      <c r="B4" s="38">
        <v>44951</v>
      </c>
      <c r="C4" s="40" t="s">
        <v>2077</v>
      </c>
      <c r="D4" s="39" t="s">
        <v>2086</v>
      </c>
      <c r="E4" s="1" t="s">
        <v>2087</v>
      </c>
      <c r="F4" s="36">
        <v>44974</v>
      </c>
      <c r="G4" s="37" t="s">
        <v>2088</v>
      </c>
      <c r="H4" s="40" t="s">
        <v>2089</v>
      </c>
      <c r="I4" s="40" t="s">
        <v>2090</v>
      </c>
      <c r="J4" s="57">
        <v>132067725.23999999</v>
      </c>
      <c r="K4" s="41">
        <v>131394112.48</v>
      </c>
      <c r="L4" s="30">
        <v>131394112.48</v>
      </c>
      <c r="M4" s="30">
        <v>131394112.48</v>
      </c>
      <c r="N4" s="40" t="s">
        <v>2091</v>
      </c>
      <c r="O4" s="40" t="s">
        <v>2092</v>
      </c>
      <c r="P4" s="40" t="s">
        <v>47</v>
      </c>
      <c r="Q4" s="44">
        <v>100</v>
      </c>
      <c r="R4" s="37">
        <v>0</v>
      </c>
      <c r="S4" s="37" t="s">
        <v>1964</v>
      </c>
      <c r="T4" s="48">
        <v>10</v>
      </c>
      <c r="U4" s="30">
        <v>33.160000000000004</v>
      </c>
      <c r="V4" s="41">
        <v>331.6</v>
      </c>
      <c r="W4" s="41">
        <v>3962428</v>
      </c>
      <c r="X4" s="41">
        <v>396240</v>
      </c>
      <c r="Y4" s="41">
        <v>0</v>
      </c>
      <c r="Z4" s="41">
        <v>0</v>
      </c>
      <c r="AA4" s="41">
        <v>0</v>
      </c>
      <c r="AB4" s="41">
        <v>0</v>
      </c>
      <c r="AC4" s="41">
        <v>3566188</v>
      </c>
      <c r="AD4" s="41">
        <v>0</v>
      </c>
      <c r="AE4" s="41">
        <v>0</v>
      </c>
      <c r="AF4" s="41">
        <v>0</v>
      </c>
      <c r="AG4" s="41">
        <v>0</v>
      </c>
      <c r="AH4" s="41">
        <v>0</v>
      </c>
      <c r="AI4" s="41">
        <v>0</v>
      </c>
      <c r="AJ4" s="41">
        <v>0</v>
      </c>
      <c r="AK4" s="41">
        <v>0</v>
      </c>
      <c r="AL4" s="41">
        <v>0</v>
      </c>
      <c r="AM4" s="41"/>
      <c r="AN4" s="41">
        <v>396242.8</v>
      </c>
      <c r="AO4" s="41">
        <v>396243</v>
      </c>
      <c r="AP4" s="40"/>
      <c r="AQ4" s="36">
        <v>45047</v>
      </c>
      <c r="AR4" s="36">
        <v>45200</v>
      </c>
      <c r="AS4" s="36"/>
      <c r="AT4" s="36">
        <v>45061</v>
      </c>
      <c r="AU4" s="36">
        <v>45214</v>
      </c>
      <c r="AV4" s="38"/>
      <c r="AW4" s="40" t="s">
        <v>75</v>
      </c>
      <c r="AX4" s="19"/>
      <c r="AY4" s="19"/>
      <c r="AZ4" s="19"/>
      <c r="BA4" s="19"/>
      <c r="BB4" s="19"/>
      <c r="BC4" s="19"/>
      <c r="BD4" s="19"/>
    </row>
    <row r="5" spans="1:56" s="34" customFormat="1" ht="91.5" customHeight="1" x14ac:dyDescent="0.3">
      <c r="A5" s="35" t="s">
        <v>2093</v>
      </c>
      <c r="B5" s="38">
        <v>44951</v>
      </c>
      <c r="C5" s="40" t="s">
        <v>2077</v>
      </c>
      <c r="D5" s="39" t="s">
        <v>2094</v>
      </c>
      <c r="E5" s="1" t="s">
        <v>2095</v>
      </c>
      <c r="F5" s="36">
        <v>44974</v>
      </c>
      <c r="G5" s="37" t="s">
        <v>2096</v>
      </c>
      <c r="H5" s="40" t="s">
        <v>2097</v>
      </c>
      <c r="I5" s="40" t="s">
        <v>2098</v>
      </c>
      <c r="J5" s="57">
        <v>102299300</v>
      </c>
      <c r="K5" s="41">
        <v>101767343.64</v>
      </c>
      <c r="L5" s="30">
        <v>101829120.72</v>
      </c>
      <c r="M5" s="30">
        <v>101829120.72</v>
      </c>
      <c r="N5" s="40" t="s">
        <v>2099</v>
      </c>
      <c r="O5" s="40" t="s">
        <v>2100</v>
      </c>
      <c r="P5" s="40" t="s">
        <v>47</v>
      </c>
      <c r="Q5" s="44">
        <v>100</v>
      </c>
      <c r="R5" s="37">
        <v>0</v>
      </c>
      <c r="S5" s="37" t="s">
        <v>1964</v>
      </c>
      <c r="T5" s="48">
        <v>10</v>
      </c>
      <c r="U5" s="30">
        <v>49.74</v>
      </c>
      <c r="V5" s="41">
        <v>497.40000000000003</v>
      </c>
      <c r="W5" s="41">
        <v>2047228</v>
      </c>
      <c r="X5" s="41">
        <v>204590</v>
      </c>
      <c r="Y5" s="41">
        <v>0</v>
      </c>
      <c r="Z5" s="41">
        <v>0</v>
      </c>
      <c r="AA5" s="41">
        <v>0</v>
      </c>
      <c r="AB5" s="41">
        <v>0</v>
      </c>
      <c r="AC5" s="41">
        <v>1842638</v>
      </c>
      <c r="AD5" s="41">
        <v>0</v>
      </c>
      <c r="AE5" s="41">
        <v>0</v>
      </c>
      <c r="AF5" s="41">
        <v>0</v>
      </c>
      <c r="AG5" s="41">
        <v>0</v>
      </c>
      <c r="AH5" s="41">
        <v>0</v>
      </c>
      <c r="AI5" s="41">
        <v>0</v>
      </c>
      <c r="AJ5" s="41">
        <v>0</v>
      </c>
      <c r="AK5" s="41">
        <v>0</v>
      </c>
      <c r="AL5" s="41">
        <v>0</v>
      </c>
      <c r="AM5" s="41"/>
      <c r="AN5" s="41">
        <v>204722.8</v>
      </c>
      <c r="AO5" s="41">
        <v>204723</v>
      </c>
      <c r="AP5" s="40"/>
      <c r="AQ5" s="36">
        <v>45047</v>
      </c>
      <c r="AR5" s="36">
        <v>45200</v>
      </c>
      <c r="AS5" s="36"/>
      <c r="AT5" s="36">
        <v>45061</v>
      </c>
      <c r="AU5" s="36">
        <v>45214</v>
      </c>
      <c r="AV5" s="38"/>
      <c r="AW5" s="40" t="s">
        <v>75</v>
      </c>
      <c r="AX5" s="19"/>
      <c r="AY5" s="19"/>
      <c r="AZ5" s="19"/>
      <c r="BA5" s="19"/>
      <c r="BB5" s="19"/>
      <c r="BC5" s="19"/>
      <c r="BD5" s="19"/>
    </row>
    <row r="6" spans="1:56" ht="79.5" customHeight="1" x14ac:dyDescent="0.3">
      <c r="A6" s="35" t="s">
        <v>2101</v>
      </c>
      <c r="B6" s="38">
        <v>44951</v>
      </c>
      <c r="C6" s="40" t="s">
        <v>2077</v>
      </c>
      <c r="D6" s="39" t="s">
        <v>2102</v>
      </c>
      <c r="E6" s="1" t="s">
        <v>2103</v>
      </c>
      <c r="F6" s="36">
        <v>44984</v>
      </c>
      <c r="G6" s="37" t="s">
        <v>2104</v>
      </c>
      <c r="H6" s="40" t="s">
        <v>571</v>
      </c>
      <c r="I6" s="40" t="s">
        <v>2105</v>
      </c>
      <c r="J6" s="57">
        <v>1102189700</v>
      </c>
      <c r="K6" s="41">
        <v>1019525472.5</v>
      </c>
      <c r="L6" s="30">
        <v>1025614840</v>
      </c>
      <c r="M6" s="30">
        <v>1025614840</v>
      </c>
      <c r="N6" s="40" t="s">
        <v>2106</v>
      </c>
      <c r="O6" s="40" t="s">
        <v>2107</v>
      </c>
      <c r="P6" s="40" t="s">
        <v>47</v>
      </c>
      <c r="Q6" s="44">
        <v>100</v>
      </c>
      <c r="R6" s="37">
        <v>0</v>
      </c>
      <c r="S6" s="37" t="s">
        <v>1964</v>
      </c>
      <c r="T6" s="48">
        <v>10</v>
      </c>
      <c r="U6" s="30">
        <v>92.5</v>
      </c>
      <c r="V6" s="41">
        <v>925</v>
      </c>
      <c r="W6" s="41">
        <v>11087728</v>
      </c>
      <c r="X6" s="41">
        <v>1102190</v>
      </c>
      <c r="Y6" s="41">
        <v>0</v>
      </c>
      <c r="Z6" s="41">
        <v>0</v>
      </c>
      <c r="AA6" s="41">
        <v>0</v>
      </c>
      <c r="AB6" s="41">
        <v>0</v>
      </c>
      <c r="AC6" s="41">
        <v>9985538</v>
      </c>
      <c r="AD6" s="41">
        <v>0</v>
      </c>
      <c r="AE6" s="41">
        <v>0</v>
      </c>
      <c r="AF6" s="41">
        <v>0</v>
      </c>
      <c r="AG6" s="41">
        <v>0</v>
      </c>
      <c r="AH6" s="41">
        <v>0</v>
      </c>
      <c r="AI6" s="41">
        <v>0</v>
      </c>
      <c r="AJ6" s="41">
        <v>0</v>
      </c>
      <c r="AK6" s="41">
        <v>0</v>
      </c>
      <c r="AL6" s="41">
        <v>0</v>
      </c>
      <c r="AM6" s="41"/>
      <c r="AN6" s="41">
        <v>1108772.8</v>
      </c>
      <c r="AO6" s="41">
        <v>1108773</v>
      </c>
      <c r="AP6" s="40"/>
      <c r="AQ6" s="36">
        <v>45047</v>
      </c>
      <c r="AR6" s="36">
        <v>45200</v>
      </c>
      <c r="AS6" s="36"/>
      <c r="AT6" s="36">
        <v>45061</v>
      </c>
      <c r="AU6" s="36">
        <v>45214</v>
      </c>
      <c r="AV6" s="38"/>
      <c r="AW6" s="40" t="s">
        <v>75</v>
      </c>
    </row>
    <row r="7" spans="1:56" ht="79.5" customHeight="1" x14ac:dyDescent="0.3">
      <c r="A7" s="35" t="s">
        <v>2180</v>
      </c>
      <c r="B7" s="38">
        <v>44957</v>
      </c>
      <c r="C7" s="37" t="s">
        <v>2077</v>
      </c>
      <c r="D7" s="39" t="s">
        <v>2181</v>
      </c>
      <c r="E7" s="1" t="s">
        <v>2182</v>
      </c>
      <c r="F7" s="36">
        <v>44978</v>
      </c>
      <c r="G7" s="37" t="s">
        <v>2183</v>
      </c>
      <c r="H7" s="40" t="s">
        <v>571</v>
      </c>
      <c r="I7" s="40" t="s">
        <v>2184</v>
      </c>
      <c r="J7" s="41">
        <v>7311427.6399999997</v>
      </c>
      <c r="K7" s="41">
        <v>4486557.87</v>
      </c>
      <c r="L7" s="30">
        <v>4486557.87</v>
      </c>
      <c r="M7" s="30">
        <v>4486557.87</v>
      </c>
      <c r="N7" s="40" t="s">
        <v>2185</v>
      </c>
      <c r="O7" s="40" t="s">
        <v>2186</v>
      </c>
      <c r="P7" s="40" t="s">
        <v>47</v>
      </c>
      <c r="Q7" s="44">
        <v>100</v>
      </c>
      <c r="R7" s="37">
        <v>0</v>
      </c>
      <c r="S7" s="37" t="s">
        <v>219</v>
      </c>
      <c r="T7" s="48">
        <v>250</v>
      </c>
      <c r="U7" s="30">
        <v>0.27</v>
      </c>
      <c r="V7" s="41">
        <v>67.5</v>
      </c>
      <c r="W7" s="41">
        <v>16616881</v>
      </c>
      <c r="X7" s="41">
        <v>16616881</v>
      </c>
      <c r="Y7" s="41">
        <v>0</v>
      </c>
      <c r="Z7" s="41">
        <v>0</v>
      </c>
      <c r="AA7" s="41">
        <v>0</v>
      </c>
      <c r="AB7" s="41">
        <v>0</v>
      </c>
      <c r="AC7" s="41">
        <v>0</v>
      </c>
      <c r="AD7" s="41">
        <v>0</v>
      </c>
      <c r="AE7" s="41">
        <v>0</v>
      </c>
      <c r="AF7" s="41">
        <v>0</v>
      </c>
      <c r="AG7" s="41">
        <v>0</v>
      </c>
      <c r="AH7" s="41">
        <v>0</v>
      </c>
      <c r="AI7" s="41">
        <v>0</v>
      </c>
      <c r="AJ7" s="41">
        <v>0</v>
      </c>
      <c r="AK7" s="41">
        <v>0</v>
      </c>
      <c r="AL7" s="41">
        <v>0</v>
      </c>
      <c r="AM7" s="41"/>
      <c r="AN7" s="41">
        <v>66467.524000000005</v>
      </c>
      <c r="AO7" s="41">
        <v>66468</v>
      </c>
      <c r="AP7" s="40"/>
      <c r="AQ7" s="36">
        <v>45047</v>
      </c>
      <c r="AR7" s="36"/>
      <c r="AS7" s="36"/>
      <c r="AT7" s="36">
        <v>45061</v>
      </c>
      <c r="AU7" s="36"/>
      <c r="AV7" s="38"/>
      <c r="AW7" s="40" t="s">
        <v>87</v>
      </c>
    </row>
    <row r="8" spans="1:56" s="34" customFormat="1" ht="92.25" customHeight="1" x14ac:dyDescent="0.3">
      <c r="A8" s="35" t="s">
        <v>2242</v>
      </c>
      <c r="B8" s="36">
        <v>44960</v>
      </c>
      <c r="C8" s="37" t="s">
        <v>2077</v>
      </c>
      <c r="D8" s="39" t="s">
        <v>459</v>
      </c>
      <c r="E8" s="1" t="s">
        <v>2243</v>
      </c>
      <c r="F8" s="36" t="s">
        <v>459</v>
      </c>
      <c r="G8" s="37" t="s">
        <v>459</v>
      </c>
      <c r="H8" s="40" t="s">
        <v>459</v>
      </c>
      <c r="I8" s="40" t="s">
        <v>2244</v>
      </c>
      <c r="J8" s="41">
        <v>10272531.9</v>
      </c>
      <c r="K8" s="41">
        <v>0</v>
      </c>
      <c r="L8" s="30">
        <v>0</v>
      </c>
      <c r="M8" s="30">
        <v>0</v>
      </c>
      <c r="N8" s="40"/>
      <c r="O8" s="40"/>
      <c r="P8" s="40"/>
      <c r="Q8" s="44"/>
      <c r="R8" s="37"/>
      <c r="S8" s="37"/>
      <c r="T8" s="48"/>
      <c r="U8" s="30" t="e">
        <v>#DIV/0!</v>
      </c>
      <c r="V8" s="41" t="e">
        <v>#DIV/0!</v>
      </c>
      <c r="W8" s="41">
        <v>0</v>
      </c>
      <c r="X8" s="41"/>
      <c r="Y8" s="41"/>
      <c r="Z8" s="41"/>
      <c r="AA8" s="41"/>
      <c r="AB8" s="41"/>
      <c r="AC8" s="41"/>
      <c r="AD8" s="41"/>
      <c r="AE8" s="41"/>
      <c r="AF8" s="41"/>
      <c r="AG8" s="41"/>
      <c r="AH8" s="41"/>
      <c r="AI8" s="41"/>
      <c r="AJ8" s="41"/>
      <c r="AK8" s="41"/>
      <c r="AL8" s="41"/>
      <c r="AM8" s="41"/>
      <c r="AN8" s="41" t="e">
        <v>#DIV/0!</v>
      </c>
      <c r="AO8" s="41" t="e">
        <v>#DIV/0!</v>
      </c>
      <c r="AP8" s="40"/>
      <c r="AQ8" s="36"/>
      <c r="AR8" s="36"/>
      <c r="AS8" s="36"/>
      <c r="AT8" s="36"/>
      <c r="AU8" s="36"/>
      <c r="AV8" s="38"/>
      <c r="AW8" s="40"/>
    </row>
    <row r="9" spans="1:56" ht="81.599999999999994" customHeight="1" x14ac:dyDescent="0.3">
      <c r="A9" s="35" t="s">
        <v>2291</v>
      </c>
      <c r="B9" s="36">
        <v>44965</v>
      </c>
      <c r="C9" s="37" t="s">
        <v>2077</v>
      </c>
      <c r="D9" s="39" t="s">
        <v>2287</v>
      </c>
      <c r="E9" s="1" t="s">
        <v>2292</v>
      </c>
      <c r="F9" s="36">
        <v>44991</v>
      </c>
      <c r="G9" s="35" t="s">
        <v>2293</v>
      </c>
      <c r="H9" s="40" t="s">
        <v>2003</v>
      </c>
      <c r="I9" s="40" t="s">
        <v>2294</v>
      </c>
      <c r="J9" s="41">
        <v>11908356.199999999</v>
      </c>
      <c r="K9" s="41">
        <v>11908356.199999999</v>
      </c>
      <c r="L9" s="30">
        <v>11928975.699999999</v>
      </c>
      <c r="M9" s="30">
        <v>11928975.699999999</v>
      </c>
      <c r="N9" s="40" t="s">
        <v>2295</v>
      </c>
      <c r="O9" s="40" t="s">
        <v>2296</v>
      </c>
      <c r="P9" s="40" t="s">
        <v>47</v>
      </c>
      <c r="Q9" s="44">
        <v>100</v>
      </c>
      <c r="R9" s="37">
        <v>0</v>
      </c>
      <c r="S9" s="37" t="s">
        <v>1964</v>
      </c>
      <c r="T9" s="48">
        <v>100</v>
      </c>
      <c r="U9" s="30">
        <v>16.3</v>
      </c>
      <c r="V9" s="41">
        <v>1630</v>
      </c>
      <c r="W9" s="41">
        <v>731839</v>
      </c>
      <c r="X9" s="41">
        <v>511400</v>
      </c>
      <c r="Y9" s="41">
        <v>0</v>
      </c>
      <c r="Z9" s="41">
        <v>0</v>
      </c>
      <c r="AA9" s="41">
        <v>0</v>
      </c>
      <c r="AB9" s="41">
        <v>0</v>
      </c>
      <c r="AC9" s="41">
        <v>220439</v>
      </c>
      <c r="AD9" s="41">
        <v>0</v>
      </c>
      <c r="AE9" s="41">
        <v>0</v>
      </c>
      <c r="AF9" s="41">
        <v>0</v>
      </c>
      <c r="AG9" s="41">
        <v>0</v>
      </c>
      <c r="AH9" s="41">
        <v>0</v>
      </c>
      <c r="AI9" s="41">
        <v>0</v>
      </c>
      <c r="AJ9" s="41">
        <v>0</v>
      </c>
      <c r="AK9" s="41">
        <v>0</v>
      </c>
      <c r="AL9" s="41">
        <v>0</v>
      </c>
      <c r="AM9" s="41"/>
      <c r="AN9" s="41">
        <v>7318.39</v>
      </c>
      <c r="AO9" s="41">
        <v>7319</v>
      </c>
      <c r="AP9" s="40"/>
      <c r="AQ9" s="36">
        <v>45047</v>
      </c>
      <c r="AR9" s="36">
        <v>45170</v>
      </c>
      <c r="AS9" s="36"/>
      <c r="AT9" s="36">
        <v>45061</v>
      </c>
      <c r="AU9" s="36">
        <v>45184</v>
      </c>
      <c r="AV9" s="38"/>
      <c r="AW9" s="40" t="s">
        <v>75</v>
      </c>
    </row>
    <row r="10" spans="1:56" ht="81.599999999999994" customHeight="1" x14ac:dyDescent="0.3">
      <c r="A10" s="35" t="s">
        <v>2297</v>
      </c>
      <c r="B10" s="36">
        <v>44965</v>
      </c>
      <c r="C10" s="37" t="s">
        <v>2077</v>
      </c>
      <c r="D10" s="39" t="s">
        <v>2298</v>
      </c>
      <c r="E10" s="1" t="s">
        <v>2299</v>
      </c>
      <c r="F10" s="36">
        <v>44994</v>
      </c>
      <c r="G10" s="37" t="s">
        <v>2300</v>
      </c>
      <c r="H10" s="40" t="s">
        <v>2081</v>
      </c>
      <c r="I10" s="40" t="s">
        <v>2301</v>
      </c>
      <c r="J10" s="41">
        <v>293140418.04000002</v>
      </c>
      <c r="K10" s="41">
        <v>291519962.44</v>
      </c>
      <c r="L10" s="30">
        <v>294577830.68000001</v>
      </c>
      <c r="M10" s="30">
        <v>294577830.68000001</v>
      </c>
      <c r="N10" s="40" t="s">
        <v>2302</v>
      </c>
      <c r="O10" s="40" t="s">
        <v>2303</v>
      </c>
      <c r="P10" s="40" t="s">
        <v>47</v>
      </c>
      <c r="Q10" s="44">
        <v>100</v>
      </c>
      <c r="R10" s="37">
        <v>0</v>
      </c>
      <c r="S10" s="37" t="s">
        <v>1964</v>
      </c>
      <c r="T10" s="54" t="s">
        <v>2304</v>
      </c>
      <c r="U10" s="30">
        <v>17.990000000000002</v>
      </c>
      <c r="V10" s="57" t="s">
        <v>2305</v>
      </c>
      <c r="W10" s="41">
        <v>16374532</v>
      </c>
      <c r="X10" s="41">
        <v>11343100</v>
      </c>
      <c r="Y10" s="41">
        <v>0</v>
      </c>
      <c r="Z10" s="41">
        <v>0</v>
      </c>
      <c r="AA10" s="41">
        <v>0</v>
      </c>
      <c r="AB10" s="41">
        <v>0</v>
      </c>
      <c r="AC10" s="41">
        <v>5031432</v>
      </c>
      <c r="AD10" s="41">
        <v>0</v>
      </c>
      <c r="AE10" s="41">
        <v>0</v>
      </c>
      <c r="AF10" s="41">
        <v>0</v>
      </c>
      <c r="AG10" s="41">
        <v>0</v>
      </c>
      <c r="AH10" s="41">
        <v>0</v>
      </c>
      <c r="AI10" s="41">
        <v>0</v>
      </c>
      <c r="AJ10" s="41">
        <v>0</v>
      </c>
      <c r="AK10" s="41">
        <v>0</v>
      </c>
      <c r="AL10" s="41">
        <v>0</v>
      </c>
      <c r="AM10" s="41"/>
      <c r="AN10" s="57" t="s">
        <v>2306</v>
      </c>
      <c r="AO10" s="57" t="s">
        <v>2307</v>
      </c>
      <c r="AP10" s="40"/>
      <c r="AQ10" s="36">
        <v>45047</v>
      </c>
      <c r="AR10" s="36">
        <v>45170</v>
      </c>
      <c r="AS10" s="36"/>
      <c r="AT10" s="36">
        <v>45061</v>
      </c>
      <c r="AU10" s="36">
        <v>45184</v>
      </c>
      <c r="AV10" s="38"/>
      <c r="AW10" s="40" t="s">
        <v>49</v>
      </c>
    </row>
    <row r="11" spans="1:56" ht="133.5" customHeight="1" x14ac:dyDescent="0.3">
      <c r="A11" s="35" t="s">
        <v>2308</v>
      </c>
      <c r="B11" s="36">
        <v>44965</v>
      </c>
      <c r="C11" s="37" t="s">
        <v>2077</v>
      </c>
      <c r="D11" s="39" t="s">
        <v>2309</v>
      </c>
      <c r="E11" s="1" t="s">
        <v>2310</v>
      </c>
      <c r="F11" s="36">
        <v>44998</v>
      </c>
      <c r="G11" s="37" t="s">
        <v>2311</v>
      </c>
      <c r="H11" s="40" t="s">
        <v>2312</v>
      </c>
      <c r="I11" s="40" t="s">
        <v>2313</v>
      </c>
      <c r="J11" s="41">
        <v>2334182.62</v>
      </c>
      <c r="K11" s="41">
        <v>594042.63</v>
      </c>
      <c r="L11" s="30">
        <v>593836.88</v>
      </c>
      <c r="M11" s="30">
        <v>593836.88</v>
      </c>
      <c r="N11" s="40" t="s">
        <v>2314</v>
      </c>
      <c r="O11" s="40" t="s">
        <v>2315</v>
      </c>
      <c r="P11" s="40" t="s">
        <v>47</v>
      </c>
      <c r="Q11" s="44">
        <v>100</v>
      </c>
      <c r="R11" s="37">
        <v>0</v>
      </c>
      <c r="S11" s="37" t="s">
        <v>1489</v>
      </c>
      <c r="T11" s="48">
        <v>12</v>
      </c>
      <c r="U11" s="30">
        <v>22.36</v>
      </c>
      <c r="V11" s="41">
        <v>268.32</v>
      </c>
      <c r="W11" s="41">
        <v>26558</v>
      </c>
      <c r="X11" s="41">
        <v>26558</v>
      </c>
      <c r="Y11" s="41">
        <v>0</v>
      </c>
      <c r="Z11" s="41">
        <v>0</v>
      </c>
      <c r="AA11" s="41">
        <v>0</v>
      </c>
      <c r="AB11" s="41">
        <v>0</v>
      </c>
      <c r="AC11" s="41">
        <v>0</v>
      </c>
      <c r="AD11" s="41">
        <v>0</v>
      </c>
      <c r="AE11" s="41">
        <v>0</v>
      </c>
      <c r="AF11" s="41">
        <v>0</v>
      </c>
      <c r="AG11" s="41">
        <v>0</v>
      </c>
      <c r="AH11" s="41">
        <v>0</v>
      </c>
      <c r="AI11" s="41">
        <v>0</v>
      </c>
      <c r="AJ11" s="41">
        <v>0</v>
      </c>
      <c r="AK11" s="41">
        <v>0</v>
      </c>
      <c r="AL11" s="41">
        <v>0</v>
      </c>
      <c r="AM11" s="41"/>
      <c r="AN11" s="41">
        <v>2213.1666666666665</v>
      </c>
      <c r="AO11" s="41">
        <v>2214</v>
      </c>
      <c r="AP11" s="40"/>
      <c r="AQ11" s="36">
        <v>45047</v>
      </c>
      <c r="AR11" s="36"/>
      <c r="AS11" s="36"/>
      <c r="AT11" s="36">
        <v>45061</v>
      </c>
      <c r="AU11" s="36"/>
      <c r="AV11" s="38"/>
      <c r="AW11" s="40" t="s">
        <v>49</v>
      </c>
    </row>
    <row r="12" spans="1:56" ht="114.6" customHeight="1" x14ac:dyDescent="0.3">
      <c r="A12" s="35" t="s">
        <v>2345</v>
      </c>
      <c r="B12" s="38">
        <v>44967</v>
      </c>
      <c r="C12" s="40" t="s">
        <v>2077</v>
      </c>
      <c r="D12" s="39" t="s">
        <v>2346</v>
      </c>
      <c r="E12" s="1" t="s">
        <v>2347</v>
      </c>
      <c r="F12" s="36">
        <v>44992</v>
      </c>
      <c r="G12" s="37" t="s">
        <v>2348</v>
      </c>
      <c r="H12" s="40" t="s">
        <v>971</v>
      </c>
      <c r="I12" s="40" t="s">
        <v>2349</v>
      </c>
      <c r="J12" s="57">
        <v>7232495</v>
      </c>
      <c r="K12" s="41">
        <v>7232495</v>
      </c>
      <c r="L12" s="30">
        <v>7232495</v>
      </c>
      <c r="M12" s="30">
        <v>7232495</v>
      </c>
      <c r="N12" s="40" t="s">
        <v>2350</v>
      </c>
      <c r="O12" s="40" t="s">
        <v>2351</v>
      </c>
      <c r="P12" s="40" t="s">
        <v>47</v>
      </c>
      <c r="Q12" s="44">
        <v>100</v>
      </c>
      <c r="R12" s="37">
        <v>0</v>
      </c>
      <c r="S12" s="37" t="s">
        <v>1964</v>
      </c>
      <c r="T12" s="54" t="s">
        <v>2352</v>
      </c>
      <c r="U12" s="30">
        <v>3.58</v>
      </c>
      <c r="V12" s="57" t="s">
        <v>2353</v>
      </c>
      <c r="W12" s="41">
        <v>2020250</v>
      </c>
      <c r="X12" s="41">
        <v>1414280</v>
      </c>
      <c r="Y12" s="41">
        <v>0</v>
      </c>
      <c r="Z12" s="41">
        <v>0</v>
      </c>
      <c r="AA12" s="41">
        <v>0</v>
      </c>
      <c r="AB12" s="41">
        <v>0</v>
      </c>
      <c r="AC12" s="41">
        <v>605970</v>
      </c>
      <c r="AD12" s="41">
        <v>0</v>
      </c>
      <c r="AE12" s="41">
        <v>0</v>
      </c>
      <c r="AF12" s="41">
        <v>0</v>
      </c>
      <c r="AG12" s="41">
        <v>0</v>
      </c>
      <c r="AH12" s="41">
        <v>0</v>
      </c>
      <c r="AI12" s="41">
        <v>0</v>
      </c>
      <c r="AJ12" s="41">
        <v>0</v>
      </c>
      <c r="AK12" s="41">
        <v>0</v>
      </c>
      <c r="AL12" s="41">
        <v>0</v>
      </c>
      <c r="AM12" s="41"/>
      <c r="AN12" s="57" t="s">
        <v>2354</v>
      </c>
      <c r="AO12" s="57" t="s">
        <v>2355</v>
      </c>
      <c r="AP12" s="40"/>
      <c r="AQ12" s="36">
        <v>45047</v>
      </c>
      <c r="AR12" s="36">
        <v>45170</v>
      </c>
      <c r="AS12" s="36"/>
      <c r="AT12" s="36">
        <v>45061</v>
      </c>
      <c r="AU12" s="36">
        <v>45184</v>
      </c>
      <c r="AV12" s="38"/>
      <c r="AW12" s="40" t="s">
        <v>87</v>
      </c>
    </row>
    <row r="13" spans="1:56" ht="114.6" customHeight="1" x14ac:dyDescent="0.3">
      <c r="A13" s="35" t="s">
        <v>2356</v>
      </c>
      <c r="B13" s="38">
        <v>44974</v>
      </c>
      <c r="C13" s="40" t="s">
        <v>2077</v>
      </c>
      <c r="D13" s="39" t="s">
        <v>2357</v>
      </c>
      <c r="E13" s="1" t="s">
        <v>2358</v>
      </c>
      <c r="F13" s="36">
        <v>45000</v>
      </c>
      <c r="G13" s="37" t="s">
        <v>2359</v>
      </c>
      <c r="H13" s="40" t="s">
        <v>571</v>
      </c>
      <c r="I13" s="40" t="s">
        <v>2360</v>
      </c>
      <c r="J13" s="57">
        <v>119427462</v>
      </c>
      <c r="K13" s="41">
        <v>119427462</v>
      </c>
      <c r="L13" s="30">
        <v>119427462</v>
      </c>
      <c r="M13" s="30">
        <v>119427462</v>
      </c>
      <c r="N13" s="40" t="s">
        <v>2361</v>
      </c>
      <c r="O13" s="40" t="s">
        <v>2362</v>
      </c>
      <c r="P13" s="40" t="s">
        <v>47</v>
      </c>
      <c r="Q13" s="44">
        <v>100</v>
      </c>
      <c r="R13" s="37">
        <v>0</v>
      </c>
      <c r="S13" s="37" t="s">
        <v>1964</v>
      </c>
      <c r="T13" s="54" t="s">
        <v>2363</v>
      </c>
      <c r="U13" s="30">
        <v>83.58</v>
      </c>
      <c r="V13" s="41" t="e">
        <v>#VALUE!</v>
      </c>
      <c r="W13" s="41">
        <v>1428900</v>
      </c>
      <c r="X13" s="41">
        <v>1002300</v>
      </c>
      <c r="Y13" s="41">
        <v>0</v>
      </c>
      <c r="Z13" s="41">
        <v>0</v>
      </c>
      <c r="AA13" s="41">
        <v>0</v>
      </c>
      <c r="AB13" s="41">
        <v>0</v>
      </c>
      <c r="AC13" s="41">
        <v>426600</v>
      </c>
      <c r="AD13" s="41">
        <v>0</v>
      </c>
      <c r="AE13" s="41">
        <v>0</v>
      </c>
      <c r="AF13" s="41">
        <v>0</v>
      </c>
      <c r="AG13" s="41">
        <v>0</v>
      </c>
      <c r="AH13" s="41">
        <v>0</v>
      </c>
      <c r="AI13" s="41">
        <v>0</v>
      </c>
      <c r="AJ13" s="41">
        <v>0</v>
      </c>
      <c r="AK13" s="41">
        <v>0</v>
      </c>
      <c r="AL13" s="41">
        <v>0</v>
      </c>
      <c r="AM13" s="41"/>
      <c r="AN13" s="41" t="e">
        <v>#VALUE!</v>
      </c>
      <c r="AO13" s="41" t="e">
        <v>#VALUE!</v>
      </c>
      <c r="AP13" s="40"/>
      <c r="AQ13" s="36">
        <v>45047</v>
      </c>
      <c r="AR13" s="36">
        <v>45170</v>
      </c>
      <c r="AS13" s="36"/>
      <c r="AT13" s="36">
        <v>45061</v>
      </c>
      <c r="AU13" s="36">
        <v>45184</v>
      </c>
      <c r="AV13" s="38"/>
      <c r="AW13" s="40" t="s">
        <v>87</v>
      </c>
    </row>
    <row r="14" spans="1:56" ht="114.6" customHeight="1" x14ac:dyDescent="0.3">
      <c r="A14" s="35" t="s">
        <v>2364</v>
      </c>
      <c r="B14" s="38">
        <v>44974</v>
      </c>
      <c r="C14" s="40" t="s">
        <v>2077</v>
      </c>
      <c r="D14" s="39" t="s">
        <v>459</v>
      </c>
      <c r="E14" s="1" t="s">
        <v>2365</v>
      </c>
      <c r="F14" s="36" t="s">
        <v>459</v>
      </c>
      <c r="G14" s="37" t="s">
        <v>459</v>
      </c>
      <c r="H14" s="40" t="s">
        <v>459</v>
      </c>
      <c r="I14" s="40" t="s">
        <v>2366</v>
      </c>
      <c r="J14" s="57">
        <v>353204.5</v>
      </c>
      <c r="K14" s="41">
        <v>0</v>
      </c>
      <c r="L14" s="30">
        <v>0</v>
      </c>
      <c r="M14" s="30">
        <v>0</v>
      </c>
      <c r="N14" s="40"/>
      <c r="O14" s="40"/>
      <c r="P14" s="40"/>
      <c r="Q14" s="44"/>
      <c r="R14" s="37"/>
      <c r="S14" s="37"/>
      <c r="T14" s="48"/>
      <c r="U14" s="30" t="e">
        <v>#DIV/0!</v>
      </c>
      <c r="V14" s="41" t="e">
        <v>#DIV/0!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c r="AN14" s="41" t="e">
        <v>#DIV/0!</v>
      </c>
      <c r="AO14" s="41" t="e">
        <v>#DIV/0!</v>
      </c>
      <c r="AP14" s="40"/>
      <c r="AQ14" s="36"/>
      <c r="AR14" s="36"/>
      <c r="AS14" s="36"/>
      <c r="AT14" s="36"/>
      <c r="AU14" s="36"/>
      <c r="AV14" s="38"/>
      <c r="AW14" s="40"/>
    </row>
    <row r="15" spans="1:56" ht="114.6" customHeight="1" x14ac:dyDescent="0.3">
      <c r="A15" s="35" t="s">
        <v>2367</v>
      </c>
      <c r="B15" s="38">
        <v>44974</v>
      </c>
      <c r="C15" s="40" t="s">
        <v>2077</v>
      </c>
      <c r="D15" s="39" t="s">
        <v>2368</v>
      </c>
      <c r="E15" s="1" t="s">
        <v>2369</v>
      </c>
      <c r="F15" s="36">
        <v>45000</v>
      </c>
      <c r="G15" s="37" t="s">
        <v>2370</v>
      </c>
      <c r="H15" s="40" t="s">
        <v>571</v>
      </c>
      <c r="I15" s="40" t="s">
        <v>2371</v>
      </c>
      <c r="J15" s="57">
        <v>111157200</v>
      </c>
      <c r="K15" s="41">
        <v>111157200</v>
      </c>
      <c r="L15" s="30">
        <v>111157200</v>
      </c>
      <c r="M15" s="30">
        <v>111157200</v>
      </c>
      <c r="N15" s="40" t="s">
        <v>2372</v>
      </c>
      <c r="O15" s="40" t="s">
        <v>2373</v>
      </c>
      <c r="P15" s="40" t="s">
        <v>47</v>
      </c>
      <c r="Q15" s="44">
        <v>100</v>
      </c>
      <c r="R15" s="37">
        <v>0</v>
      </c>
      <c r="S15" s="37" t="s">
        <v>1964</v>
      </c>
      <c r="T15" s="48">
        <v>100</v>
      </c>
      <c r="U15" s="30">
        <v>396</v>
      </c>
      <c r="V15" s="41">
        <v>39600</v>
      </c>
      <c r="W15" s="41">
        <v>280700</v>
      </c>
      <c r="X15" s="41">
        <v>280700</v>
      </c>
      <c r="Y15" s="41">
        <v>0</v>
      </c>
      <c r="Z15" s="41">
        <v>0</v>
      </c>
      <c r="AA15" s="41">
        <v>0</v>
      </c>
      <c r="AB15" s="41">
        <v>0</v>
      </c>
      <c r="AC15" s="41">
        <v>0</v>
      </c>
      <c r="AD15" s="41">
        <v>0</v>
      </c>
      <c r="AE15" s="41">
        <v>0</v>
      </c>
      <c r="AF15" s="41">
        <v>0</v>
      </c>
      <c r="AG15" s="41">
        <v>0</v>
      </c>
      <c r="AH15" s="41">
        <v>0</v>
      </c>
      <c r="AI15" s="41">
        <v>0</v>
      </c>
      <c r="AJ15" s="41">
        <v>0</v>
      </c>
      <c r="AK15" s="41">
        <v>0</v>
      </c>
      <c r="AL15" s="41">
        <v>0</v>
      </c>
      <c r="AM15" s="41"/>
      <c r="AN15" s="41">
        <v>2807</v>
      </c>
      <c r="AO15" s="41">
        <v>2807</v>
      </c>
      <c r="AP15" s="40"/>
      <c r="AQ15" s="36">
        <v>45047</v>
      </c>
      <c r="AR15" s="36"/>
      <c r="AS15" s="36"/>
      <c r="AT15" s="36">
        <v>45061</v>
      </c>
      <c r="AU15" s="36"/>
      <c r="AV15" s="38"/>
      <c r="AW15" s="40" t="s">
        <v>87</v>
      </c>
    </row>
    <row r="16" spans="1:56" ht="114.6" customHeight="1" x14ac:dyDescent="0.3">
      <c r="A16" s="35" t="s">
        <v>2374</v>
      </c>
      <c r="B16" s="38">
        <v>44974</v>
      </c>
      <c r="C16" s="40" t="s">
        <v>2077</v>
      </c>
      <c r="D16" s="39" t="s">
        <v>459</v>
      </c>
      <c r="E16" s="1" t="s">
        <v>2375</v>
      </c>
      <c r="F16" s="36" t="s">
        <v>459</v>
      </c>
      <c r="G16" s="37" t="s">
        <v>459</v>
      </c>
      <c r="H16" s="40" t="s">
        <v>459</v>
      </c>
      <c r="I16" s="40" t="s">
        <v>2376</v>
      </c>
      <c r="J16" s="57">
        <v>4045426</v>
      </c>
      <c r="K16" s="41">
        <v>0</v>
      </c>
      <c r="L16" s="30">
        <v>0</v>
      </c>
      <c r="M16" s="30">
        <v>0</v>
      </c>
      <c r="N16" s="40"/>
      <c r="O16" s="40"/>
      <c r="P16" s="40"/>
      <c r="Q16" s="44"/>
      <c r="R16" s="37"/>
      <c r="S16" s="37"/>
      <c r="T16" s="48"/>
      <c r="U16" s="30" t="e">
        <v>#DIV/0!</v>
      </c>
      <c r="V16" s="41" t="e">
        <v>#DIV/0!</v>
      </c>
      <c r="W16" s="41">
        <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c r="AN16" s="41" t="e">
        <v>#DIV/0!</v>
      </c>
      <c r="AO16" s="41" t="e">
        <v>#DIV/0!</v>
      </c>
      <c r="AP16" s="40"/>
      <c r="AQ16" s="36"/>
      <c r="AR16" s="36"/>
      <c r="AS16" s="36"/>
      <c r="AT16" s="36"/>
      <c r="AU16" s="36"/>
      <c r="AV16" s="38"/>
      <c r="AW16" s="40"/>
    </row>
    <row r="17" spans="1:49" ht="90.75" customHeight="1" x14ac:dyDescent="0.3">
      <c r="A17" s="35" t="s">
        <v>2414</v>
      </c>
      <c r="B17" s="38">
        <v>44977</v>
      </c>
      <c r="C17" s="40" t="s">
        <v>2077</v>
      </c>
      <c r="D17" s="39" t="s">
        <v>2415</v>
      </c>
      <c r="E17" s="1" t="s">
        <v>2416</v>
      </c>
      <c r="F17" s="36">
        <v>45002</v>
      </c>
      <c r="G17" s="37" t="s">
        <v>2417</v>
      </c>
      <c r="H17" s="40" t="s">
        <v>2081</v>
      </c>
      <c r="I17" s="40" t="s">
        <v>2418</v>
      </c>
      <c r="J17" s="57">
        <v>11289757.5</v>
      </c>
      <c r="K17" s="41">
        <v>11289757.5</v>
      </c>
      <c r="L17" s="30">
        <v>11289757.5</v>
      </c>
      <c r="M17" s="30">
        <v>11289757.5</v>
      </c>
      <c r="N17" s="40" t="s">
        <v>2419</v>
      </c>
      <c r="O17" s="40" t="s">
        <v>2420</v>
      </c>
      <c r="P17" s="40" t="s">
        <v>47</v>
      </c>
      <c r="Q17" s="44">
        <v>100</v>
      </c>
      <c r="R17" s="37">
        <v>0</v>
      </c>
      <c r="S17" s="37" t="s">
        <v>1489</v>
      </c>
      <c r="T17" s="54" t="s">
        <v>2421</v>
      </c>
      <c r="U17" s="30">
        <v>53.75</v>
      </c>
      <c r="V17" s="41" t="e">
        <v>#VALUE!</v>
      </c>
      <c r="W17" s="41">
        <v>210042</v>
      </c>
      <c r="X17" s="41">
        <v>210042</v>
      </c>
      <c r="Y17" s="41">
        <v>0</v>
      </c>
      <c r="Z17" s="41">
        <v>0</v>
      </c>
      <c r="AA17" s="41">
        <v>0</v>
      </c>
      <c r="AB17" s="41">
        <v>0</v>
      </c>
      <c r="AC17" s="41">
        <v>0</v>
      </c>
      <c r="AD17" s="41">
        <v>0</v>
      </c>
      <c r="AE17" s="41">
        <v>0</v>
      </c>
      <c r="AF17" s="41">
        <v>0</v>
      </c>
      <c r="AG17" s="41">
        <v>0</v>
      </c>
      <c r="AH17" s="41">
        <v>0</v>
      </c>
      <c r="AI17" s="41">
        <v>0</v>
      </c>
      <c r="AJ17" s="41">
        <v>0</v>
      </c>
      <c r="AK17" s="41">
        <v>0</v>
      </c>
      <c r="AL17" s="41">
        <v>0</v>
      </c>
      <c r="AM17" s="41"/>
      <c r="AN17" s="41" t="e">
        <v>#VALUE!</v>
      </c>
      <c r="AO17" s="41" t="e">
        <v>#VALUE!</v>
      </c>
      <c r="AP17" s="40"/>
      <c r="AQ17" s="36">
        <v>45047</v>
      </c>
      <c r="AR17" s="36"/>
      <c r="AS17" s="36"/>
      <c r="AT17" s="36">
        <v>45076</v>
      </c>
      <c r="AU17" s="36"/>
      <c r="AV17" s="38"/>
      <c r="AW17" s="40" t="s">
        <v>87</v>
      </c>
    </row>
    <row r="18" spans="1:49" ht="90.75" customHeight="1" x14ac:dyDescent="0.3">
      <c r="A18" s="35" t="s">
        <v>2422</v>
      </c>
      <c r="B18" s="38">
        <v>44977</v>
      </c>
      <c r="C18" s="40" t="s">
        <v>2077</v>
      </c>
      <c r="D18" s="39" t="s">
        <v>2423</v>
      </c>
      <c r="E18" s="1" t="s">
        <v>2424</v>
      </c>
      <c r="F18" s="36">
        <v>45002</v>
      </c>
      <c r="G18" s="37" t="s">
        <v>2425</v>
      </c>
      <c r="H18" s="40" t="s">
        <v>2089</v>
      </c>
      <c r="I18" s="40" t="s">
        <v>2426</v>
      </c>
      <c r="J18" s="57">
        <v>6475999.2000000002</v>
      </c>
      <c r="K18" s="41">
        <v>6475999.2000000002</v>
      </c>
      <c r="L18" s="30">
        <v>6475999.2000000002</v>
      </c>
      <c r="M18" s="30">
        <v>6475999.2000000002</v>
      </c>
      <c r="N18" s="40" t="s">
        <v>2427</v>
      </c>
      <c r="O18" s="40" t="s">
        <v>2428</v>
      </c>
      <c r="P18" s="40" t="s">
        <v>47</v>
      </c>
      <c r="Q18" s="44">
        <v>100</v>
      </c>
      <c r="R18" s="37">
        <v>0</v>
      </c>
      <c r="S18" s="37" t="s">
        <v>1489</v>
      </c>
      <c r="T18" s="41">
        <v>0.75</v>
      </c>
      <c r="U18" s="30">
        <v>180.4</v>
      </c>
      <c r="V18" s="41">
        <v>135.30000000000001</v>
      </c>
      <c r="W18" s="41">
        <v>35898</v>
      </c>
      <c r="X18" s="41">
        <v>35898</v>
      </c>
      <c r="Y18" s="41">
        <v>0</v>
      </c>
      <c r="Z18" s="41">
        <v>0</v>
      </c>
      <c r="AA18" s="41">
        <v>0</v>
      </c>
      <c r="AB18" s="41">
        <v>0</v>
      </c>
      <c r="AC18" s="41">
        <v>0</v>
      </c>
      <c r="AD18" s="41">
        <v>0</v>
      </c>
      <c r="AE18" s="41">
        <v>0</v>
      </c>
      <c r="AF18" s="41">
        <v>0</v>
      </c>
      <c r="AG18" s="41">
        <v>0</v>
      </c>
      <c r="AH18" s="41">
        <v>0</v>
      </c>
      <c r="AI18" s="41">
        <v>0</v>
      </c>
      <c r="AJ18" s="41">
        <v>0</v>
      </c>
      <c r="AK18" s="41">
        <v>0</v>
      </c>
      <c r="AL18" s="41">
        <v>0</v>
      </c>
      <c r="AM18" s="41"/>
      <c r="AN18" s="41">
        <v>47864</v>
      </c>
      <c r="AO18" s="41">
        <v>47864</v>
      </c>
      <c r="AP18" s="40"/>
      <c r="AQ18" s="36">
        <v>45047</v>
      </c>
      <c r="AR18" s="36"/>
      <c r="AS18" s="36"/>
      <c r="AT18" s="36">
        <v>45076</v>
      </c>
      <c r="AU18" s="36"/>
      <c r="AV18" s="38"/>
      <c r="AW18" s="40" t="s">
        <v>87</v>
      </c>
    </row>
    <row r="19" spans="1:49" ht="90.75" customHeight="1" x14ac:dyDescent="0.3">
      <c r="A19" s="35" t="s">
        <v>2429</v>
      </c>
      <c r="B19" s="38">
        <v>44977</v>
      </c>
      <c r="C19" s="40" t="s">
        <v>2077</v>
      </c>
      <c r="D19" s="39" t="s">
        <v>2430</v>
      </c>
      <c r="E19" s="1" t="s">
        <v>2431</v>
      </c>
      <c r="F19" s="36">
        <v>45005</v>
      </c>
      <c r="G19" s="37" t="s">
        <v>2432</v>
      </c>
      <c r="H19" s="40" t="s">
        <v>571</v>
      </c>
      <c r="I19" s="40" t="s">
        <v>2433</v>
      </c>
      <c r="J19" s="57">
        <v>13965289.060000001</v>
      </c>
      <c r="K19" s="41">
        <v>5290034.5999999996</v>
      </c>
      <c r="L19" s="30">
        <v>5290034.5999999996</v>
      </c>
      <c r="M19" s="30">
        <v>5290034.5999999996</v>
      </c>
      <c r="N19" s="40" t="s">
        <v>2434</v>
      </c>
      <c r="O19" s="40" t="s">
        <v>2435</v>
      </c>
      <c r="P19" s="40" t="s">
        <v>47</v>
      </c>
      <c r="Q19" s="44">
        <v>100</v>
      </c>
      <c r="R19" s="37">
        <v>0</v>
      </c>
      <c r="S19" s="37" t="s">
        <v>1489</v>
      </c>
      <c r="T19" s="48">
        <v>12</v>
      </c>
      <c r="U19" s="30">
        <v>26.299999999999997</v>
      </c>
      <c r="V19" s="41">
        <v>315.59999999999997</v>
      </c>
      <c r="W19" s="41">
        <v>201142</v>
      </c>
      <c r="X19" s="41">
        <v>201142</v>
      </c>
      <c r="Y19" s="41">
        <v>0</v>
      </c>
      <c r="Z19" s="41">
        <v>0</v>
      </c>
      <c r="AA19" s="41">
        <v>0</v>
      </c>
      <c r="AB19" s="41">
        <v>0</v>
      </c>
      <c r="AC19" s="41">
        <v>0</v>
      </c>
      <c r="AD19" s="41">
        <v>0</v>
      </c>
      <c r="AE19" s="41">
        <v>0</v>
      </c>
      <c r="AF19" s="41">
        <v>0</v>
      </c>
      <c r="AG19" s="41">
        <v>0</v>
      </c>
      <c r="AH19" s="41">
        <v>0</v>
      </c>
      <c r="AI19" s="41">
        <v>0</v>
      </c>
      <c r="AJ19" s="41">
        <v>0</v>
      </c>
      <c r="AK19" s="41">
        <v>0</v>
      </c>
      <c r="AL19" s="41">
        <v>0</v>
      </c>
      <c r="AM19" s="41"/>
      <c r="AN19" s="41">
        <v>16761.833333333332</v>
      </c>
      <c r="AO19" s="41">
        <v>16762</v>
      </c>
      <c r="AP19" s="40"/>
      <c r="AQ19" s="36">
        <v>45047</v>
      </c>
      <c r="AR19" s="36"/>
      <c r="AS19" s="36"/>
      <c r="AT19" s="36">
        <v>45061</v>
      </c>
      <c r="AU19" s="36"/>
      <c r="AV19" s="38"/>
      <c r="AW19" s="40" t="s">
        <v>87</v>
      </c>
    </row>
    <row r="20" spans="1:49" ht="90.75" customHeight="1" x14ac:dyDescent="0.3">
      <c r="A20" s="35" t="s">
        <v>2456</v>
      </c>
      <c r="B20" s="38">
        <v>44977</v>
      </c>
      <c r="C20" s="40" t="s">
        <v>2077</v>
      </c>
      <c r="D20" s="39" t="s">
        <v>2457</v>
      </c>
      <c r="E20" s="1" t="s">
        <v>2458</v>
      </c>
      <c r="F20" s="36">
        <v>45002</v>
      </c>
      <c r="G20" s="35" t="s">
        <v>2459</v>
      </c>
      <c r="H20" s="40" t="s">
        <v>971</v>
      </c>
      <c r="I20" s="40" t="s">
        <v>2460</v>
      </c>
      <c r="J20" s="57">
        <v>25168984.5</v>
      </c>
      <c r="K20" s="41">
        <v>25168984.5</v>
      </c>
      <c r="L20" s="30">
        <v>25180597.199999999</v>
      </c>
      <c r="M20" s="30">
        <v>25180597.199999999</v>
      </c>
      <c r="N20" s="40" t="s">
        <v>2461</v>
      </c>
      <c r="O20" s="40" t="s">
        <v>2462</v>
      </c>
      <c r="P20" s="40" t="s">
        <v>47</v>
      </c>
      <c r="Q20" s="44">
        <v>100</v>
      </c>
      <c r="R20" s="37">
        <v>0</v>
      </c>
      <c r="S20" s="37" t="s">
        <v>1964</v>
      </c>
      <c r="T20" s="48">
        <v>10</v>
      </c>
      <c r="U20" s="30">
        <v>9.35</v>
      </c>
      <c r="V20" s="41">
        <v>93.5</v>
      </c>
      <c r="W20" s="41">
        <v>2693112</v>
      </c>
      <c r="X20" s="41">
        <v>1884490</v>
      </c>
      <c r="Y20" s="41">
        <v>0</v>
      </c>
      <c r="Z20" s="41">
        <v>0</v>
      </c>
      <c r="AA20" s="41">
        <v>0</v>
      </c>
      <c r="AB20" s="41">
        <v>0</v>
      </c>
      <c r="AC20" s="41">
        <v>808622</v>
      </c>
      <c r="AD20" s="41">
        <v>0</v>
      </c>
      <c r="AE20" s="41">
        <v>0</v>
      </c>
      <c r="AF20" s="41">
        <v>0</v>
      </c>
      <c r="AG20" s="41">
        <v>0</v>
      </c>
      <c r="AH20" s="41">
        <v>0</v>
      </c>
      <c r="AI20" s="41">
        <v>0</v>
      </c>
      <c r="AJ20" s="41">
        <v>0</v>
      </c>
      <c r="AK20" s="41">
        <v>0</v>
      </c>
      <c r="AL20" s="41">
        <v>0</v>
      </c>
      <c r="AM20" s="41"/>
      <c r="AN20" s="41">
        <v>269311.2</v>
      </c>
      <c r="AO20" s="41">
        <v>269312</v>
      </c>
      <c r="AP20" s="40"/>
      <c r="AQ20" s="36">
        <v>45047</v>
      </c>
      <c r="AR20" s="36">
        <v>45170</v>
      </c>
      <c r="AS20" s="36"/>
      <c r="AT20" s="36">
        <v>45061</v>
      </c>
      <c r="AU20" s="36">
        <v>45184</v>
      </c>
      <c r="AV20" s="38"/>
      <c r="AW20" s="40" t="s">
        <v>87</v>
      </c>
    </row>
    <row r="21" spans="1:49" ht="90.75" customHeight="1" x14ac:dyDescent="0.3">
      <c r="A21" s="35" t="s">
        <v>2463</v>
      </c>
      <c r="B21" s="38">
        <v>44978</v>
      </c>
      <c r="C21" s="40" t="s">
        <v>2077</v>
      </c>
      <c r="D21" s="39" t="s">
        <v>459</v>
      </c>
      <c r="E21" s="1" t="s">
        <v>2464</v>
      </c>
      <c r="F21" s="36" t="s">
        <v>459</v>
      </c>
      <c r="G21" s="37" t="s">
        <v>459</v>
      </c>
      <c r="H21" s="40" t="s">
        <v>459</v>
      </c>
      <c r="I21" s="40" t="s">
        <v>2465</v>
      </c>
      <c r="J21" s="57">
        <v>11384901.439999999</v>
      </c>
      <c r="K21" s="41">
        <v>0</v>
      </c>
      <c r="L21" s="30">
        <v>0</v>
      </c>
      <c r="M21" s="30">
        <v>0</v>
      </c>
      <c r="N21" s="40"/>
      <c r="O21" s="40"/>
      <c r="P21" s="40"/>
      <c r="Q21" s="44"/>
      <c r="R21" s="37"/>
      <c r="S21" s="37"/>
      <c r="T21" s="48"/>
      <c r="U21" s="30" t="e">
        <v>#DIV/0!</v>
      </c>
      <c r="V21" s="41" t="e">
        <v>#DIV/0!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c r="AN21" s="41" t="e">
        <v>#DIV/0!</v>
      </c>
      <c r="AO21" s="41" t="e">
        <v>#DIV/0!</v>
      </c>
      <c r="AP21" s="40"/>
      <c r="AQ21" s="36"/>
      <c r="AR21" s="36"/>
      <c r="AS21" s="36"/>
      <c r="AT21" s="36"/>
      <c r="AU21" s="36"/>
      <c r="AV21" s="38"/>
      <c r="AW21" s="40"/>
    </row>
    <row r="22" spans="1:49" ht="90.75" customHeight="1" x14ac:dyDescent="0.3">
      <c r="A22" s="35" t="s">
        <v>2466</v>
      </c>
      <c r="B22" s="38">
        <v>44978</v>
      </c>
      <c r="C22" s="40" t="s">
        <v>2077</v>
      </c>
      <c r="D22" s="39" t="s">
        <v>2467</v>
      </c>
      <c r="E22" s="1" t="s">
        <v>2468</v>
      </c>
      <c r="F22" s="36">
        <v>45002</v>
      </c>
      <c r="G22" s="35" t="s">
        <v>2469</v>
      </c>
      <c r="H22" s="40" t="s">
        <v>2089</v>
      </c>
      <c r="I22" s="40" t="s">
        <v>2470</v>
      </c>
      <c r="J22" s="57">
        <v>3295366.8</v>
      </c>
      <c r="K22" s="41">
        <v>3295366.8</v>
      </c>
      <c r="L22" s="30">
        <v>3295366.8</v>
      </c>
      <c r="M22" s="30">
        <v>3295366.8</v>
      </c>
      <c r="N22" s="40" t="s">
        <v>2471</v>
      </c>
      <c r="O22" s="40" t="s">
        <v>2472</v>
      </c>
      <c r="P22" s="40" t="s">
        <v>47</v>
      </c>
      <c r="Q22" s="44">
        <v>100</v>
      </c>
      <c r="R22" s="37">
        <v>0</v>
      </c>
      <c r="S22" s="37" t="s">
        <v>1489</v>
      </c>
      <c r="T22" s="67">
        <v>0.5</v>
      </c>
      <c r="U22" s="30">
        <v>180.39999999999998</v>
      </c>
      <c r="V22" s="41">
        <v>90.199999999999989</v>
      </c>
      <c r="W22" s="41">
        <v>18267</v>
      </c>
      <c r="X22" s="41">
        <v>18267</v>
      </c>
      <c r="Y22" s="41">
        <v>0</v>
      </c>
      <c r="Z22" s="41">
        <v>0</v>
      </c>
      <c r="AA22" s="41">
        <v>0</v>
      </c>
      <c r="AB22" s="41">
        <v>0</v>
      </c>
      <c r="AC22" s="41">
        <v>0</v>
      </c>
      <c r="AD22" s="41">
        <v>0</v>
      </c>
      <c r="AE22" s="41">
        <v>0</v>
      </c>
      <c r="AF22" s="41">
        <v>0</v>
      </c>
      <c r="AG22" s="41">
        <v>0</v>
      </c>
      <c r="AH22" s="41">
        <v>0</v>
      </c>
      <c r="AI22" s="41">
        <v>0</v>
      </c>
      <c r="AJ22" s="41">
        <v>0</v>
      </c>
      <c r="AK22" s="41">
        <v>0</v>
      </c>
      <c r="AL22" s="41">
        <v>0</v>
      </c>
      <c r="AM22" s="41"/>
      <c r="AN22" s="41">
        <v>36534</v>
      </c>
      <c r="AO22" s="41">
        <v>36534</v>
      </c>
      <c r="AP22" s="40"/>
      <c r="AQ22" s="36">
        <v>45047</v>
      </c>
      <c r="AR22" s="36"/>
      <c r="AS22" s="36"/>
      <c r="AT22" s="36">
        <v>45076</v>
      </c>
      <c r="AU22" s="36"/>
      <c r="AV22" s="38"/>
      <c r="AW22" s="40" t="s">
        <v>87</v>
      </c>
    </row>
    <row r="23" spans="1:49" ht="90.75" customHeight="1" x14ac:dyDescent="0.3">
      <c r="A23" s="35" t="s">
        <v>2479</v>
      </c>
      <c r="B23" s="38">
        <v>44978</v>
      </c>
      <c r="C23" s="40" t="s">
        <v>2077</v>
      </c>
      <c r="D23" s="39" t="s">
        <v>2480</v>
      </c>
      <c r="E23" s="1" t="s">
        <v>2481</v>
      </c>
      <c r="F23" s="36">
        <v>45009</v>
      </c>
      <c r="G23" s="37" t="s">
        <v>2482</v>
      </c>
      <c r="H23" s="40" t="s">
        <v>186</v>
      </c>
      <c r="I23" s="40" t="s">
        <v>2483</v>
      </c>
      <c r="J23" s="57">
        <v>355802727.60000002</v>
      </c>
      <c r="K23" s="41">
        <v>355802727.60000002</v>
      </c>
      <c r="L23" s="30">
        <v>390885899.69999999</v>
      </c>
      <c r="M23" s="30">
        <v>390885899.69999999</v>
      </c>
      <c r="N23" s="40" t="s">
        <v>2484</v>
      </c>
      <c r="O23" s="40" t="s">
        <v>2485</v>
      </c>
      <c r="P23" s="40" t="s">
        <v>47</v>
      </c>
      <c r="Q23" s="44">
        <v>100</v>
      </c>
      <c r="R23" s="37">
        <v>0</v>
      </c>
      <c r="S23" s="37" t="s">
        <v>1964</v>
      </c>
      <c r="T23" s="48">
        <v>188</v>
      </c>
      <c r="U23" s="30">
        <v>574.54999999999995</v>
      </c>
      <c r="V23" s="41">
        <v>108015.4</v>
      </c>
      <c r="W23" s="41">
        <v>680334</v>
      </c>
      <c r="X23" s="41">
        <v>680334</v>
      </c>
      <c r="Y23" s="41">
        <v>0</v>
      </c>
      <c r="Z23" s="41">
        <v>0</v>
      </c>
      <c r="AA23" s="41">
        <v>0</v>
      </c>
      <c r="AB23" s="41">
        <v>0</v>
      </c>
      <c r="AC23" s="41">
        <v>0</v>
      </c>
      <c r="AD23" s="41">
        <v>0</v>
      </c>
      <c r="AE23" s="41">
        <v>0</v>
      </c>
      <c r="AF23" s="41">
        <v>0</v>
      </c>
      <c r="AG23" s="41">
        <v>0</v>
      </c>
      <c r="AH23" s="41">
        <v>0</v>
      </c>
      <c r="AI23" s="41">
        <v>0</v>
      </c>
      <c r="AJ23" s="41">
        <v>0</v>
      </c>
      <c r="AK23" s="41">
        <v>0</v>
      </c>
      <c r="AL23" s="41">
        <v>0</v>
      </c>
      <c r="AM23" s="41"/>
      <c r="AN23" s="41">
        <v>3618.7978723404253</v>
      </c>
      <c r="AO23" s="41">
        <v>3619</v>
      </c>
      <c r="AP23" s="40"/>
      <c r="AQ23" s="36">
        <v>45078</v>
      </c>
      <c r="AR23" s="36"/>
      <c r="AS23" s="36"/>
      <c r="AT23" s="36">
        <v>45092</v>
      </c>
      <c r="AU23" s="36"/>
      <c r="AV23" s="38"/>
      <c r="AW23" s="40" t="s">
        <v>87</v>
      </c>
    </row>
    <row r="24" spans="1:49" ht="90.75" customHeight="1" x14ac:dyDescent="0.3">
      <c r="A24" s="83" t="s">
        <v>2491</v>
      </c>
      <c r="B24" s="84">
        <v>44984</v>
      </c>
      <c r="C24" s="85" t="s">
        <v>2077</v>
      </c>
      <c r="D24" s="39" t="s">
        <v>459</v>
      </c>
      <c r="E24" s="1" t="s">
        <v>2492</v>
      </c>
      <c r="F24" s="36" t="s">
        <v>459</v>
      </c>
      <c r="G24" s="37" t="s">
        <v>459</v>
      </c>
      <c r="H24" s="40" t="s">
        <v>459</v>
      </c>
      <c r="I24" s="85" t="s">
        <v>2493</v>
      </c>
      <c r="J24" s="86">
        <v>15839398.529999999</v>
      </c>
      <c r="K24" s="41">
        <v>0</v>
      </c>
      <c r="L24" s="30">
        <v>0</v>
      </c>
      <c r="M24" s="30">
        <v>0</v>
      </c>
      <c r="N24" s="40"/>
      <c r="O24" s="40"/>
      <c r="P24" s="40"/>
      <c r="Q24" s="44"/>
      <c r="R24" s="37"/>
      <c r="S24" s="37"/>
      <c r="T24" s="48"/>
      <c r="U24" s="30" t="e">
        <v>#DIV/0!</v>
      </c>
      <c r="V24" s="41" t="e">
        <v>#DIV/0!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c r="AN24" s="41" t="e">
        <v>#DIV/0!</v>
      </c>
      <c r="AO24" s="41" t="e">
        <v>#DIV/0!</v>
      </c>
      <c r="AP24" s="40"/>
      <c r="AQ24" s="36"/>
      <c r="AR24" s="36"/>
      <c r="AS24" s="36"/>
      <c r="AT24" s="36"/>
      <c r="AU24" s="36"/>
      <c r="AV24" s="38"/>
      <c r="AW24" s="40"/>
    </row>
    <row r="25" spans="1:49" ht="88.5" customHeight="1" x14ac:dyDescent="0.3">
      <c r="A25" s="83" t="s">
        <v>2497</v>
      </c>
      <c r="B25" s="84">
        <v>44984</v>
      </c>
      <c r="C25" s="85" t="s">
        <v>2077</v>
      </c>
      <c r="D25" s="39" t="s">
        <v>459</v>
      </c>
      <c r="E25" s="1" t="s">
        <v>2498</v>
      </c>
      <c r="F25" s="36" t="s">
        <v>459</v>
      </c>
      <c r="G25" s="37" t="s">
        <v>459</v>
      </c>
      <c r="H25" s="40" t="s">
        <v>459</v>
      </c>
      <c r="I25" s="85" t="s">
        <v>2499</v>
      </c>
      <c r="J25" s="86">
        <v>2019840</v>
      </c>
      <c r="K25" s="41">
        <v>0</v>
      </c>
      <c r="L25" s="30">
        <v>0</v>
      </c>
      <c r="M25" s="30">
        <v>0</v>
      </c>
      <c r="N25" s="40"/>
      <c r="O25" s="40"/>
      <c r="P25" s="40"/>
      <c r="Q25" s="44"/>
      <c r="R25" s="37"/>
      <c r="S25" s="37"/>
      <c r="T25" s="48"/>
      <c r="U25" s="30" t="e">
        <v>#DIV/0!</v>
      </c>
      <c r="V25" s="41" t="e">
        <v>#DIV/0!</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c r="AN25" s="41" t="e">
        <v>#DIV/0!</v>
      </c>
      <c r="AO25" s="41" t="e">
        <v>#DIV/0!</v>
      </c>
      <c r="AP25" s="40"/>
      <c r="AQ25" s="36"/>
      <c r="AR25" s="36"/>
      <c r="AS25" s="36"/>
      <c r="AT25" s="36"/>
      <c r="AU25" s="36"/>
      <c r="AV25" s="38"/>
      <c r="AW25" s="40"/>
    </row>
    <row r="26" spans="1:49" ht="88.5" customHeight="1" x14ac:dyDescent="0.3">
      <c r="A26" s="35" t="s">
        <v>2500</v>
      </c>
      <c r="B26" s="38">
        <v>44984</v>
      </c>
      <c r="C26" s="40" t="s">
        <v>2077</v>
      </c>
      <c r="D26" s="39" t="s">
        <v>2501</v>
      </c>
      <c r="E26" s="1" t="s">
        <v>2502</v>
      </c>
      <c r="F26" s="36">
        <v>45012</v>
      </c>
      <c r="G26" s="37" t="s">
        <v>2503</v>
      </c>
      <c r="H26" s="40" t="s">
        <v>2089</v>
      </c>
      <c r="I26" s="40" t="s">
        <v>2504</v>
      </c>
      <c r="J26" s="57">
        <v>11369678.25</v>
      </c>
      <c r="K26" s="41">
        <v>11369678.25</v>
      </c>
      <c r="L26" s="30">
        <v>11369678.25</v>
      </c>
      <c r="M26" s="30">
        <v>11369678.25</v>
      </c>
      <c r="N26" s="40" t="s">
        <v>2505</v>
      </c>
      <c r="O26" s="40" t="s">
        <v>2506</v>
      </c>
      <c r="P26" s="40" t="s">
        <v>47</v>
      </c>
      <c r="Q26" s="44">
        <v>100</v>
      </c>
      <c r="R26" s="37">
        <v>0</v>
      </c>
      <c r="S26" s="37" t="s">
        <v>1489</v>
      </c>
      <c r="T26" s="54" t="s">
        <v>2507</v>
      </c>
      <c r="U26" s="30">
        <v>17.149999999999999</v>
      </c>
      <c r="V26" s="41" t="e">
        <v>#VALUE!</v>
      </c>
      <c r="W26" s="41">
        <v>662955</v>
      </c>
      <c r="X26" s="41">
        <v>464069</v>
      </c>
      <c r="Y26" s="41">
        <v>0</v>
      </c>
      <c r="Z26" s="41">
        <v>0</v>
      </c>
      <c r="AA26" s="41">
        <v>0</v>
      </c>
      <c r="AB26" s="41">
        <v>0</v>
      </c>
      <c r="AC26" s="41">
        <v>198886</v>
      </c>
      <c r="AD26" s="41">
        <v>0</v>
      </c>
      <c r="AE26" s="41">
        <v>0</v>
      </c>
      <c r="AF26" s="41">
        <v>0</v>
      </c>
      <c r="AG26" s="41">
        <v>0</v>
      </c>
      <c r="AH26" s="41">
        <v>0</v>
      </c>
      <c r="AI26" s="41">
        <v>0</v>
      </c>
      <c r="AJ26" s="41">
        <v>0</v>
      </c>
      <c r="AK26" s="41">
        <v>0</v>
      </c>
      <c r="AL26" s="41">
        <v>0</v>
      </c>
      <c r="AM26" s="41"/>
      <c r="AN26" s="41" t="e">
        <v>#VALUE!</v>
      </c>
      <c r="AO26" s="41" t="e">
        <v>#VALUE!</v>
      </c>
      <c r="AP26" s="40"/>
      <c r="AQ26" s="36">
        <v>45047</v>
      </c>
      <c r="AR26" s="36">
        <v>45170</v>
      </c>
      <c r="AS26" s="36"/>
      <c r="AT26" s="36">
        <v>45061</v>
      </c>
      <c r="AU26" s="36">
        <v>45184</v>
      </c>
      <c r="AV26" s="38"/>
      <c r="AW26" s="40" t="s">
        <v>75</v>
      </c>
    </row>
    <row r="27" spans="1:49" ht="88.5" customHeight="1" x14ac:dyDescent="0.3">
      <c r="A27" s="35" t="s">
        <v>2512</v>
      </c>
      <c r="B27" s="38">
        <v>44984</v>
      </c>
      <c r="C27" s="40" t="s">
        <v>2077</v>
      </c>
      <c r="D27" s="39" t="s">
        <v>2513</v>
      </c>
      <c r="E27" s="1" t="s">
        <v>2514</v>
      </c>
      <c r="F27" s="36">
        <v>45012</v>
      </c>
      <c r="G27" s="37" t="s">
        <v>2515</v>
      </c>
      <c r="H27" s="40" t="s">
        <v>2516</v>
      </c>
      <c r="I27" s="40" t="s">
        <v>2517</v>
      </c>
      <c r="J27" s="57">
        <v>21159176.800000001</v>
      </c>
      <c r="K27" s="41">
        <v>12785105.199999999</v>
      </c>
      <c r="L27" s="30">
        <v>13047402.199999999</v>
      </c>
      <c r="M27" s="30">
        <v>13047402.199999999</v>
      </c>
      <c r="N27" s="40" t="s">
        <v>2518</v>
      </c>
      <c r="O27" s="40" t="s">
        <v>2519</v>
      </c>
      <c r="P27" s="40" t="s">
        <v>47</v>
      </c>
      <c r="Q27" s="44">
        <v>100</v>
      </c>
      <c r="R27" s="37">
        <v>0</v>
      </c>
      <c r="S27" s="37" t="s">
        <v>1964</v>
      </c>
      <c r="T27" s="48">
        <v>10</v>
      </c>
      <c r="U27" s="30">
        <v>3.71</v>
      </c>
      <c r="V27" s="41">
        <v>37.1</v>
      </c>
      <c r="W27" s="41">
        <v>3516820</v>
      </c>
      <c r="X27" s="41">
        <v>2412490</v>
      </c>
      <c r="Y27" s="41">
        <v>0</v>
      </c>
      <c r="Z27" s="41">
        <v>0</v>
      </c>
      <c r="AA27" s="41">
        <v>0</v>
      </c>
      <c r="AB27" s="41">
        <v>0</v>
      </c>
      <c r="AC27" s="41">
        <v>1104330</v>
      </c>
      <c r="AD27" s="41">
        <v>0</v>
      </c>
      <c r="AE27" s="41">
        <v>0</v>
      </c>
      <c r="AF27" s="41">
        <v>0</v>
      </c>
      <c r="AG27" s="41">
        <v>0</v>
      </c>
      <c r="AH27" s="41">
        <v>0</v>
      </c>
      <c r="AI27" s="41">
        <v>0</v>
      </c>
      <c r="AJ27" s="41">
        <v>0</v>
      </c>
      <c r="AK27" s="41">
        <v>0</v>
      </c>
      <c r="AL27" s="41">
        <v>0</v>
      </c>
      <c r="AM27" s="41"/>
      <c r="AN27" s="41">
        <v>351682</v>
      </c>
      <c r="AO27" s="41">
        <v>351682</v>
      </c>
      <c r="AP27" s="40"/>
      <c r="AQ27" s="36">
        <v>45047</v>
      </c>
      <c r="AR27" s="36">
        <v>45170</v>
      </c>
      <c r="AS27" s="36"/>
      <c r="AT27" s="36">
        <v>45061</v>
      </c>
      <c r="AU27" s="36">
        <v>45184</v>
      </c>
      <c r="AV27" s="38"/>
      <c r="AW27" s="40" t="s">
        <v>49</v>
      </c>
    </row>
    <row r="28" spans="1:49" ht="88.5" customHeight="1" x14ac:dyDescent="0.3">
      <c r="A28" s="35" t="s">
        <v>2520</v>
      </c>
      <c r="B28" s="38">
        <v>44984</v>
      </c>
      <c r="C28" s="40" t="s">
        <v>2077</v>
      </c>
      <c r="D28" s="39" t="s">
        <v>459</v>
      </c>
      <c r="E28" s="1" t="s">
        <v>2521</v>
      </c>
      <c r="F28" s="36" t="s">
        <v>459</v>
      </c>
      <c r="G28" s="37" t="s">
        <v>459</v>
      </c>
      <c r="H28" s="40" t="s">
        <v>459</v>
      </c>
      <c r="I28" s="40" t="s">
        <v>2522</v>
      </c>
      <c r="J28" s="57">
        <v>83995114</v>
      </c>
      <c r="K28" s="41">
        <v>0</v>
      </c>
      <c r="L28" s="30">
        <v>0</v>
      </c>
      <c r="M28" s="30">
        <v>0</v>
      </c>
      <c r="N28" s="40"/>
      <c r="O28" s="40"/>
      <c r="P28" s="40"/>
      <c r="Q28" s="44"/>
      <c r="R28" s="37"/>
      <c r="S28" s="37"/>
      <c r="T28" s="48"/>
      <c r="U28" s="30" t="e">
        <v>#DIV/0!</v>
      </c>
      <c r="V28" s="41" t="e">
        <v>#DIV/0!</v>
      </c>
      <c r="W28" s="41">
        <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c r="AN28" s="41" t="e">
        <v>#DIV/0!</v>
      </c>
      <c r="AO28" s="41" t="e">
        <v>#DIV/0!</v>
      </c>
      <c r="AP28" s="40"/>
      <c r="AQ28" s="36"/>
      <c r="AR28" s="36"/>
      <c r="AS28" s="36"/>
      <c r="AT28" s="36"/>
      <c r="AU28" s="36"/>
      <c r="AV28" s="38"/>
      <c r="AW28" s="40"/>
    </row>
    <row r="29" spans="1:49" ht="88.5" customHeight="1" x14ac:dyDescent="0.3">
      <c r="A29" s="35" t="s">
        <v>2523</v>
      </c>
      <c r="B29" s="38">
        <v>44985</v>
      </c>
      <c r="C29" s="40" t="s">
        <v>2077</v>
      </c>
      <c r="D29" s="39" t="s">
        <v>2524</v>
      </c>
      <c r="E29" s="1" t="s">
        <v>2525</v>
      </c>
      <c r="F29" s="36">
        <v>45012</v>
      </c>
      <c r="G29" s="37" t="s">
        <v>2526</v>
      </c>
      <c r="H29" s="40" t="s">
        <v>2003</v>
      </c>
      <c r="I29" s="40" t="s">
        <v>2527</v>
      </c>
      <c r="J29" s="57">
        <v>49702167.899999999</v>
      </c>
      <c r="K29" s="41">
        <v>46689915.299999997</v>
      </c>
      <c r="L29" s="30">
        <v>46689915.299999997</v>
      </c>
      <c r="M29" s="30">
        <v>46689915.299999997</v>
      </c>
      <c r="N29" s="40" t="s">
        <v>2528</v>
      </c>
      <c r="O29" s="40" t="s">
        <v>2529</v>
      </c>
      <c r="P29" s="40" t="s">
        <v>47</v>
      </c>
      <c r="Q29" s="44">
        <v>100</v>
      </c>
      <c r="R29" s="37">
        <v>0</v>
      </c>
      <c r="S29" s="37" t="s">
        <v>219</v>
      </c>
      <c r="T29" s="48">
        <v>100</v>
      </c>
      <c r="U29" s="30">
        <v>0.92999999999999994</v>
      </c>
      <c r="V29" s="41">
        <v>93</v>
      </c>
      <c r="W29" s="41">
        <v>50204210</v>
      </c>
      <c r="X29" s="41">
        <v>50204210</v>
      </c>
      <c r="Y29" s="41">
        <v>0</v>
      </c>
      <c r="Z29" s="41">
        <v>0</v>
      </c>
      <c r="AA29" s="41">
        <v>0</v>
      </c>
      <c r="AB29" s="41">
        <v>0</v>
      </c>
      <c r="AC29" s="41">
        <v>0</v>
      </c>
      <c r="AD29" s="41">
        <v>0</v>
      </c>
      <c r="AE29" s="41">
        <v>0</v>
      </c>
      <c r="AF29" s="41">
        <v>0</v>
      </c>
      <c r="AG29" s="41">
        <v>0</v>
      </c>
      <c r="AH29" s="41">
        <v>0</v>
      </c>
      <c r="AI29" s="41">
        <v>0</v>
      </c>
      <c r="AJ29" s="41">
        <v>0</v>
      </c>
      <c r="AK29" s="41">
        <v>0</v>
      </c>
      <c r="AL29" s="41">
        <v>0</v>
      </c>
      <c r="AM29" s="41"/>
      <c r="AN29" s="41">
        <v>502042.1</v>
      </c>
      <c r="AO29" s="41">
        <v>502043</v>
      </c>
      <c r="AP29" s="40"/>
      <c r="AQ29" s="36">
        <v>45047</v>
      </c>
      <c r="AR29" s="36"/>
      <c r="AS29" s="36"/>
      <c r="AT29" s="36">
        <v>45061</v>
      </c>
      <c r="AU29" s="36"/>
      <c r="AV29" s="38"/>
      <c r="AW29" s="40" t="s">
        <v>49</v>
      </c>
    </row>
    <row r="30" spans="1:49" ht="88.5" customHeight="1" x14ac:dyDescent="0.3">
      <c r="A30" s="35" t="s">
        <v>2530</v>
      </c>
      <c r="B30" s="38">
        <v>44985</v>
      </c>
      <c r="C30" s="40" t="s">
        <v>2077</v>
      </c>
      <c r="D30" s="39" t="s">
        <v>2531</v>
      </c>
      <c r="E30" s="1" t="s">
        <v>2532</v>
      </c>
      <c r="F30" s="36">
        <v>45012</v>
      </c>
      <c r="G30" s="37" t="s">
        <v>2533</v>
      </c>
      <c r="H30" s="40" t="s">
        <v>2081</v>
      </c>
      <c r="I30" s="40" t="s">
        <v>2244</v>
      </c>
      <c r="J30" s="57">
        <v>31368401.699999999</v>
      </c>
      <c r="K30" s="41">
        <v>31203159.899999999</v>
      </c>
      <c r="L30" s="30">
        <v>31203159.899999999</v>
      </c>
      <c r="M30" s="30">
        <v>31203159.899999999</v>
      </c>
      <c r="N30" s="40" t="s">
        <v>2534</v>
      </c>
      <c r="O30" s="40" t="s">
        <v>2535</v>
      </c>
      <c r="P30" s="40" t="s">
        <v>47</v>
      </c>
      <c r="Q30" s="44">
        <v>100</v>
      </c>
      <c r="R30" s="37">
        <v>0</v>
      </c>
      <c r="S30" s="37" t="s">
        <v>1964</v>
      </c>
      <c r="T30" s="48">
        <v>5</v>
      </c>
      <c r="U30" s="30">
        <v>22.66</v>
      </c>
      <c r="V30" s="41">
        <v>113.3</v>
      </c>
      <c r="W30" s="41">
        <v>1377015</v>
      </c>
      <c r="X30" s="41">
        <v>1377015</v>
      </c>
      <c r="Y30" s="41">
        <v>0</v>
      </c>
      <c r="Z30" s="41">
        <v>0</v>
      </c>
      <c r="AA30" s="41">
        <v>0</v>
      </c>
      <c r="AB30" s="41">
        <v>0</v>
      </c>
      <c r="AC30" s="41">
        <v>0</v>
      </c>
      <c r="AD30" s="41">
        <v>0</v>
      </c>
      <c r="AE30" s="41">
        <v>0</v>
      </c>
      <c r="AF30" s="41">
        <v>0</v>
      </c>
      <c r="AG30" s="41">
        <v>0</v>
      </c>
      <c r="AH30" s="41">
        <v>0</v>
      </c>
      <c r="AI30" s="41">
        <v>0</v>
      </c>
      <c r="AJ30" s="41">
        <v>0</v>
      </c>
      <c r="AK30" s="41">
        <v>0</v>
      </c>
      <c r="AL30" s="41">
        <v>0</v>
      </c>
      <c r="AM30" s="41"/>
      <c r="AN30" s="41">
        <v>275403</v>
      </c>
      <c r="AO30" s="41">
        <v>275403</v>
      </c>
      <c r="AP30" s="40"/>
      <c r="AQ30" s="36">
        <v>45047</v>
      </c>
      <c r="AR30" s="36"/>
      <c r="AS30" s="36"/>
      <c r="AT30" s="36">
        <v>45061</v>
      </c>
      <c r="AU30" s="36"/>
      <c r="AV30" s="38"/>
      <c r="AW30" s="40" t="s">
        <v>87</v>
      </c>
    </row>
    <row r="31" spans="1:49" ht="88.5" customHeight="1" x14ac:dyDescent="0.3">
      <c r="A31" s="35" t="s">
        <v>2542</v>
      </c>
      <c r="B31" s="38">
        <v>44985</v>
      </c>
      <c r="C31" s="40" t="s">
        <v>2077</v>
      </c>
      <c r="D31" s="39" t="s">
        <v>2543</v>
      </c>
      <c r="E31" s="1" t="s">
        <v>2544</v>
      </c>
      <c r="F31" s="36">
        <v>45009</v>
      </c>
      <c r="G31" s="37" t="s">
        <v>2545</v>
      </c>
      <c r="H31" s="40" t="s">
        <v>2003</v>
      </c>
      <c r="I31" s="40" t="s">
        <v>2546</v>
      </c>
      <c r="J31" s="57">
        <v>70261742.140000001</v>
      </c>
      <c r="K31" s="41">
        <v>70261742.140000001</v>
      </c>
      <c r="L31" s="30">
        <v>73373678.939999998</v>
      </c>
      <c r="M31" s="30">
        <v>73373678.939999998</v>
      </c>
      <c r="N31" s="40" t="s">
        <v>2547</v>
      </c>
      <c r="O31" s="40" t="s">
        <v>2548</v>
      </c>
      <c r="P31" s="40" t="s">
        <v>47</v>
      </c>
      <c r="Q31" s="44">
        <v>100</v>
      </c>
      <c r="R31" s="37">
        <v>0</v>
      </c>
      <c r="S31" s="37" t="s">
        <v>1964</v>
      </c>
      <c r="T31" s="54" t="s">
        <v>2549</v>
      </c>
      <c r="U31" s="30">
        <v>13.059999999999999</v>
      </c>
      <c r="V31" s="41" t="e">
        <v>#VALUE!</v>
      </c>
      <c r="W31" s="41">
        <v>5618199</v>
      </c>
      <c r="X31" s="41">
        <v>3765943</v>
      </c>
      <c r="Y31" s="41">
        <v>0</v>
      </c>
      <c r="Z31" s="41">
        <v>0</v>
      </c>
      <c r="AA31" s="41">
        <v>0</v>
      </c>
      <c r="AB31" s="41">
        <v>0</v>
      </c>
      <c r="AC31" s="41">
        <v>1852256</v>
      </c>
      <c r="AD31" s="41">
        <v>0</v>
      </c>
      <c r="AE31" s="41">
        <v>0</v>
      </c>
      <c r="AF31" s="41">
        <v>0</v>
      </c>
      <c r="AG31" s="41">
        <v>0</v>
      </c>
      <c r="AH31" s="41">
        <v>0</v>
      </c>
      <c r="AI31" s="41">
        <v>0</v>
      </c>
      <c r="AJ31" s="41">
        <v>0</v>
      </c>
      <c r="AK31" s="41">
        <v>0</v>
      </c>
      <c r="AL31" s="41">
        <v>0</v>
      </c>
      <c r="AM31" s="41"/>
      <c r="AN31" s="41" t="e">
        <v>#VALUE!</v>
      </c>
      <c r="AO31" s="41" t="e">
        <v>#VALUE!</v>
      </c>
      <c r="AP31" s="40"/>
      <c r="AQ31" s="36">
        <v>45047</v>
      </c>
      <c r="AR31" s="36">
        <v>45170</v>
      </c>
      <c r="AS31" s="36"/>
      <c r="AT31" s="36">
        <v>45061</v>
      </c>
      <c r="AU31" s="36">
        <v>45184</v>
      </c>
      <c r="AV31" s="38"/>
      <c r="AW31" s="40" t="s">
        <v>49</v>
      </c>
    </row>
    <row r="32" spans="1:49" s="34" customFormat="1" ht="88.5" customHeight="1" x14ac:dyDescent="0.3">
      <c r="A32" s="35" t="s">
        <v>2562</v>
      </c>
      <c r="B32" s="38">
        <v>44988</v>
      </c>
      <c r="C32" s="40" t="s">
        <v>2077</v>
      </c>
      <c r="D32" s="39" t="s">
        <v>2563</v>
      </c>
      <c r="E32" s="1" t="s">
        <v>2564</v>
      </c>
      <c r="F32" s="36">
        <v>45009</v>
      </c>
      <c r="G32" s="37" t="s">
        <v>2565</v>
      </c>
      <c r="H32" s="40" t="s">
        <v>177</v>
      </c>
      <c r="I32" s="40" t="s">
        <v>2566</v>
      </c>
      <c r="J32" s="57">
        <v>199642806.78</v>
      </c>
      <c r="K32" s="41">
        <v>199642806.78</v>
      </c>
      <c r="L32" s="30">
        <v>212232277.25999999</v>
      </c>
      <c r="M32" s="30">
        <v>212232277.25999999</v>
      </c>
      <c r="N32" s="40" t="s">
        <v>2567</v>
      </c>
      <c r="O32" s="40" t="s">
        <v>2568</v>
      </c>
      <c r="P32" s="40" t="s">
        <v>357</v>
      </c>
      <c r="Q32" s="44">
        <v>0</v>
      </c>
      <c r="R32" s="37">
        <v>100</v>
      </c>
      <c r="S32" s="37" t="s">
        <v>1964</v>
      </c>
      <c r="T32" s="48">
        <v>48</v>
      </c>
      <c r="U32" s="30">
        <v>144.66</v>
      </c>
      <c r="V32" s="41">
        <v>6943.68</v>
      </c>
      <c r="W32" s="41">
        <v>1467111</v>
      </c>
      <c r="X32" s="41">
        <v>479904</v>
      </c>
      <c r="Y32" s="41">
        <v>0</v>
      </c>
      <c r="Z32" s="41">
        <v>0</v>
      </c>
      <c r="AA32" s="41">
        <v>0</v>
      </c>
      <c r="AB32" s="41">
        <v>0</v>
      </c>
      <c r="AC32" s="41">
        <v>383952</v>
      </c>
      <c r="AD32" s="41">
        <v>0</v>
      </c>
      <c r="AE32" s="41">
        <v>0</v>
      </c>
      <c r="AF32" s="41">
        <v>0</v>
      </c>
      <c r="AG32" s="41">
        <v>0</v>
      </c>
      <c r="AH32" s="41">
        <v>603255</v>
      </c>
      <c r="AI32" s="41">
        <v>0</v>
      </c>
      <c r="AJ32" s="41">
        <v>0</v>
      </c>
      <c r="AK32" s="41">
        <v>0</v>
      </c>
      <c r="AL32" s="41">
        <v>0</v>
      </c>
      <c r="AM32" s="41"/>
      <c r="AN32" s="41">
        <v>30564.8125</v>
      </c>
      <c r="AO32" s="41">
        <v>30565</v>
      </c>
      <c r="AP32" s="40"/>
      <c r="AQ32" s="36">
        <v>45047</v>
      </c>
      <c r="AR32" s="36">
        <v>45078</v>
      </c>
      <c r="AS32" s="36">
        <v>45184</v>
      </c>
      <c r="AT32" s="36">
        <v>45061</v>
      </c>
      <c r="AU32" s="36">
        <v>45092</v>
      </c>
      <c r="AV32" s="38">
        <v>45199</v>
      </c>
      <c r="AW32" s="40" t="s">
        <v>68</v>
      </c>
    </row>
    <row r="33" spans="1:49" s="34" customFormat="1" ht="88.5" customHeight="1" x14ac:dyDescent="0.3">
      <c r="A33" s="35" t="s">
        <v>2569</v>
      </c>
      <c r="B33" s="38">
        <v>44988</v>
      </c>
      <c r="C33" s="40" t="s">
        <v>2077</v>
      </c>
      <c r="D33" s="39" t="s">
        <v>2570</v>
      </c>
      <c r="E33" s="1" t="s">
        <v>2571</v>
      </c>
      <c r="F33" s="36">
        <v>45012</v>
      </c>
      <c r="G33" s="37" t="s">
        <v>2572</v>
      </c>
      <c r="H33" s="40" t="s">
        <v>2003</v>
      </c>
      <c r="I33" s="40" t="s">
        <v>2573</v>
      </c>
      <c r="J33" s="57">
        <v>64781337.600000001</v>
      </c>
      <c r="K33" s="57">
        <v>64781337.600000001</v>
      </c>
      <c r="L33" s="30">
        <v>64781337.600000001</v>
      </c>
      <c r="M33" s="30">
        <v>64781337.600000001</v>
      </c>
      <c r="N33" s="40" t="s">
        <v>2574</v>
      </c>
      <c r="O33" s="40" t="s">
        <v>2575</v>
      </c>
      <c r="P33" s="40" t="s">
        <v>47</v>
      </c>
      <c r="Q33" s="44">
        <v>100</v>
      </c>
      <c r="R33" s="37">
        <v>0</v>
      </c>
      <c r="S33" s="37" t="s">
        <v>1964</v>
      </c>
      <c r="T33" s="54" t="s">
        <v>2576</v>
      </c>
      <c r="U33" s="30">
        <v>32.4</v>
      </c>
      <c r="V33" s="41" t="e">
        <v>#VALUE!</v>
      </c>
      <c r="W33" s="41">
        <v>1999424</v>
      </c>
      <c r="X33" s="41">
        <v>1999424</v>
      </c>
      <c r="Y33" s="41">
        <v>0</v>
      </c>
      <c r="Z33" s="41">
        <v>0</v>
      </c>
      <c r="AA33" s="41">
        <v>0</v>
      </c>
      <c r="AB33" s="41">
        <v>0</v>
      </c>
      <c r="AC33" s="41">
        <v>0</v>
      </c>
      <c r="AD33" s="41">
        <v>0</v>
      </c>
      <c r="AE33" s="41">
        <v>0</v>
      </c>
      <c r="AF33" s="41">
        <v>0</v>
      </c>
      <c r="AG33" s="41">
        <v>0</v>
      </c>
      <c r="AH33" s="41">
        <v>0</v>
      </c>
      <c r="AI33" s="41">
        <v>0</v>
      </c>
      <c r="AJ33" s="41">
        <v>0</v>
      </c>
      <c r="AK33" s="41">
        <v>0</v>
      </c>
      <c r="AL33" s="41">
        <v>0</v>
      </c>
      <c r="AM33" s="41"/>
      <c r="AN33" s="41" t="e">
        <v>#VALUE!</v>
      </c>
      <c r="AO33" s="41" t="e">
        <v>#VALUE!</v>
      </c>
      <c r="AP33" s="40"/>
      <c r="AQ33" s="36">
        <v>45047</v>
      </c>
      <c r="AR33" s="36"/>
      <c r="AS33" s="36"/>
      <c r="AT33" s="36">
        <v>45061</v>
      </c>
      <c r="AU33" s="36"/>
      <c r="AV33" s="38"/>
      <c r="AW33" s="40" t="s">
        <v>87</v>
      </c>
    </row>
    <row r="34" spans="1:49" s="34" customFormat="1" ht="88.5" customHeight="1" x14ac:dyDescent="0.3">
      <c r="A34" s="35" t="s">
        <v>2636</v>
      </c>
      <c r="B34" s="38">
        <v>45002</v>
      </c>
      <c r="C34" s="40" t="s">
        <v>2077</v>
      </c>
      <c r="D34" s="39" t="s">
        <v>2637</v>
      </c>
      <c r="E34" s="1" t="s">
        <v>2638</v>
      </c>
      <c r="F34" s="36">
        <v>45023</v>
      </c>
      <c r="G34" s="37" t="s">
        <v>2639</v>
      </c>
      <c r="H34" s="40" t="s">
        <v>2081</v>
      </c>
      <c r="I34" s="40" t="s">
        <v>2640</v>
      </c>
      <c r="J34" s="57">
        <v>521035.9</v>
      </c>
      <c r="K34" s="41">
        <v>521035.9</v>
      </c>
      <c r="L34" s="30">
        <v>521035.9</v>
      </c>
      <c r="M34" s="30">
        <v>521035.9</v>
      </c>
      <c r="N34" s="40" t="s">
        <v>2641</v>
      </c>
      <c r="O34" s="40" t="s">
        <v>2642</v>
      </c>
      <c r="P34" s="40" t="s">
        <v>47</v>
      </c>
      <c r="Q34" s="44">
        <v>0</v>
      </c>
      <c r="R34" s="37">
        <v>100</v>
      </c>
      <c r="S34" s="37" t="s">
        <v>1489</v>
      </c>
      <c r="T34" s="48">
        <v>25</v>
      </c>
      <c r="U34" s="30">
        <v>54.95</v>
      </c>
      <c r="V34" s="41">
        <v>1373.75</v>
      </c>
      <c r="W34" s="41">
        <v>9482</v>
      </c>
      <c r="X34" s="41">
        <v>9482</v>
      </c>
      <c r="Y34" s="41">
        <v>0</v>
      </c>
      <c r="Z34" s="41">
        <v>0</v>
      </c>
      <c r="AA34" s="41">
        <v>0</v>
      </c>
      <c r="AB34" s="41">
        <v>0</v>
      </c>
      <c r="AC34" s="41">
        <v>0</v>
      </c>
      <c r="AD34" s="41">
        <v>0</v>
      </c>
      <c r="AE34" s="41">
        <v>0</v>
      </c>
      <c r="AF34" s="41">
        <v>0</v>
      </c>
      <c r="AG34" s="41">
        <v>0</v>
      </c>
      <c r="AH34" s="41">
        <v>0</v>
      </c>
      <c r="AI34" s="41">
        <v>0</v>
      </c>
      <c r="AJ34" s="41">
        <v>0</v>
      </c>
      <c r="AK34" s="41">
        <v>0</v>
      </c>
      <c r="AL34" s="41">
        <v>0</v>
      </c>
      <c r="AM34" s="41"/>
      <c r="AN34" s="41">
        <v>379.28</v>
      </c>
      <c r="AO34" s="41">
        <v>380</v>
      </c>
      <c r="AP34" s="40"/>
      <c r="AQ34" s="36">
        <v>45078</v>
      </c>
      <c r="AR34" s="36"/>
      <c r="AS34" s="36"/>
      <c r="AT34" s="36">
        <v>45092</v>
      </c>
      <c r="AU34" s="36"/>
      <c r="AV34" s="38"/>
      <c r="AW34" s="40" t="s">
        <v>87</v>
      </c>
    </row>
    <row r="35" spans="1:49" ht="88.5" customHeight="1" x14ac:dyDescent="0.3">
      <c r="A35" s="35" t="s">
        <v>2649</v>
      </c>
      <c r="B35" s="38">
        <v>45002</v>
      </c>
      <c r="C35" s="40" t="s">
        <v>2077</v>
      </c>
      <c r="D35" s="39" t="s">
        <v>2650</v>
      </c>
      <c r="E35" s="1" t="s">
        <v>2651</v>
      </c>
      <c r="F35" s="36">
        <v>45023</v>
      </c>
      <c r="G35" s="37" t="s">
        <v>2652</v>
      </c>
      <c r="H35" s="40" t="s">
        <v>571</v>
      </c>
      <c r="I35" s="40" t="s">
        <v>2376</v>
      </c>
      <c r="J35" s="57">
        <v>7553700</v>
      </c>
      <c r="K35" s="41">
        <v>7553700</v>
      </c>
      <c r="L35" s="30">
        <v>7553700</v>
      </c>
      <c r="M35" s="30">
        <v>7553700</v>
      </c>
      <c r="N35" s="40" t="s">
        <v>2653</v>
      </c>
      <c r="O35" s="40" t="s">
        <v>2654</v>
      </c>
      <c r="P35" s="40" t="s">
        <v>47</v>
      </c>
      <c r="Q35" s="44">
        <v>100</v>
      </c>
      <c r="R35" s="37">
        <v>0</v>
      </c>
      <c r="S35" s="37" t="s">
        <v>1964</v>
      </c>
      <c r="T35" s="48">
        <v>100</v>
      </c>
      <c r="U35" s="30">
        <v>49.5</v>
      </c>
      <c r="V35" s="41">
        <v>4950</v>
      </c>
      <c r="W35" s="41">
        <v>152600</v>
      </c>
      <c r="X35" s="41">
        <v>107500</v>
      </c>
      <c r="Y35" s="41">
        <v>0</v>
      </c>
      <c r="Z35" s="41">
        <v>0</v>
      </c>
      <c r="AA35" s="41">
        <v>0</v>
      </c>
      <c r="AB35" s="41">
        <v>0</v>
      </c>
      <c r="AC35" s="41">
        <v>45100</v>
      </c>
      <c r="AD35" s="41">
        <v>0</v>
      </c>
      <c r="AE35" s="41">
        <v>0</v>
      </c>
      <c r="AF35" s="41">
        <v>0</v>
      </c>
      <c r="AG35" s="41">
        <v>0</v>
      </c>
      <c r="AH35" s="41">
        <v>0</v>
      </c>
      <c r="AI35" s="41">
        <v>0</v>
      </c>
      <c r="AJ35" s="41">
        <v>0</v>
      </c>
      <c r="AK35" s="41">
        <v>0</v>
      </c>
      <c r="AL35" s="41">
        <v>0</v>
      </c>
      <c r="AM35" s="41"/>
      <c r="AN35" s="41">
        <v>1526</v>
      </c>
      <c r="AO35" s="41">
        <v>1526</v>
      </c>
      <c r="AP35" s="40"/>
      <c r="AQ35" s="36">
        <v>45047</v>
      </c>
      <c r="AR35" s="36">
        <v>45170</v>
      </c>
      <c r="AS35" s="36"/>
      <c r="AT35" s="36">
        <v>45061</v>
      </c>
      <c r="AU35" s="36">
        <v>45184</v>
      </c>
      <c r="AV35" s="38"/>
      <c r="AW35" s="40" t="s">
        <v>87</v>
      </c>
    </row>
    <row r="36" spans="1:49" ht="159" customHeight="1" x14ac:dyDescent="0.3">
      <c r="A36" s="35" t="s">
        <v>2671</v>
      </c>
      <c r="B36" s="38">
        <v>45008</v>
      </c>
      <c r="C36" s="40" t="s">
        <v>2077</v>
      </c>
      <c r="D36" s="39" t="s">
        <v>459</v>
      </c>
      <c r="E36" s="1" t="s">
        <v>2672</v>
      </c>
      <c r="F36" s="36" t="s">
        <v>459</v>
      </c>
      <c r="G36" s="37" t="s">
        <v>459</v>
      </c>
      <c r="H36" s="40" t="s">
        <v>459</v>
      </c>
      <c r="I36" s="40" t="s">
        <v>2673</v>
      </c>
      <c r="J36" s="57">
        <v>47198712</v>
      </c>
      <c r="K36" s="41">
        <v>0</v>
      </c>
      <c r="L36" s="30">
        <v>0</v>
      </c>
      <c r="M36" s="30">
        <v>0</v>
      </c>
      <c r="N36" s="40"/>
      <c r="O36" s="40"/>
      <c r="P36" s="40"/>
      <c r="Q36" s="44"/>
      <c r="R36" s="37"/>
      <c r="S36" s="37"/>
      <c r="T36" s="48"/>
      <c r="U36" s="30" t="e">
        <v>#DIV/0!</v>
      </c>
      <c r="V36" s="41" t="e">
        <v>#DIV/0!</v>
      </c>
      <c r="W36" s="41">
        <v>0</v>
      </c>
      <c r="X36" s="41">
        <v>0</v>
      </c>
      <c r="Y36" s="41">
        <v>0</v>
      </c>
      <c r="Z36" s="41">
        <v>0</v>
      </c>
      <c r="AA36" s="41">
        <v>0</v>
      </c>
      <c r="AB36" s="41">
        <v>0</v>
      </c>
      <c r="AC36" s="41">
        <v>0</v>
      </c>
      <c r="AD36" s="41">
        <v>0</v>
      </c>
      <c r="AE36" s="41">
        <v>0</v>
      </c>
      <c r="AF36" s="41">
        <v>0</v>
      </c>
      <c r="AG36" s="41">
        <v>0</v>
      </c>
      <c r="AH36" s="41">
        <v>0</v>
      </c>
      <c r="AI36" s="41">
        <v>0</v>
      </c>
      <c r="AJ36" s="41">
        <v>0</v>
      </c>
      <c r="AK36" s="41">
        <v>0</v>
      </c>
      <c r="AL36" s="41">
        <v>0</v>
      </c>
      <c r="AM36" s="41"/>
      <c r="AN36" s="41" t="e">
        <v>#DIV/0!</v>
      </c>
      <c r="AO36" s="41" t="e">
        <v>#DIV/0!</v>
      </c>
      <c r="AP36" s="40"/>
      <c r="AQ36" s="36">
        <v>45108</v>
      </c>
      <c r="AR36" s="36"/>
      <c r="AS36" s="36"/>
      <c r="AT36" s="36"/>
      <c r="AU36" s="36"/>
      <c r="AV36" s="38"/>
      <c r="AW36" s="40"/>
    </row>
    <row r="37" spans="1:49" ht="72" x14ac:dyDescent="0.3">
      <c r="A37" s="35" t="s">
        <v>2680</v>
      </c>
      <c r="B37" s="38">
        <v>45012</v>
      </c>
      <c r="C37" s="40" t="s">
        <v>2077</v>
      </c>
      <c r="D37" s="39" t="s">
        <v>459</v>
      </c>
      <c r="E37" s="1" t="s">
        <v>2681</v>
      </c>
      <c r="F37" s="36" t="s">
        <v>459</v>
      </c>
      <c r="G37" s="37" t="s">
        <v>459</v>
      </c>
      <c r="H37" s="40" t="s">
        <v>459</v>
      </c>
      <c r="I37" s="40" t="s">
        <v>2682</v>
      </c>
      <c r="J37" s="57">
        <v>31322855.52</v>
      </c>
      <c r="K37" s="41">
        <v>0</v>
      </c>
      <c r="L37" s="30">
        <v>0</v>
      </c>
      <c r="M37" s="30">
        <v>0</v>
      </c>
      <c r="N37" s="40"/>
      <c r="O37" s="40"/>
      <c r="P37" s="40"/>
      <c r="Q37" s="44"/>
      <c r="R37" s="37"/>
      <c r="S37" s="37"/>
      <c r="T37" s="48"/>
      <c r="U37" s="30" t="e">
        <v>#DIV/0!</v>
      </c>
      <c r="V37" s="41" t="e">
        <v>#DIV/0!</v>
      </c>
      <c r="W37" s="41">
        <v>0</v>
      </c>
      <c r="X37" s="41">
        <v>0</v>
      </c>
      <c r="Y37" s="41">
        <v>0</v>
      </c>
      <c r="Z37" s="41">
        <v>0</v>
      </c>
      <c r="AA37" s="41">
        <v>0</v>
      </c>
      <c r="AB37" s="41">
        <v>0</v>
      </c>
      <c r="AC37" s="41">
        <v>0</v>
      </c>
      <c r="AD37" s="41">
        <v>0</v>
      </c>
      <c r="AE37" s="41">
        <v>0</v>
      </c>
      <c r="AF37" s="41">
        <v>0</v>
      </c>
      <c r="AG37" s="41">
        <v>0</v>
      </c>
      <c r="AH37" s="41">
        <v>0</v>
      </c>
      <c r="AI37" s="41">
        <v>0</v>
      </c>
      <c r="AJ37" s="41">
        <v>0</v>
      </c>
      <c r="AK37" s="41">
        <v>0</v>
      </c>
      <c r="AL37" s="41">
        <v>0</v>
      </c>
      <c r="AM37" s="41"/>
      <c r="AN37" s="41" t="e">
        <v>#DIV/0!</v>
      </c>
      <c r="AO37" s="41" t="e">
        <v>#DIV/0!</v>
      </c>
      <c r="AP37" s="40"/>
      <c r="AQ37" s="36">
        <v>45061</v>
      </c>
      <c r="AR37" s="36"/>
      <c r="AS37" s="36"/>
      <c r="AT37" s="36"/>
      <c r="AU37" s="36"/>
      <c r="AV37" s="38"/>
      <c r="AW37" s="40"/>
    </row>
    <row r="38" spans="1:49" s="34" customFormat="1" ht="164.4" customHeight="1" x14ac:dyDescent="0.3">
      <c r="A38" s="35" t="s">
        <v>2885</v>
      </c>
      <c r="B38" s="36">
        <v>45034</v>
      </c>
      <c r="C38" s="37" t="s">
        <v>2077</v>
      </c>
      <c r="D38" s="39" t="s">
        <v>2886</v>
      </c>
      <c r="E38" s="1" t="s">
        <v>2887</v>
      </c>
      <c r="F38" s="36">
        <v>45058</v>
      </c>
      <c r="G38" s="37" t="s">
        <v>2888</v>
      </c>
      <c r="H38" s="40" t="s">
        <v>571</v>
      </c>
      <c r="I38" s="40" t="s">
        <v>2889</v>
      </c>
      <c r="J38" s="41">
        <v>99491700</v>
      </c>
      <c r="K38" s="41">
        <v>99491700</v>
      </c>
      <c r="L38" s="30">
        <v>101571525</v>
      </c>
      <c r="M38" s="30">
        <v>101571525</v>
      </c>
      <c r="N38" s="40" t="s">
        <v>2890</v>
      </c>
      <c r="O38" s="40" t="s">
        <v>2891</v>
      </c>
      <c r="P38" s="40" t="s">
        <v>47</v>
      </c>
      <c r="Q38" s="44">
        <v>100</v>
      </c>
      <c r="R38" s="37">
        <v>0</v>
      </c>
      <c r="S38" s="37" t="s">
        <v>1964</v>
      </c>
      <c r="T38" s="54" t="s">
        <v>2892</v>
      </c>
      <c r="U38" s="30">
        <v>82.5</v>
      </c>
      <c r="V38" s="57" t="s">
        <v>2893</v>
      </c>
      <c r="W38" s="41">
        <v>1231170</v>
      </c>
      <c r="X38" s="41">
        <v>844170</v>
      </c>
      <c r="Y38" s="41">
        <v>0</v>
      </c>
      <c r="Z38" s="41">
        <v>0</v>
      </c>
      <c r="AA38" s="41">
        <v>0</v>
      </c>
      <c r="AB38" s="41">
        <v>0</v>
      </c>
      <c r="AC38" s="41">
        <v>387000</v>
      </c>
      <c r="AD38" s="41">
        <v>0</v>
      </c>
      <c r="AE38" s="41">
        <v>0</v>
      </c>
      <c r="AF38" s="41">
        <v>0</v>
      </c>
      <c r="AG38" s="41">
        <v>0</v>
      </c>
      <c r="AH38" s="41">
        <v>0</v>
      </c>
      <c r="AI38" s="41">
        <v>0</v>
      </c>
      <c r="AJ38" s="41">
        <v>0</v>
      </c>
      <c r="AK38" s="41">
        <v>0</v>
      </c>
      <c r="AL38" s="41">
        <v>0</v>
      </c>
      <c r="AM38" s="41">
        <v>0</v>
      </c>
      <c r="AN38" s="57" t="s">
        <v>2894</v>
      </c>
      <c r="AO38" s="57" t="s">
        <v>2895</v>
      </c>
      <c r="AP38" s="40"/>
      <c r="AQ38" s="36">
        <v>45108</v>
      </c>
      <c r="AR38" s="36">
        <v>45170</v>
      </c>
      <c r="AS38" s="36"/>
      <c r="AT38" s="36">
        <v>45122</v>
      </c>
      <c r="AU38" s="36">
        <v>45184</v>
      </c>
      <c r="AV38" s="38"/>
      <c r="AW38" s="40" t="s">
        <v>75</v>
      </c>
    </row>
    <row r="39" spans="1:49" s="34" customFormat="1" ht="67.5" customHeight="1" x14ac:dyDescent="0.3">
      <c r="A39" s="35" t="s">
        <v>3038</v>
      </c>
      <c r="B39" s="36">
        <v>45042</v>
      </c>
      <c r="C39" s="37" t="s">
        <v>2077</v>
      </c>
      <c r="D39" s="39" t="s">
        <v>3039</v>
      </c>
      <c r="E39" s="1" t="s">
        <v>3040</v>
      </c>
      <c r="F39" s="36">
        <v>45069</v>
      </c>
      <c r="G39" s="37" t="s">
        <v>3041</v>
      </c>
      <c r="H39" s="40" t="s">
        <v>571</v>
      </c>
      <c r="I39" s="40" t="s">
        <v>2493</v>
      </c>
      <c r="J39" s="41">
        <v>36780625.799999997</v>
      </c>
      <c r="K39" s="41">
        <v>36780625.799999997</v>
      </c>
      <c r="L39" s="30">
        <v>38065947.799999997</v>
      </c>
      <c r="M39" s="30">
        <v>38065947.799999997</v>
      </c>
      <c r="N39" s="40" t="s">
        <v>3042</v>
      </c>
      <c r="O39" s="40" t="s">
        <v>3043</v>
      </c>
      <c r="P39" s="40" t="s">
        <v>47</v>
      </c>
      <c r="Q39" s="44">
        <v>100</v>
      </c>
      <c r="R39" s="37">
        <v>0</v>
      </c>
      <c r="S39" s="37" t="s">
        <v>1964</v>
      </c>
      <c r="T39" s="48">
        <v>50</v>
      </c>
      <c r="U39" s="30">
        <v>6.1999999999999993</v>
      </c>
      <c r="V39" s="41">
        <v>309.99999999999994</v>
      </c>
      <c r="W39" s="41">
        <v>6139669</v>
      </c>
      <c r="X39" s="41">
        <v>6139669</v>
      </c>
      <c r="Y39" s="41">
        <v>0</v>
      </c>
      <c r="Z39" s="41">
        <v>0</v>
      </c>
      <c r="AA39" s="41">
        <v>0</v>
      </c>
      <c r="AB39" s="41">
        <v>0</v>
      </c>
      <c r="AC39" s="41">
        <v>0</v>
      </c>
      <c r="AD39" s="41">
        <v>0</v>
      </c>
      <c r="AE39" s="41">
        <v>0</v>
      </c>
      <c r="AF39" s="41">
        <v>0</v>
      </c>
      <c r="AG39" s="41">
        <v>0</v>
      </c>
      <c r="AH39" s="41">
        <v>0</v>
      </c>
      <c r="AI39" s="41">
        <v>0</v>
      </c>
      <c r="AJ39" s="41">
        <v>0</v>
      </c>
      <c r="AK39" s="41">
        <v>0</v>
      </c>
      <c r="AL39" s="41">
        <v>0</v>
      </c>
      <c r="AM39" s="41">
        <v>0</v>
      </c>
      <c r="AN39" s="41">
        <v>122793.38</v>
      </c>
      <c r="AO39" s="41">
        <v>122794</v>
      </c>
      <c r="AP39" s="40"/>
      <c r="AQ39" s="36">
        <v>45139</v>
      </c>
      <c r="AR39" s="36"/>
      <c r="AS39" s="36"/>
      <c r="AT39" s="36">
        <v>45153</v>
      </c>
      <c r="AU39" s="36"/>
      <c r="AV39" s="38"/>
      <c r="AW39" s="40" t="s">
        <v>49</v>
      </c>
    </row>
    <row r="40" spans="1:49" s="34" customFormat="1" ht="61.2" customHeight="1" x14ac:dyDescent="0.3">
      <c r="A40" s="35" t="s">
        <v>3055</v>
      </c>
      <c r="B40" s="36">
        <v>45042</v>
      </c>
      <c r="C40" s="37" t="s">
        <v>2077</v>
      </c>
      <c r="D40" s="39" t="s">
        <v>3056</v>
      </c>
      <c r="E40" s="1" t="s">
        <v>3057</v>
      </c>
      <c r="F40" s="36">
        <v>45064</v>
      </c>
      <c r="G40" s="37" t="s">
        <v>3058</v>
      </c>
      <c r="H40" s="40" t="s">
        <v>2089</v>
      </c>
      <c r="I40" s="40" t="s">
        <v>3059</v>
      </c>
      <c r="J40" s="41">
        <v>64361880</v>
      </c>
      <c r="K40" s="41">
        <v>64361880</v>
      </c>
      <c r="L40" s="30">
        <v>64361880</v>
      </c>
      <c r="M40" s="30">
        <v>64361880</v>
      </c>
      <c r="N40" s="40" t="s">
        <v>3060</v>
      </c>
      <c r="O40" s="40" t="s">
        <v>3061</v>
      </c>
      <c r="P40" s="40" t="s">
        <v>47</v>
      </c>
      <c r="Q40" s="44">
        <v>100</v>
      </c>
      <c r="R40" s="37">
        <v>0</v>
      </c>
      <c r="S40" s="37" t="s">
        <v>1489</v>
      </c>
      <c r="T40" s="54" t="s">
        <v>3062</v>
      </c>
      <c r="U40" s="30">
        <v>180</v>
      </c>
      <c r="V40" s="41" t="e">
        <v>#VALUE!</v>
      </c>
      <c r="W40" s="41">
        <v>357566</v>
      </c>
      <c r="X40" s="41">
        <v>357566</v>
      </c>
      <c r="Y40" s="41">
        <v>0</v>
      </c>
      <c r="Z40" s="41">
        <v>0</v>
      </c>
      <c r="AA40" s="41">
        <v>0</v>
      </c>
      <c r="AB40" s="41">
        <v>0</v>
      </c>
      <c r="AC40" s="41">
        <v>0</v>
      </c>
      <c r="AD40" s="41">
        <v>0</v>
      </c>
      <c r="AE40" s="41">
        <v>0</v>
      </c>
      <c r="AF40" s="41">
        <v>0</v>
      </c>
      <c r="AG40" s="41">
        <v>0</v>
      </c>
      <c r="AH40" s="41">
        <v>0</v>
      </c>
      <c r="AI40" s="41">
        <v>0</v>
      </c>
      <c r="AJ40" s="41">
        <v>0</v>
      </c>
      <c r="AK40" s="41">
        <v>0</v>
      </c>
      <c r="AL40" s="41">
        <v>0</v>
      </c>
      <c r="AM40" s="41">
        <v>0</v>
      </c>
      <c r="AN40" s="41" t="e">
        <v>#VALUE!</v>
      </c>
      <c r="AO40" s="41" t="e">
        <v>#VALUE!</v>
      </c>
      <c r="AP40" s="40"/>
      <c r="AQ40" s="36">
        <v>45108</v>
      </c>
      <c r="AR40" s="36"/>
      <c r="AS40" s="36"/>
      <c r="AT40" s="36">
        <v>45122</v>
      </c>
      <c r="AU40" s="36"/>
      <c r="AV40" s="38"/>
      <c r="AW40" s="40" t="s">
        <v>49</v>
      </c>
    </row>
    <row r="41" spans="1:49" ht="48" customHeight="1" x14ac:dyDescent="0.3">
      <c r="A41" s="35" t="s">
        <v>3617</v>
      </c>
      <c r="B41" s="38">
        <v>45106</v>
      </c>
      <c r="C41" s="40" t="s">
        <v>2077</v>
      </c>
      <c r="D41" s="39" t="s">
        <v>3618</v>
      </c>
      <c r="E41" s="1" t="s">
        <v>3619</v>
      </c>
      <c r="F41" s="36">
        <v>45125</v>
      </c>
      <c r="G41" s="37" t="s">
        <v>3620</v>
      </c>
      <c r="H41" s="40" t="s">
        <v>571</v>
      </c>
      <c r="I41" s="40" t="s">
        <v>3621</v>
      </c>
      <c r="J41" s="57">
        <v>33303600</v>
      </c>
      <c r="K41" s="41">
        <v>33303600</v>
      </c>
      <c r="L41" s="30">
        <v>33303600</v>
      </c>
      <c r="M41" s="30">
        <v>33303600</v>
      </c>
      <c r="N41" s="40" t="s">
        <v>3622</v>
      </c>
      <c r="O41" s="40" t="s">
        <v>3623</v>
      </c>
      <c r="P41" s="40" t="s">
        <v>47</v>
      </c>
      <c r="Q41" s="44">
        <v>100</v>
      </c>
      <c r="R41" s="37">
        <v>0</v>
      </c>
      <c r="S41" s="37" t="s">
        <v>1964</v>
      </c>
      <c r="T41" s="48">
        <v>100</v>
      </c>
      <c r="U41" s="30">
        <v>396</v>
      </c>
      <c r="V41" s="41">
        <v>39600</v>
      </c>
      <c r="W41" s="41">
        <v>84100</v>
      </c>
      <c r="X41" s="41">
        <v>84100</v>
      </c>
      <c r="Y41" s="41">
        <v>0</v>
      </c>
      <c r="Z41" s="41">
        <v>0</v>
      </c>
      <c r="AA41" s="41">
        <v>0</v>
      </c>
      <c r="AB41" s="41">
        <v>0</v>
      </c>
      <c r="AC41" s="41">
        <v>0</v>
      </c>
      <c r="AD41" s="41">
        <v>0</v>
      </c>
      <c r="AE41" s="41">
        <v>0</v>
      </c>
      <c r="AF41" s="41">
        <v>0</v>
      </c>
      <c r="AG41" s="41">
        <v>0</v>
      </c>
      <c r="AH41" s="41">
        <v>0</v>
      </c>
      <c r="AI41" s="41">
        <v>0</v>
      </c>
      <c r="AJ41" s="41">
        <v>0</v>
      </c>
      <c r="AK41" s="41">
        <v>0</v>
      </c>
      <c r="AL41" s="41">
        <v>0</v>
      </c>
      <c r="AM41" s="41">
        <v>0</v>
      </c>
      <c r="AN41" s="41">
        <v>841</v>
      </c>
      <c r="AO41" s="41">
        <v>841</v>
      </c>
      <c r="AP41" s="40"/>
      <c r="AQ41" s="36">
        <v>45153</v>
      </c>
      <c r="AR41" s="36"/>
      <c r="AS41" s="36"/>
      <c r="AT41" s="36">
        <v>45168</v>
      </c>
      <c r="AU41" s="36"/>
      <c r="AV41" s="38"/>
      <c r="AW41" s="40" t="s">
        <v>49</v>
      </c>
    </row>
    <row r="42" spans="1:49" s="34" customFormat="1" ht="48" customHeight="1" x14ac:dyDescent="0.3">
      <c r="A42" s="35" t="s">
        <v>3644</v>
      </c>
      <c r="B42" s="38">
        <v>45106</v>
      </c>
      <c r="C42" s="40" t="s">
        <v>2077</v>
      </c>
      <c r="D42" s="39" t="s">
        <v>3645</v>
      </c>
      <c r="E42" s="1" t="s">
        <v>3646</v>
      </c>
      <c r="F42" s="36">
        <v>45128</v>
      </c>
      <c r="G42" s="37" t="s">
        <v>3647</v>
      </c>
      <c r="H42" s="40" t="s">
        <v>3648</v>
      </c>
      <c r="I42" s="40" t="s">
        <v>2244</v>
      </c>
      <c r="J42" s="57">
        <v>213220.8</v>
      </c>
      <c r="K42" s="41">
        <v>211068</v>
      </c>
      <c r="L42" s="30">
        <v>213210.25</v>
      </c>
      <c r="M42" s="30">
        <v>213210.25</v>
      </c>
      <c r="N42" s="40" t="s">
        <v>3649</v>
      </c>
      <c r="O42" s="40" t="s">
        <v>3650</v>
      </c>
      <c r="P42" s="40" t="s">
        <v>47</v>
      </c>
      <c r="Q42" s="44">
        <v>100</v>
      </c>
      <c r="R42" s="37">
        <v>0</v>
      </c>
      <c r="S42" s="37" t="s">
        <v>1964</v>
      </c>
      <c r="T42" s="48">
        <v>5</v>
      </c>
      <c r="U42" s="30">
        <v>22.55</v>
      </c>
      <c r="V42" s="41">
        <v>112.75</v>
      </c>
      <c r="W42" s="41">
        <v>9455</v>
      </c>
      <c r="X42" s="41">
        <v>9455</v>
      </c>
      <c r="Y42" s="41">
        <v>0</v>
      </c>
      <c r="Z42" s="41">
        <v>0</v>
      </c>
      <c r="AA42" s="41">
        <v>0</v>
      </c>
      <c r="AB42" s="41">
        <v>0</v>
      </c>
      <c r="AC42" s="41">
        <v>0</v>
      </c>
      <c r="AD42" s="41">
        <v>0</v>
      </c>
      <c r="AE42" s="41">
        <v>0</v>
      </c>
      <c r="AF42" s="41">
        <v>0</v>
      </c>
      <c r="AG42" s="41">
        <v>0</v>
      </c>
      <c r="AH42" s="41">
        <v>0</v>
      </c>
      <c r="AI42" s="41">
        <v>0</v>
      </c>
      <c r="AJ42" s="41">
        <v>0</v>
      </c>
      <c r="AK42" s="41">
        <v>0</v>
      </c>
      <c r="AL42" s="41">
        <v>0</v>
      </c>
      <c r="AM42" s="41">
        <v>0</v>
      </c>
      <c r="AN42" s="41">
        <v>1891</v>
      </c>
      <c r="AO42" s="41">
        <v>1891</v>
      </c>
      <c r="AP42" s="40"/>
      <c r="AQ42" s="36">
        <v>45153</v>
      </c>
      <c r="AR42" s="36"/>
      <c r="AS42" s="36"/>
      <c r="AT42" s="36">
        <v>45168</v>
      </c>
      <c r="AU42" s="36"/>
      <c r="AV42" s="38"/>
      <c r="AW42" s="40" t="s">
        <v>49</v>
      </c>
    </row>
    <row r="43" spans="1:49" s="34" customFormat="1" ht="48" customHeight="1" x14ac:dyDescent="0.3">
      <c r="A43" s="35" t="s">
        <v>3720</v>
      </c>
      <c r="B43" s="38">
        <v>45107</v>
      </c>
      <c r="C43" s="40" t="s">
        <v>2077</v>
      </c>
      <c r="D43" s="39" t="s">
        <v>459</v>
      </c>
      <c r="E43" s="1" t="s">
        <v>3721</v>
      </c>
      <c r="F43" s="36" t="s">
        <v>459</v>
      </c>
      <c r="G43" s="37" t="s">
        <v>459</v>
      </c>
      <c r="H43" s="40" t="s">
        <v>459</v>
      </c>
      <c r="I43" s="40" t="s">
        <v>2527</v>
      </c>
      <c r="J43" s="57">
        <v>12866.73</v>
      </c>
      <c r="K43" s="41">
        <v>0</v>
      </c>
      <c r="L43" s="30">
        <v>0</v>
      </c>
      <c r="M43" s="30">
        <v>0</v>
      </c>
      <c r="N43" s="40"/>
      <c r="O43" s="40"/>
      <c r="P43" s="40"/>
      <c r="Q43" s="44"/>
      <c r="R43" s="37"/>
      <c r="S43" s="37"/>
      <c r="T43" s="48"/>
      <c r="U43" s="30" t="e">
        <v>#DIV/0!</v>
      </c>
      <c r="V43" s="41" t="e">
        <v>#DIV/0!</v>
      </c>
      <c r="W43" s="41">
        <v>0</v>
      </c>
      <c r="X43" s="41">
        <v>0</v>
      </c>
      <c r="Y43" s="41">
        <v>0</v>
      </c>
      <c r="Z43" s="41" t="e">
        <v>#DIV/0!</v>
      </c>
      <c r="AA43" s="41">
        <v>0</v>
      </c>
      <c r="AB43" s="41" t="e">
        <v>#DIV/0!</v>
      </c>
      <c r="AC43" s="41">
        <v>0</v>
      </c>
      <c r="AD43" s="41">
        <v>0</v>
      </c>
      <c r="AE43" s="41" t="e">
        <v>#DIV/0!</v>
      </c>
      <c r="AF43" s="41">
        <v>0</v>
      </c>
      <c r="AG43" s="41" t="e">
        <v>#DIV/0!</v>
      </c>
      <c r="AH43" s="41">
        <v>0</v>
      </c>
      <c r="AI43" s="41">
        <v>0</v>
      </c>
      <c r="AJ43" s="41">
        <v>0</v>
      </c>
      <c r="AK43" s="41">
        <v>0</v>
      </c>
      <c r="AL43" s="41">
        <v>0</v>
      </c>
      <c r="AM43" s="41" t="e">
        <v>#DIV/0!</v>
      </c>
      <c r="AN43" s="41" t="e">
        <v>#DIV/0!</v>
      </c>
      <c r="AO43" s="41" t="e">
        <v>#DIV/0!</v>
      </c>
      <c r="AP43" s="40"/>
      <c r="AQ43" s="36">
        <v>45153</v>
      </c>
      <c r="AR43" s="36"/>
      <c r="AS43" s="36"/>
      <c r="AT43" s="36"/>
      <c r="AU43" s="36"/>
      <c r="AV43" s="38"/>
      <c r="AW43" s="40"/>
    </row>
    <row r="44" spans="1:49" ht="48" customHeight="1" x14ac:dyDescent="0.3">
      <c r="A44" s="35" t="s">
        <v>3738</v>
      </c>
      <c r="B44" s="38">
        <v>45107</v>
      </c>
      <c r="C44" s="40" t="s">
        <v>2077</v>
      </c>
      <c r="D44" s="39" t="s">
        <v>3739</v>
      </c>
      <c r="E44" s="1" t="s">
        <v>3740</v>
      </c>
      <c r="F44" s="36">
        <v>45131</v>
      </c>
      <c r="G44" s="37" t="s">
        <v>3741</v>
      </c>
      <c r="H44" s="40" t="s">
        <v>186</v>
      </c>
      <c r="I44" s="40" t="s">
        <v>2483</v>
      </c>
      <c r="J44" s="57">
        <v>39632846.82</v>
      </c>
      <c r="K44" s="41">
        <v>39632846.82</v>
      </c>
      <c r="L44" s="30">
        <v>39632846.82</v>
      </c>
      <c r="M44" s="30">
        <v>39632846.82</v>
      </c>
      <c r="N44" s="40" t="s">
        <v>2484</v>
      </c>
      <c r="O44" s="40" t="s">
        <v>2485</v>
      </c>
      <c r="P44" s="40" t="s">
        <v>47</v>
      </c>
      <c r="Q44" s="44">
        <v>100</v>
      </c>
      <c r="R44" s="37">
        <v>0</v>
      </c>
      <c r="S44" s="37" t="s">
        <v>1964</v>
      </c>
      <c r="T44" s="48">
        <v>188</v>
      </c>
      <c r="U44" s="30">
        <v>574.54999998187895</v>
      </c>
      <c r="V44" s="41">
        <v>108015.39999659325</v>
      </c>
      <c r="W44" s="41">
        <v>68980.675000000003</v>
      </c>
      <c r="X44" s="47">
        <v>68980.675000000003</v>
      </c>
      <c r="Y44" s="41">
        <v>0</v>
      </c>
      <c r="Z44" s="41">
        <v>0</v>
      </c>
      <c r="AA44" s="41">
        <v>0</v>
      </c>
      <c r="AB44" s="41">
        <v>0</v>
      </c>
      <c r="AC44" s="41">
        <v>0</v>
      </c>
      <c r="AD44" s="41">
        <v>0</v>
      </c>
      <c r="AE44" s="41">
        <v>0</v>
      </c>
      <c r="AF44" s="41">
        <v>0</v>
      </c>
      <c r="AG44" s="41">
        <v>0</v>
      </c>
      <c r="AH44" s="41">
        <v>0</v>
      </c>
      <c r="AI44" s="41">
        <v>0</v>
      </c>
      <c r="AJ44" s="41">
        <v>0</v>
      </c>
      <c r="AK44" s="41">
        <v>0</v>
      </c>
      <c r="AL44" s="41">
        <v>0</v>
      </c>
      <c r="AM44" s="41">
        <v>0</v>
      </c>
      <c r="AN44" s="41">
        <v>366.91848404255319</v>
      </c>
      <c r="AO44" s="41">
        <v>367</v>
      </c>
      <c r="AP44" s="40"/>
      <c r="AQ44" s="36">
        <v>45153</v>
      </c>
      <c r="AR44" s="36"/>
      <c r="AS44" s="36"/>
      <c r="AT44" s="36">
        <v>45168</v>
      </c>
      <c r="AU44" s="36"/>
      <c r="AV44" s="38"/>
      <c r="AW44" s="40" t="s">
        <v>49</v>
      </c>
    </row>
    <row r="45" spans="1:49" ht="48" customHeight="1" x14ac:dyDescent="0.3">
      <c r="A45" s="35" t="s">
        <v>3759</v>
      </c>
      <c r="B45" s="38">
        <v>45107</v>
      </c>
      <c r="C45" s="40" t="s">
        <v>2077</v>
      </c>
      <c r="D45" s="39"/>
      <c r="E45" s="1" t="s">
        <v>3760</v>
      </c>
      <c r="F45" s="36">
        <v>45131</v>
      </c>
      <c r="G45" s="37" t="s">
        <v>3761</v>
      </c>
      <c r="H45" s="40" t="s">
        <v>971</v>
      </c>
      <c r="I45" s="40" t="s">
        <v>2349</v>
      </c>
      <c r="J45" s="57">
        <v>7194</v>
      </c>
      <c r="K45" s="41">
        <v>7194</v>
      </c>
      <c r="L45" s="30">
        <v>7194</v>
      </c>
      <c r="M45" s="30">
        <v>7194</v>
      </c>
      <c r="N45" s="40" t="s">
        <v>2518</v>
      </c>
      <c r="O45" s="40" t="s">
        <v>3762</v>
      </c>
      <c r="P45" s="40" t="s">
        <v>47</v>
      </c>
      <c r="Q45" s="44">
        <v>100</v>
      </c>
      <c r="R45" s="37">
        <v>0</v>
      </c>
      <c r="S45" s="37" t="s">
        <v>1964</v>
      </c>
      <c r="T45" s="48">
        <v>10</v>
      </c>
      <c r="U45" s="30">
        <v>4.3600000000000003</v>
      </c>
      <c r="V45" s="41">
        <v>43.6</v>
      </c>
      <c r="W45" s="41">
        <v>1650</v>
      </c>
      <c r="X45" s="41">
        <v>1650</v>
      </c>
      <c r="Y45" s="41">
        <v>0</v>
      </c>
      <c r="Z45" s="41">
        <v>0</v>
      </c>
      <c r="AA45" s="41">
        <v>0</v>
      </c>
      <c r="AB45" s="41">
        <v>0</v>
      </c>
      <c r="AC45" s="41">
        <v>0</v>
      </c>
      <c r="AD45" s="41">
        <v>0</v>
      </c>
      <c r="AE45" s="41">
        <v>0</v>
      </c>
      <c r="AF45" s="41">
        <v>0</v>
      </c>
      <c r="AG45" s="41">
        <v>0</v>
      </c>
      <c r="AH45" s="41">
        <v>0</v>
      </c>
      <c r="AI45" s="41">
        <v>0</v>
      </c>
      <c r="AJ45" s="41">
        <v>0</v>
      </c>
      <c r="AK45" s="41">
        <v>0</v>
      </c>
      <c r="AL45" s="41">
        <v>0</v>
      </c>
      <c r="AM45" s="41">
        <v>0</v>
      </c>
      <c r="AN45" s="41">
        <v>165</v>
      </c>
      <c r="AO45" s="41">
        <v>165</v>
      </c>
      <c r="AP45" s="40"/>
      <c r="AQ45" s="36">
        <v>45153</v>
      </c>
      <c r="AR45" s="36"/>
      <c r="AS45" s="36"/>
      <c r="AT45" s="36">
        <v>45168</v>
      </c>
      <c r="AU45" s="36"/>
      <c r="AV45" s="38"/>
      <c r="AW45" s="40" t="s">
        <v>49</v>
      </c>
    </row>
    <row r="46" spans="1:49" ht="48" customHeight="1" x14ac:dyDescent="0.3">
      <c r="A46" s="35" t="s">
        <v>3766</v>
      </c>
      <c r="B46" s="38">
        <v>45107</v>
      </c>
      <c r="C46" s="40" t="s">
        <v>2077</v>
      </c>
      <c r="D46" s="39"/>
      <c r="E46" s="1" t="s">
        <v>3767</v>
      </c>
      <c r="F46" s="36">
        <v>45133</v>
      </c>
      <c r="G46" s="37" t="s">
        <v>3768</v>
      </c>
      <c r="H46" s="40" t="s">
        <v>2089</v>
      </c>
      <c r="I46" s="40" t="s">
        <v>3769</v>
      </c>
      <c r="J46" s="57">
        <v>262200</v>
      </c>
      <c r="K46" s="41">
        <v>262200</v>
      </c>
      <c r="L46" s="30">
        <v>262200</v>
      </c>
      <c r="M46" s="30">
        <v>262200</v>
      </c>
      <c r="N46" s="40" t="s">
        <v>3770</v>
      </c>
      <c r="O46" s="40" t="s">
        <v>3771</v>
      </c>
      <c r="P46" s="40" t="s">
        <v>47</v>
      </c>
      <c r="Q46" s="44">
        <v>100</v>
      </c>
      <c r="R46" s="37">
        <v>0</v>
      </c>
      <c r="S46" s="37" t="s">
        <v>1489</v>
      </c>
      <c r="T46" s="41">
        <v>0.75</v>
      </c>
      <c r="U46" s="30">
        <v>190</v>
      </c>
      <c r="V46" s="41">
        <v>142.5</v>
      </c>
      <c r="W46" s="41">
        <v>1380</v>
      </c>
      <c r="X46" s="41">
        <v>1380</v>
      </c>
      <c r="Y46" s="41">
        <v>0</v>
      </c>
      <c r="Z46" s="41">
        <v>0</v>
      </c>
      <c r="AA46" s="41">
        <v>0</v>
      </c>
      <c r="AB46" s="41">
        <v>0</v>
      </c>
      <c r="AC46" s="41">
        <v>0</v>
      </c>
      <c r="AD46" s="41">
        <v>0</v>
      </c>
      <c r="AE46" s="41">
        <v>0</v>
      </c>
      <c r="AF46" s="41">
        <v>0</v>
      </c>
      <c r="AG46" s="41">
        <v>0</v>
      </c>
      <c r="AH46" s="41">
        <v>0</v>
      </c>
      <c r="AI46" s="41">
        <v>0</v>
      </c>
      <c r="AJ46" s="41">
        <v>0</v>
      </c>
      <c r="AK46" s="41">
        <v>0</v>
      </c>
      <c r="AL46" s="41">
        <v>0</v>
      </c>
      <c r="AM46" s="41">
        <v>0</v>
      </c>
      <c r="AN46" s="41">
        <v>1840</v>
      </c>
      <c r="AO46" s="41">
        <v>1840</v>
      </c>
      <c r="AP46" s="40"/>
      <c r="AQ46" s="36">
        <v>45153</v>
      </c>
      <c r="AR46" s="36"/>
      <c r="AS46" s="36"/>
      <c r="AT46" s="36">
        <v>45168</v>
      </c>
      <c r="AU46" s="36"/>
      <c r="AV46" s="38"/>
      <c r="AW46" s="40" t="s">
        <v>49</v>
      </c>
    </row>
    <row r="47" spans="1:49" ht="48" customHeight="1" x14ac:dyDescent="0.3">
      <c r="A47" s="35" t="s">
        <v>3805</v>
      </c>
      <c r="B47" s="38">
        <v>45107</v>
      </c>
      <c r="C47" s="40" t="s">
        <v>2077</v>
      </c>
      <c r="D47" s="39"/>
      <c r="E47" s="1" t="s">
        <v>3806</v>
      </c>
      <c r="F47" s="36">
        <v>45131</v>
      </c>
      <c r="G47" s="37" t="s">
        <v>3807</v>
      </c>
      <c r="H47" s="40" t="s">
        <v>3648</v>
      </c>
      <c r="I47" s="40" t="s">
        <v>3808</v>
      </c>
      <c r="J47" s="57">
        <v>1453391.96</v>
      </c>
      <c r="K47" s="41">
        <v>1453391.96</v>
      </c>
      <c r="L47" s="30">
        <v>1453342.77</v>
      </c>
      <c r="M47" s="30">
        <v>1453342.77</v>
      </c>
      <c r="N47" s="40" t="s">
        <v>3809</v>
      </c>
      <c r="O47" s="40" t="s">
        <v>3810</v>
      </c>
      <c r="P47" s="40" t="s">
        <v>47</v>
      </c>
      <c r="Q47" s="44">
        <v>100</v>
      </c>
      <c r="R47" s="37">
        <v>0</v>
      </c>
      <c r="S47" s="37" t="s">
        <v>1489</v>
      </c>
      <c r="T47" s="48">
        <v>50</v>
      </c>
      <c r="U47" s="30">
        <v>53.730000000000004</v>
      </c>
      <c r="V47" s="41">
        <v>2686.5</v>
      </c>
      <c r="W47" s="41">
        <v>27049</v>
      </c>
      <c r="X47" s="47">
        <v>27049</v>
      </c>
      <c r="Y47" s="41">
        <v>0</v>
      </c>
      <c r="Z47" s="41">
        <v>0</v>
      </c>
      <c r="AA47" s="41">
        <v>0</v>
      </c>
      <c r="AB47" s="41">
        <v>0</v>
      </c>
      <c r="AC47" s="41">
        <v>0</v>
      </c>
      <c r="AD47" s="41">
        <v>0</v>
      </c>
      <c r="AE47" s="41">
        <v>0</v>
      </c>
      <c r="AF47" s="41">
        <v>0</v>
      </c>
      <c r="AG47" s="41">
        <v>0</v>
      </c>
      <c r="AH47" s="41">
        <v>0</v>
      </c>
      <c r="AI47" s="41">
        <v>0</v>
      </c>
      <c r="AJ47" s="41">
        <v>0</v>
      </c>
      <c r="AK47" s="41">
        <v>0</v>
      </c>
      <c r="AL47" s="41">
        <v>0</v>
      </c>
      <c r="AM47" s="41">
        <v>0</v>
      </c>
      <c r="AN47" s="41">
        <v>540.98</v>
      </c>
      <c r="AO47" s="41">
        <v>541</v>
      </c>
      <c r="AP47" s="40"/>
      <c r="AQ47" s="36">
        <v>45153</v>
      </c>
      <c r="AR47" s="36"/>
      <c r="AS47" s="36"/>
      <c r="AT47" s="36">
        <v>45168</v>
      </c>
      <c r="AU47" s="36"/>
      <c r="AV47" s="38"/>
      <c r="AW47" s="40" t="s">
        <v>49</v>
      </c>
    </row>
    <row r="48" spans="1:49" ht="48" customHeight="1" x14ac:dyDescent="0.3">
      <c r="A48" s="35" t="s">
        <v>3811</v>
      </c>
      <c r="B48" s="38">
        <v>45107</v>
      </c>
      <c r="C48" s="40" t="s">
        <v>2077</v>
      </c>
      <c r="D48" s="39"/>
      <c r="E48" s="1" t="s">
        <v>3812</v>
      </c>
      <c r="F48" s="36">
        <v>45131</v>
      </c>
      <c r="G48" s="37" t="s">
        <v>3813</v>
      </c>
      <c r="H48" s="40" t="s">
        <v>3648</v>
      </c>
      <c r="I48" s="40" t="s">
        <v>3814</v>
      </c>
      <c r="J48" s="57">
        <v>7583.1</v>
      </c>
      <c r="K48" s="41">
        <v>7583.1</v>
      </c>
      <c r="L48" s="30">
        <v>7583.1</v>
      </c>
      <c r="M48" s="30">
        <v>7583.1</v>
      </c>
      <c r="N48" s="40" t="s">
        <v>3809</v>
      </c>
      <c r="O48" s="40" t="s">
        <v>3815</v>
      </c>
      <c r="P48" s="40" t="s">
        <v>47</v>
      </c>
      <c r="Q48" s="44">
        <v>100</v>
      </c>
      <c r="R48" s="37">
        <v>0</v>
      </c>
      <c r="S48" s="37" t="s">
        <v>1489</v>
      </c>
      <c r="T48" s="48">
        <v>25</v>
      </c>
      <c r="U48" s="30">
        <v>54.95</v>
      </c>
      <c r="V48" s="41">
        <v>1373.75</v>
      </c>
      <c r="W48" s="41">
        <v>138</v>
      </c>
      <c r="X48" s="41">
        <v>138</v>
      </c>
      <c r="Y48" s="41">
        <v>0</v>
      </c>
      <c r="Z48" s="41">
        <v>0</v>
      </c>
      <c r="AA48" s="41">
        <v>0</v>
      </c>
      <c r="AB48" s="41">
        <v>0</v>
      </c>
      <c r="AC48" s="41">
        <v>0</v>
      </c>
      <c r="AD48" s="41">
        <v>0</v>
      </c>
      <c r="AE48" s="41">
        <v>0</v>
      </c>
      <c r="AF48" s="41">
        <v>0</v>
      </c>
      <c r="AG48" s="41">
        <v>0</v>
      </c>
      <c r="AH48" s="41">
        <v>0</v>
      </c>
      <c r="AI48" s="41">
        <v>0</v>
      </c>
      <c r="AJ48" s="41">
        <v>0</v>
      </c>
      <c r="AK48" s="41">
        <v>0</v>
      </c>
      <c r="AL48" s="41">
        <v>0</v>
      </c>
      <c r="AM48" s="41">
        <v>0</v>
      </c>
      <c r="AN48" s="41">
        <v>5.52</v>
      </c>
      <c r="AO48" s="41">
        <v>6</v>
      </c>
      <c r="AP48" s="40"/>
      <c r="AQ48" s="36">
        <v>45153</v>
      </c>
      <c r="AR48" s="36"/>
      <c r="AS48" s="36"/>
      <c r="AT48" s="36">
        <v>45168</v>
      </c>
      <c r="AU48" s="36"/>
      <c r="AV48" s="38"/>
      <c r="AW48" s="40" t="s">
        <v>49</v>
      </c>
    </row>
    <row r="49" spans="1:49" s="34" customFormat="1" ht="63.75" customHeight="1" x14ac:dyDescent="0.3">
      <c r="A49" s="35" t="s">
        <v>3860</v>
      </c>
      <c r="B49" s="38">
        <v>45125</v>
      </c>
      <c r="C49" s="40" t="s">
        <v>2077</v>
      </c>
      <c r="D49" s="39"/>
      <c r="E49" s="1" t="s">
        <v>3861</v>
      </c>
      <c r="F49" s="36">
        <v>45145</v>
      </c>
      <c r="G49" s="37" t="s">
        <v>3862</v>
      </c>
      <c r="H49" s="40" t="s">
        <v>3648</v>
      </c>
      <c r="I49" s="40" t="s">
        <v>2527</v>
      </c>
      <c r="J49" s="57">
        <v>12866.04</v>
      </c>
      <c r="K49" s="41">
        <v>12866.04</v>
      </c>
      <c r="L49" s="30">
        <v>12866.04</v>
      </c>
      <c r="M49" s="30">
        <v>12866.04</v>
      </c>
      <c r="N49" s="40" t="s">
        <v>3863</v>
      </c>
      <c r="O49" s="40" t="s">
        <v>3864</v>
      </c>
      <c r="P49" s="40" t="s">
        <v>47</v>
      </c>
      <c r="Q49" s="44">
        <v>100</v>
      </c>
      <c r="R49" s="37">
        <v>0</v>
      </c>
      <c r="S49" s="37" t="s">
        <v>219</v>
      </c>
      <c r="T49" s="48">
        <v>100</v>
      </c>
      <c r="U49" s="30">
        <v>0.9900000000000001</v>
      </c>
      <c r="V49" s="41">
        <v>99.000000000000014</v>
      </c>
      <c r="W49" s="41">
        <v>12996</v>
      </c>
      <c r="X49" s="41">
        <v>12996</v>
      </c>
      <c r="Y49" s="41">
        <v>0</v>
      </c>
      <c r="Z49" s="41">
        <v>0</v>
      </c>
      <c r="AA49" s="41">
        <v>0</v>
      </c>
      <c r="AB49" s="41">
        <v>0</v>
      </c>
      <c r="AC49" s="41">
        <v>0</v>
      </c>
      <c r="AD49" s="41">
        <v>0</v>
      </c>
      <c r="AE49" s="41">
        <v>0</v>
      </c>
      <c r="AF49" s="41">
        <v>0</v>
      </c>
      <c r="AG49" s="41">
        <v>0</v>
      </c>
      <c r="AH49" s="41">
        <v>0</v>
      </c>
      <c r="AI49" s="41">
        <v>0</v>
      </c>
      <c r="AJ49" s="41">
        <v>0</v>
      </c>
      <c r="AK49" s="41">
        <v>0</v>
      </c>
      <c r="AL49" s="41">
        <v>0</v>
      </c>
      <c r="AM49" s="41">
        <v>0</v>
      </c>
      <c r="AN49" s="41">
        <v>129.96</v>
      </c>
      <c r="AO49" s="41">
        <v>130</v>
      </c>
      <c r="AP49" s="40"/>
      <c r="AQ49" s="36">
        <v>45170</v>
      </c>
      <c r="AR49" s="36"/>
      <c r="AS49" s="36"/>
      <c r="AT49" s="36">
        <v>45184</v>
      </c>
      <c r="AU49" s="36"/>
      <c r="AV49" s="38"/>
      <c r="AW49" s="40" t="s">
        <v>49</v>
      </c>
    </row>
    <row r="50" spans="1:49" s="34" customFormat="1" x14ac:dyDescent="0.3">
      <c r="A50" s="19"/>
      <c r="B50" s="71"/>
      <c r="C50" s="19"/>
      <c r="D50" s="88"/>
      <c r="E50" s="65"/>
      <c r="F50" s="71"/>
      <c r="G50" s="19"/>
      <c r="H50" s="65"/>
      <c r="I50" s="65"/>
      <c r="J50" s="57" t="e">
        <f>SUBTOTAL(9,#REF!)</f>
        <v>#REF!</v>
      </c>
      <c r="K50" s="62" t="e">
        <f>SUBTOTAL(9,#REF!)</f>
        <v>#REF!</v>
      </c>
      <c r="L50" s="62" t="e">
        <f>SUBTOTAL(9,#REF!)</f>
        <v>#REF!</v>
      </c>
      <c r="M50" s="62" t="e">
        <f>SUBTOTAL(9,#REF!)</f>
        <v>#REF!</v>
      </c>
      <c r="N50" s="65"/>
      <c r="O50" s="65"/>
      <c r="P50" s="65"/>
      <c r="Q50" s="19"/>
      <c r="R50" s="19"/>
      <c r="S50" s="19"/>
      <c r="T50" s="66"/>
      <c r="U50" s="19"/>
      <c r="V50" s="71"/>
      <c r="W50" s="19"/>
      <c r="X50" s="19"/>
      <c r="Y50" s="19"/>
      <c r="Z50" s="19"/>
      <c r="AA50" s="19"/>
      <c r="AB50" s="19"/>
      <c r="AC50" s="19"/>
      <c r="AD50" s="19"/>
      <c r="AE50" s="19"/>
      <c r="AF50" s="19"/>
      <c r="AG50" s="19"/>
      <c r="AH50" s="62"/>
      <c r="AI50" s="62"/>
      <c r="AJ50" s="62"/>
      <c r="AK50" s="62"/>
      <c r="AL50" s="62"/>
      <c r="AM50" s="62"/>
      <c r="AN50" s="62"/>
      <c r="AO50" s="62"/>
      <c r="AP50" s="65"/>
      <c r="AQ50" s="71"/>
      <c r="AR50" s="71"/>
      <c r="AS50" s="71"/>
      <c r="AT50" s="71"/>
      <c r="AU50" s="71"/>
      <c r="AV50" s="89"/>
      <c r="AW50" s="65"/>
    </row>
    <row r="51" spans="1:49" s="34" customFormat="1" x14ac:dyDescent="0.3">
      <c r="A51" s="19"/>
      <c r="B51" s="71"/>
      <c r="C51" s="19"/>
      <c r="D51" s="88"/>
      <c r="E51" s="65"/>
      <c r="F51" s="71"/>
      <c r="G51" s="19"/>
      <c r="H51" s="65"/>
      <c r="I51" s="65"/>
      <c r="J51" s="57" t="e">
        <f>J50+'[1]2022 (мед изд)'!$X$51</f>
        <v>#REF!</v>
      </c>
      <c r="K51" s="62"/>
      <c r="L51" s="62"/>
      <c r="M51" s="19"/>
      <c r="N51" s="65"/>
      <c r="O51" s="65"/>
      <c r="P51" s="65"/>
      <c r="Q51" s="19"/>
      <c r="R51" s="19"/>
      <c r="S51" s="19"/>
      <c r="T51" s="66"/>
      <c r="U51" s="19"/>
      <c r="V51" s="71"/>
      <c r="W51" s="19"/>
      <c r="X51" s="19"/>
      <c r="Y51" s="19"/>
      <c r="Z51" s="19"/>
      <c r="AA51" s="19"/>
      <c r="AB51" s="19"/>
      <c r="AC51" s="19"/>
      <c r="AD51" s="19"/>
      <c r="AE51" s="19"/>
      <c r="AF51" s="19"/>
      <c r="AG51" s="19"/>
      <c r="AH51" s="62"/>
      <c r="AI51" s="62"/>
      <c r="AJ51" s="62"/>
      <c r="AK51" s="62"/>
      <c r="AL51" s="62"/>
      <c r="AM51" s="62"/>
      <c r="AN51" s="62"/>
      <c r="AO51" s="62"/>
      <c r="AP51" s="65"/>
      <c r="AQ51" s="71"/>
      <c r="AR51" s="71"/>
      <c r="AS51" s="71"/>
      <c r="AT51" s="71"/>
      <c r="AU51" s="71"/>
      <c r="AV51" s="89"/>
      <c r="AW51" s="65"/>
    </row>
  </sheetData>
  <autoFilter ref="A2:BD49"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398703D3-E45B-44C9-BE87-1D3BC8AC1071}"/>
    <hyperlink ref="E4" r:id="rId2" xr:uid="{0E077B76-066E-4427-9A3C-1BB9B7FC1A3D}"/>
    <hyperlink ref="E5" r:id="rId3" xr:uid="{D93454B9-C949-46A7-AE4D-F6094EB743A5}"/>
    <hyperlink ref="E6" r:id="rId4" xr:uid="{1903684F-CD28-4A21-974A-69F8A2638734}"/>
    <hyperlink ref="E7" r:id="rId5" xr:uid="{CF37C9F6-0624-4E82-8E0A-408400F2F9CA}"/>
    <hyperlink ref="E8" r:id="rId6" xr:uid="{F9E4CAD6-18CB-4617-840E-94EDC1318625}"/>
    <hyperlink ref="E9" r:id="rId7" xr:uid="{5BB19ECB-AB17-40AC-9130-DEE27A8E25A6}"/>
    <hyperlink ref="E10" r:id="rId8" xr:uid="{A7F16CF7-6EFF-4125-AE9A-0AEA4C6C4916}"/>
    <hyperlink ref="E11" r:id="rId9" xr:uid="{C990B85A-BCDB-49DB-9BD7-932D3803A7FF}"/>
    <hyperlink ref="E12" r:id="rId10" xr:uid="{8604633E-14EE-4D8B-A4D8-C5AAB327553A}"/>
    <hyperlink ref="E13" r:id="rId11" xr:uid="{DC1DE94A-2B8F-49C4-B952-550742B27AE9}"/>
    <hyperlink ref="E14" r:id="rId12" xr:uid="{C6193D27-E812-4C47-A87C-158BAB4B8361}"/>
    <hyperlink ref="E15" r:id="rId13" xr:uid="{C6B6978E-6494-44F9-BC09-47E284700BB4}"/>
    <hyperlink ref="E16" r:id="rId14" xr:uid="{F290FE5D-C939-4C4E-95D4-48686B49FB89}"/>
    <hyperlink ref="E17" r:id="rId15" xr:uid="{B774EFBE-10CF-4D7E-82CF-3ED8E7707036}"/>
    <hyperlink ref="E18" r:id="rId16" xr:uid="{BBE4ED40-118E-4E89-8AD3-97134EDB4DAF}"/>
    <hyperlink ref="E19" r:id="rId17" xr:uid="{C77ABF1B-BF00-4719-BCD3-C494002AEE2C}"/>
    <hyperlink ref="E20" r:id="rId18" xr:uid="{185A1853-2867-4264-AAE4-C27E15F65741}"/>
    <hyperlink ref="E21" r:id="rId19" xr:uid="{D7799A75-E094-4ACB-A8EA-F6C20AC0E16A}"/>
    <hyperlink ref="E22" r:id="rId20" xr:uid="{54E1B632-7DEB-4A86-8F8D-8BB084D4A28F}"/>
    <hyperlink ref="E23" r:id="rId21" xr:uid="{31866877-E725-473D-BF9A-E4A8645E5C9F}"/>
    <hyperlink ref="E24" r:id="rId22" xr:uid="{F07E392E-EC24-491F-849A-7D57ABD44A74}"/>
    <hyperlink ref="E25" r:id="rId23" xr:uid="{1116B993-D131-45D5-89FA-A9FAC533B3CE}"/>
    <hyperlink ref="E26" r:id="rId24" xr:uid="{15F20C03-A290-4C5E-A12F-2B92612616AB}"/>
    <hyperlink ref="E27" r:id="rId25" xr:uid="{A844CE6F-6856-4381-9471-F96C9A7D8E21}"/>
    <hyperlink ref="E28" r:id="rId26" xr:uid="{5B393499-5515-4282-BF25-B034FF2EF0B2}"/>
    <hyperlink ref="E29" r:id="rId27" xr:uid="{140B19F3-EB8C-4337-9B3D-2DD2FBC9706C}"/>
    <hyperlink ref="E30" r:id="rId28" xr:uid="{8AD983F8-AF50-4DD1-8C6A-28680A8904F0}"/>
    <hyperlink ref="E31" r:id="rId29" xr:uid="{B09CEA45-7CD9-4BBB-971D-4DFB95375C3F}"/>
    <hyperlink ref="E32" r:id="rId30" xr:uid="{769D93FF-F21C-4023-8AC7-D4938D262F40}"/>
    <hyperlink ref="E33" r:id="rId31" xr:uid="{86A15CC7-7567-4A29-BC30-4F898B600753}"/>
    <hyperlink ref="E34" r:id="rId32" xr:uid="{F3527453-2DDC-400A-ADD7-7A151586337E}"/>
    <hyperlink ref="E35" r:id="rId33" xr:uid="{72E0D18B-A6EE-4BA9-BBBE-F9F91972E492}"/>
    <hyperlink ref="E36" r:id="rId34" xr:uid="{6ED717B3-42DA-4AF9-BDDC-1158BB06CF84}"/>
    <hyperlink ref="E37" r:id="rId35" xr:uid="{1442CAD8-1D23-4115-9973-FC20F7524A6D}"/>
    <hyperlink ref="E38" r:id="rId36" xr:uid="{CB0E06EC-CCFA-4B41-BD43-CF346DBA7B18}"/>
    <hyperlink ref="E39" r:id="rId37" xr:uid="{0E75C55E-4AB5-4C86-8EED-E2AB87746059}"/>
    <hyperlink ref="E40" r:id="rId38" xr:uid="{EB5E7E10-3884-4CC2-8BD9-49AC251F4062}"/>
    <hyperlink ref="E41" r:id="rId39" xr:uid="{849A0D45-CF5D-454D-AECE-179D1E7A9191}"/>
    <hyperlink ref="E42" r:id="rId40" xr:uid="{1E571C85-F275-4507-86FA-289EA5DFE8E6}"/>
    <hyperlink ref="E43" r:id="rId41" xr:uid="{BC626F2C-CCB0-45A5-B026-598CA735BFC8}"/>
    <hyperlink ref="E44" r:id="rId42" xr:uid="{3F43A5C0-8AA2-435E-A7ED-2A26D2C4D88D}"/>
    <hyperlink ref="E45" r:id="rId43" xr:uid="{636C236D-038C-4018-A6DF-F5CEB5083277}"/>
    <hyperlink ref="E46" r:id="rId44" xr:uid="{C1C1FA69-5318-4893-A370-686989CBD550}"/>
    <hyperlink ref="E47" r:id="rId45" xr:uid="{42C7A265-9231-431C-9122-F1946BD06ACC}"/>
    <hyperlink ref="E48" r:id="rId46" xr:uid="{E8C16008-0D36-4FE2-B7DC-FE7A670FDF02}"/>
    <hyperlink ref="E49" r:id="rId47" xr:uid="{59AD46AB-3BF5-45C1-A14F-A8DEAAD98AD2}"/>
  </hyperlinks>
  <pageMargins left="0.7" right="0.7" top="0.75" bottom="0.75" header="0.3" footer="0.3"/>
  <pageSetup paperSize="9" orientation="portrait"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C3A58-4D36-4D8A-A2A4-DBCE4FCADD3C}">
  <dimension ref="A1:AW51"/>
  <sheetViews>
    <sheetView zoomScale="70" zoomScaleNormal="70" workbookViewId="0">
      <pane xSplit="1" ySplit="2" topLeftCell="B3" activePane="bottomRight" state="frozen"/>
      <selection pane="topRight" activeCell="D1" sqref="D1"/>
      <selection pane="bottomLeft" activeCell="A3" sqref="A3"/>
      <selection pane="bottomRight" activeCell="A8" sqref="A8"/>
    </sheetView>
  </sheetViews>
  <sheetFormatPr defaultColWidth="9.109375" defaultRowHeight="15.6" x14ac:dyDescent="0.3"/>
  <cols>
    <col min="1" max="1" width="24.6640625" style="19" customWidth="1"/>
    <col min="2" max="2" width="14.44140625" style="71" customWidth="1"/>
    <col min="3" max="3" width="17.109375" style="19" customWidth="1"/>
    <col min="4" max="4" width="24.44140625" style="88" customWidth="1"/>
    <col min="5" max="5" width="22.5546875" style="65" customWidth="1"/>
    <col min="6" max="6" width="13" style="71" customWidth="1"/>
    <col min="7" max="7" width="30.88671875" style="19" customWidth="1"/>
    <col min="8" max="8" width="20.33203125" style="65" customWidth="1"/>
    <col min="9" max="9" width="30.88671875" style="65" customWidth="1"/>
    <col min="10" max="10" width="20.6640625" style="19" customWidth="1"/>
    <col min="11" max="11" width="21.44140625" style="19" customWidth="1"/>
    <col min="12" max="12" width="22" style="62" customWidth="1"/>
    <col min="13" max="13" width="23.33203125" style="19" customWidth="1"/>
    <col min="14" max="14" width="24.44140625" style="65" customWidth="1"/>
    <col min="15" max="15" width="35" style="65" customWidth="1"/>
    <col min="16" max="16" width="14.109375" style="65" customWidth="1"/>
    <col min="17" max="17" width="16.6640625" style="19" customWidth="1"/>
    <col min="18" max="18" width="15.6640625" style="19" customWidth="1"/>
    <col min="19" max="19" width="12.6640625" style="19" customWidth="1"/>
    <col min="20" max="20" width="15.33203125" style="66" customWidth="1"/>
    <col min="21" max="21" width="14.44140625" style="19" customWidth="1"/>
    <col min="22" max="22" width="15.33203125" style="71" customWidth="1"/>
    <col min="23" max="23" width="22.6640625" style="19" customWidth="1"/>
    <col min="24" max="24" width="15.33203125" style="19" customWidth="1"/>
    <col min="25" max="25" width="16.5546875" style="19" customWidth="1"/>
    <col min="26" max="26" width="23.6640625" style="19" customWidth="1"/>
    <col min="27" max="27" width="17.5546875" style="19" customWidth="1"/>
    <col min="28" max="28" width="24.6640625" style="19" customWidth="1"/>
    <col min="29" max="29" width="15.33203125" style="19" customWidth="1"/>
    <col min="30" max="30" width="14" style="19" customWidth="1"/>
    <col min="31" max="31" width="23.6640625" style="19" customWidth="1"/>
    <col min="32" max="32" width="17.5546875" style="19" customWidth="1"/>
    <col min="33" max="33" width="27.88671875" style="19" customWidth="1"/>
    <col min="34" max="34" width="15.33203125" style="62" customWidth="1"/>
    <col min="35" max="35" width="14" style="62" customWidth="1"/>
    <col min="36" max="36" width="23.6640625" style="62" customWidth="1"/>
    <col min="37" max="37" width="17.5546875" style="62" customWidth="1"/>
    <col min="38" max="38" width="24.6640625" style="62" customWidth="1"/>
    <col min="39" max="39" width="28.33203125" style="62" customWidth="1"/>
    <col min="40" max="40" width="24.5546875" style="62" customWidth="1"/>
    <col min="41" max="41" width="21" style="62" customWidth="1"/>
    <col min="42" max="42" width="30.88671875" style="65" customWidth="1"/>
    <col min="43" max="43" width="16.109375" style="71" customWidth="1"/>
    <col min="44" max="44" width="15.109375" style="71" customWidth="1"/>
    <col min="45" max="45" width="13.33203125" style="71" customWidth="1"/>
    <col min="46" max="46" width="13" style="71" customWidth="1"/>
    <col min="47" max="47" width="14.6640625" style="71" customWidth="1"/>
    <col min="48" max="48" width="12.88671875" style="89" customWidth="1"/>
    <col min="49" max="49" width="16.6640625" style="65" customWidth="1"/>
    <col min="50" max="16384" width="9.109375" style="19"/>
  </cols>
  <sheetData>
    <row r="1" spans="1:49"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row>
    <row r="2" spans="1:49" ht="40.950000000000003" customHeight="1" x14ac:dyDescent="0.3">
      <c r="A2" s="20"/>
      <c r="B2" s="21"/>
      <c r="C2" s="24"/>
      <c r="D2" s="25"/>
      <c r="E2" s="23"/>
      <c r="F2" s="22"/>
      <c r="G2" s="23"/>
      <c r="H2" s="23"/>
      <c r="I2" s="26"/>
      <c r="J2" s="27"/>
      <c r="K2" s="26"/>
      <c r="L2" s="26"/>
      <c r="M2" s="26"/>
      <c r="N2" s="28"/>
      <c r="O2" s="28"/>
      <c r="P2" s="28"/>
      <c r="Q2" s="26"/>
      <c r="R2" s="26"/>
      <c r="S2" s="27"/>
      <c r="T2" s="29"/>
      <c r="U2" s="27"/>
      <c r="V2" s="21"/>
      <c r="W2" s="30" t="s">
        <v>27</v>
      </c>
      <c r="X2" s="30" t="s">
        <v>28</v>
      </c>
      <c r="Y2" s="30" t="s">
        <v>29</v>
      </c>
      <c r="Z2" s="30" t="s">
        <v>30</v>
      </c>
      <c r="AA2" s="30" t="s">
        <v>31</v>
      </c>
      <c r="AB2" s="30" t="s">
        <v>32</v>
      </c>
      <c r="AC2" s="30" t="s">
        <v>33</v>
      </c>
      <c r="AD2" s="30" t="s">
        <v>29</v>
      </c>
      <c r="AE2" s="30" t="s">
        <v>30</v>
      </c>
      <c r="AF2" s="30" t="s">
        <v>31</v>
      </c>
      <c r="AG2" s="30" t="s">
        <v>32</v>
      </c>
      <c r="AH2" s="30" t="s">
        <v>34</v>
      </c>
      <c r="AI2" s="30" t="s">
        <v>29</v>
      </c>
      <c r="AJ2" s="30" t="s">
        <v>30</v>
      </c>
      <c r="AK2" s="30" t="s">
        <v>31</v>
      </c>
      <c r="AL2" s="30" t="s">
        <v>32</v>
      </c>
      <c r="AM2" s="30" t="s">
        <v>35</v>
      </c>
      <c r="AN2" s="30" t="s">
        <v>36</v>
      </c>
      <c r="AO2" s="30" t="s">
        <v>37</v>
      </c>
      <c r="AP2" s="31"/>
      <c r="AQ2" s="32" t="s">
        <v>28</v>
      </c>
      <c r="AR2" s="32" t="s">
        <v>33</v>
      </c>
      <c r="AS2" s="32" t="s">
        <v>34</v>
      </c>
      <c r="AT2" s="32" t="s">
        <v>28</v>
      </c>
      <c r="AU2" s="32" t="s">
        <v>33</v>
      </c>
      <c r="AV2" s="32" t="s">
        <v>34</v>
      </c>
      <c r="AW2" s="28"/>
    </row>
    <row r="3" spans="1:49" ht="81.599999999999994" customHeight="1" x14ac:dyDescent="0.3">
      <c r="A3" s="35" t="s">
        <v>38</v>
      </c>
      <c r="B3" s="36" t="s">
        <v>39</v>
      </c>
      <c r="C3" s="37">
        <v>1688</v>
      </c>
      <c r="D3" s="39" t="s">
        <v>40</v>
      </c>
      <c r="E3" s="1" t="s">
        <v>41</v>
      </c>
      <c r="F3" s="36">
        <v>44757</v>
      </c>
      <c r="G3" s="37" t="s">
        <v>42</v>
      </c>
      <c r="H3" s="40" t="s">
        <v>43</v>
      </c>
      <c r="I3" s="40" t="s">
        <v>44</v>
      </c>
      <c r="J3" s="41">
        <v>2549772778.5599999</v>
      </c>
      <c r="K3" s="41">
        <v>1274886389.28</v>
      </c>
      <c r="L3" s="30">
        <v>1274886389.28</v>
      </c>
      <c r="M3" s="30">
        <v>2549772778.5599999</v>
      </c>
      <c r="N3" s="40" t="s">
        <v>45</v>
      </c>
      <c r="O3" s="40" t="s">
        <v>46</v>
      </c>
      <c r="P3" s="40" t="s">
        <v>47</v>
      </c>
      <c r="Q3" s="44">
        <v>100</v>
      </c>
      <c r="R3" s="37">
        <v>0</v>
      </c>
      <c r="S3" s="37" t="s">
        <v>48</v>
      </c>
      <c r="T3" s="45">
        <v>10</v>
      </c>
      <c r="U3" s="46">
        <v>162.12</v>
      </c>
      <c r="V3" s="47">
        <v>1621.2</v>
      </c>
      <c r="W3" s="41">
        <v>15727688</v>
      </c>
      <c r="X3" s="41">
        <v>7863844</v>
      </c>
      <c r="Y3" s="41"/>
      <c r="Z3" s="41"/>
      <c r="AA3" s="41"/>
      <c r="AB3" s="41"/>
      <c r="AC3" s="41">
        <v>7863844</v>
      </c>
      <c r="AD3" s="41"/>
      <c r="AE3" s="41"/>
      <c r="AF3" s="41"/>
      <c r="AG3" s="41"/>
      <c r="AH3" s="41"/>
      <c r="AI3" s="41"/>
      <c r="AJ3" s="41"/>
      <c r="AK3" s="41"/>
      <c r="AL3" s="41"/>
      <c r="AM3" s="41">
        <v>0</v>
      </c>
      <c r="AN3" s="41">
        <v>1572768.8</v>
      </c>
      <c r="AO3" s="41">
        <v>1572769</v>
      </c>
      <c r="AP3" s="40"/>
      <c r="AQ3" s="36">
        <v>44834</v>
      </c>
      <c r="AR3" s="36">
        <v>45199</v>
      </c>
      <c r="AS3" s="36"/>
      <c r="AT3" s="36">
        <v>44864</v>
      </c>
      <c r="AU3" s="36">
        <v>44865</v>
      </c>
      <c r="AV3" s="38"/>
      <c r="AW3" s="40" t="s">
        <v>49</v>
      </c>
    </row>
    <row r="4" spans="1:49" ht="81.599999999999994" customHeight="1" x14ac:dyDescent="0.3">
      <c r="A4" s="35" t="s">
        <v>38</v>
      </c>
      <c r="B4" s="36" t="s">
        <v>39</v>
      </c>
      <c r="C4" s="37">
        <v>1688</v>
      </c>
      <c r="D4" s="39" t="s">
        <v>50</v>
      </c>
      <c r="E4" s="1" t="s">
        <v>51</v>
      </c>
      <c r="F4" s="36">
        <v>44757</v>
      </c>
      <c r="G4" s="37" t="s">
        <v>52</v>
      </c>
      <c r="H4" s="40" t="s">
        <v>43</v>
      </c>
      <c r="I4" s="40" t="s">
        <v>53</v>
      </c>
      <c r="J4" s="41">
        <v>1747872720</v>
      </c>
      <c r="K4" s="41">
        <v>873936360</v>
      </c>
      <c r="L4" s="30">
        <v>873936360</v>
      </c>
      <c r="M4" s="30">
        <v>1747872720</v>
      </c>
      <c r="N4" s="40" t="s">
        <v>54</v>
      </c>
      <c r="O4" s="40" t="s">
        <v>55</v>
      </c>
      <c r="P4" s="40" t="s">
        <v>47</v>
      </c>
      <c r="Q4" s="44">
        <v>100</v>
      </c>
      <c r="R4" s="37">
        <v>0</v>
      </c>
      <c r="S4" s="37" t="s">
        <v>48</v>
      </c>
      <c r="T4" s="45">
        <v>10</v>
      </c>
      <c r="U4" s="46">
        <v>330</v>
      </c>
      <c r="V4" s="47">
        <v>3300</v>
      </c>
      <c r="W4" s="41">
        <v>5296584</v>
      </c>
      <c r="X4" s="41">
        <v>2648292</v>
      </c>
      <c r="Y4" s="41"/>
      <c r="Z4" s="41"/>
      <c r="AA4" s="41"/>
      <c r="AB4" s="41"/>
      <c r="AC4" s="41">
        <v>2648292</v>
      </c>
      <c r="AD4" s="41"/>
      <c r="AE4" s="41"/>
      <c r="AF4" s="41"/>
      <c r="AG4" s="41"/>
      <c r="AH4" s="41"/>
      <c r="AI4" s="41"/>
      <c r="AJ4" s="41"/>
      <c r="AK4" s="41"/>
      <c r="AL4" s="41"/>
      <c r="AM4" s="41">
        <v>0</v>
      </c>
      <c r="AN4" s="41">
        <v>529658.4</v>
      </c>
      <c r="AO4" s="41">
        <v>529659</v>
      </c>
      <c r="AP4" s="31"/>
      <c r="AQ4" s="36">
        <v>44805</v>
      </c>
      <c r="AR4" s="36">
        <v>45170</v>
      </c>
      <c r="AS4" s="36"/>
      <c r="AT4" s="36">
        <v>44834</v>
      </c>
      <c r="AU4" s="36">
        <v>45199</v>
      </c>
      <c r="AV4" s="38"/>
      <c r="AW4" s="40" t="s">
        <v>49</v>
      </c>
    </row>
    <row r="5" spans="1:49" ht="81.599999999999994" customHeight="1" x14ac:dyDescent="0.3">
      <c r="A5" s="35" t="s">
        <v>38</v>
      </c>
      <c r="B5" s="36" t="s">
        <v>39</v>
      </c>
      <c r="C5" s="37">
        <v>1688</v>
      </c>
      <c r="D5" s="39" t="s">
        <v>56</v>
      </c>
      <c r="E5" s="1" t="s">
        <v>57</v>
      </c>
      <c r="F5" s="36">
        <v>44757</v>
      </c>
      <c r="G5" s="37" t="s">
        <v>58</v>
      </c>
      <c r="H5" s="40" t="s">
        <v>43</v>
      </c>
      <c r="I5" s="40" t="s">
        <v>59</v>
      </c>
      <c r="J5" s="41">
        <v>6543886800</v>
      </c>
      <c r="K5" s="41">
        <v>3271943400</v>
      </c>
      <c r="L5" s="30">
        <v>3271943400</v>
      </c>
      <c r="M5" s="30">
        <v>6543886800</v>
      </c>
      <c r="N5" s="40" t="s">
        <v>54</v>
      </c>
      <c r="O5" s="40" t="s">
        <v>55</v>
      </c>
      <c r="P5" s="40" t="s">
        <v>47</v>
      </c>
      <c r="Q5" s="44">
        <v>100</v>
      </c>
      <c r="R5" s="37">
        <v>0</v>
      </c>
      <c r="S5" s="37" t="s">
        <v>48</v>
      </c>
      <c r="T5" s="45">
        <v>10</v>
      </c>
      <c r="U5" s="46">
        <v>330</v>
      </c>
      <c r="V5" s="47">
        <v>3300</v>
      </c>
      <c r="W5" s="41">
        <v>19829960</v>
      </c>
      <c r="X5" s="41">
        <v>6900370</v>
      </c>
      <c r="Y5" s="41"/>
      <c r="Z5" s="41"/>
      <c r="AA5" s="41"/>
      <c r="AB5" s="41"/>
      <c r="AC5" s="41">
        <v>3014610</v>
      </c>
      <c r="AD5" s="41"/>
      <c r="AE5" s="41"/>
      <c r="AF5" s="41"/>
      <c r="AG5" s="41"/>
      <c r="AH5" s="41">
        <v>9914980</v>
      </c>
      <c r="AI5" s="41"/>
      <c r="AJ5" s="41"/>
      <c r="AK5" s="41"/>
      <c r="AL5" s="41"/>
      <c r="AM5" s="41">
        <v>0</v>
      </c>
      <c r="AN5" s="41">
        <v>1982996</v>
      </c>
      <c r="AO5" s="41">
        <v>1982996</v>
      </c>
      <c r="AP5" s="31"/>
      <c r="AQ5" s="36">
        <v>44805</v>
      </c>
      <c r="AR5" s="36">
        <v>44895</v>
      </c>
      <c r="AS5" s="38" t="s">
        <v>60</v>
      </c>
      <c r="AT5" s="36">
        <v>44834</v>
      </c>
      <c r="AU5" s="36">
        <v>44915</v>
      </c>
      <c r="AV5" s="38" t="s">
        <v>61</v>
      </c>
      <c r="AW5" s="40" t="s">
        <v>49</v>
      </c>
    </row>
    <row r="6" spans="1:49" ht="81.599999999999994" customHeight="1" x14ac:dyDescent="0.3">
      <c r="A6" s="35" t="s">
        <v>38</v>
      </c>
      <c r="B6" s="36" t="s">
        <v>39</v>
      </c>
      <c r="C6" s="37">
        <v>1688</v>
      </c>
      <c r="D6" s="39" t="s">
        <v>62</v>
      </c>
      <c r="E6" s="1" t="s">
        <v>63</v>
      </c>
      <c r="F6" s="36">
        <v>44757</v>
      </c>
      <c r="G6" s="37" t="s">
        <v>64</v>
      </c>
      <c r="H6" s="40" t="s">
        <v>43</v>
      </c>
      <c r="I6" s="40" t="s">
        <v>65</v>
      </c>
      <c r="J6" s="41">
        <v>15781251375.120001</v>
      </c>
      <c r="K6" s="41">
        <v>7890625687.5600004</v>
      </c>
      <c r="L6" s="30">
        <v>7890625687.5600004</v>
      </c>
      <c r="M6" s="30">
        <v>15781251375.120001</v>
      </c>
      <c r="N6" s="40" t="s">
        <v>66</v>
      </c>
      <c r="O6" s="40" t="s">
        <v>67</v>
      </c>
      <c r="P6" s="40" t="s">
        <v>47</v>
      </c>
      <c r="Q6" s="44">
        <v>100</v>
      </c>
      <c r="R6" s="37">
        <v>0</v>
      </c>
      <c r="S6" s="37" t="s">
        <v>48</v>
      </c>
      <c r="T6" s="45">
        <v>10</v>
      </c>
      <c r="U6" s="46">
        <v>162.12</v>
      </c>
      <c r="V6" s="47">
        <v>1621.2</v>
      </c>
      <c r="W6" s="41">
        <v>97343026</v>
      </c>
      <c r="X6" s="41">
        <v>20700000</v>
      </c>
      <c r="Y6" s="41"/>
      <c r="Z6" s="41"/>
      <c r="AA6" s="41"/>
      <c r="AB6" s="41"/>
      <c r="AC6" s="41">
        <v>27971513</v>
      </c>
      <c r="AD6" s="41"/>
      <c r="AE6" s="41"/>
      <c r="AF6" s="41"/>
      <c r="AG6" s="41"/>
      <c r="AH6" s="41">
        <v>48671513</v>
      </c>
      <c r="AI6" s="41"/>
      <c r="AJ6" s="41"/>
      <c r="AK6" s="41"/>
      <c r="AL6" s="41"/>
      <c r="AM6" s="41">
        <v>0</v>
      </c>
      <c r="AN6" s="41">
        <v>9734302.5999999996</v>
      </c>
      <c r="AO6" s="41">
        <v>9734303</v>
      </c>
      <c r="AP6" s="31"/>
      <c r="AQ6" s="36">
        <v>44805</v>
      </c>
      <c r="AR6" s="36">
        <v>44895</v>
      </c>
      <c r="AS6" s="38" t="s">
        <v>60</v>
      </c>
      <c r="AT6" s="36">
        <v>44834</v>
      </c>
      <c r="AU6" s="36">
        <v>44915</v>
      </c>
      <c r="AV6" s="38" t="s">
        <v>61</v>
      </c>
      <c r="AW6" s="40" t="s">
        <v>68</v>
      </c>
    </row>
    <row r="7" spans="1:49" ht="109.2" x14ac:dyDescent="0.3">
      <c r="A7" s="35" t="s">
        <v>38</v>
      </c>
      <c r="B7" s="36" t="s">
        <v>39</v>
      </c>
      <c r="C7" s="37">
        <v>1688</v>
      </c>
      <c r="D7" s="39" t="s">
        <v>69</v>
      </c>
      <c r="E7" s="1" t="s">
        <v>70</v>
      </c>
      <c r="F7" s="36">
        <v>44949</v>
      </c>
      <c r="G7" s="37" t="s">
        <v>71</v>
      </c>
      <c r="H7" s="40" t="s">
        <v>43</v>
      </c>
      <c r="I7" s="40" t="s">
        <v>72</v>
      </c>
      <c r="J7" s="41">
        <v>1173777.75</v>
      </c>
      <c r="K7" s="41">
        <v>1173777.75</v>
      </c>
      <c r="L7" s="30">
        <v>1173777.75</v>
      </c>
      <c r="M7" s="30">
        <v>1173777.75</v>
      </c>
      <c r="N7" s="40" t="s">
        <v>73</v>
      </c>
      <c r="O7" s="40" t="s">
        <v>74</v>
      </c>
      <c r="P7" s="40" t="s">
        <v>47</v>
      </c>
      <c r="Q7" s="44">
        <v>100</v>
      </c>
      <c r="R7" s="37">
        <v>0</v>
      </c>
      <c r="S7" s="37" t="s">
        <v>48</v>
      </c>
      <c r="T7" s="48">
        <v>20</v>
      </c>
      <c r="U7" s="30">
        <v>9.01</v>
      </c>
      <c r="V7" s="41">
        <v>180.2</v>
      </c>
      <c r="W7" s="41">
        <v>130275</v>
      </c>
      <c r="X7" s="41">
        <v>52780</v>
      </c>
      <c r="Y7" s="41"/>
      <c r="Z7" s="41"/>
      <c r="AA7" s="41"/>
      <c r="AB7" s="41"/>
      <c r="AC7" s="41">
        <v>77495</v>
      </c>
      <c r="AD7" s="41"/>
      <c r="AE7" s="41"/>
      <c r="AF7" s="41"/>
      <c r="AG7" s="41"/>
      <c r="AH7" s="41"/>
      <c r="AI7" s="41"/>
      <c r="AJ7" s="41"/>
      <c r="AK7" s="41"/>
      <c r="AL7" s="41"/>
      <c r="AM7" s="41">
        <v>0</v>
      </c>
      <c r="AN7" s="41">
        <v>6513.75</v>
      </c>
      <c r="AO7" s="41">
        <v>6514</v>
      </c>
      <c r="AP7" s="40"/>
      <c r="AQ7" s="36">
        <v>44986</v>
      </c>
      <c r="AR7" s="36">
        <v>45194</v>
      </c>
      <c r="AS7" s="36"/>
      <c r="AT7" s="36">
        <v>45000</v>
      </c>
      <c r="AU7" s="36">
        <v>45209</v>
      </c>
      <c r="AV7" s="38"/>
      <c r="AW7" s="40" t="s">
        <v>75</v>
      </c>
    </row>
    <row r="8" spans="1:49" ht="140.4" x14ac:dyDescent="0.3">
      <c r="A8" s="35" t="s">
        <v>38</v>
      </c>
      <c r="B8" s="36" t="s">
        <v>39</v>
      </c>
      <c r="C8" s="37">
        <v>1688</v>
      </c>
      <c r="D8" s="39" t="s">
        <v>76</v>
      </c>
      <c r="E8" s="1" t="s">
        <v>77</v>
      </c>
      <c r="F8" s="36">
        <v>44949</v>
      </c>
      <c r="G8" s="37" t="s">
        <v>78</v>
      </c>
      <c r="H8" s="40" t="s">
        <v>43</v>
      </c>
      <c r="I8" s="40" t="s">
        <v>79</v>
      </c>
      <c r="J8" s="41">
        <v>59280486.299999997</v>
      </c>
      <c r="K8" s="41">
        <v>59280486.299999997</v>
      </c>
      <c r="L8" s="30">
        <v>59280486.299999997</v>
      </c>
      <c r="M8" s="30">
        <v>59280486.299999997</v>
      </c>
      <c r="N8" s="40" t="s">
        <v>80</v>
      </c>
      <c r="O8" s="40" t="s">
        <v>81</v>
      </c>
      <c r="P8" s="40" t="s">
        <v>47</v>
      </c>
      <c r="Q8" s="44">
        <v>100</v>
      </c>
      <c r="R8" s="37">
        <v>0</v>
      </c>
      <c r="S8" s="37" t="s">
        <v>48</v>
      </c>
      <c r="T8" s="48">
        <v>20</v>
      </c>
      <c r="U8" s="30">
        <v>4.3499999999999996</v>
      </c>
      <c r="V8" s="41">
        <v>87</v>
      </c>
      <c r="W8" s="41">
        <v>13627698</v>
      </c>
      <c r="X8" s="41">
        <v>3275140</v>
      </c>
      <c r="Y8" s="41"/>
      <c r="Z8" s="41"/>
      <c r="AA8" s="41"/>
      <c r="AB8" s="41"/>
      <c r="AC8" s="41">
        <v>4901480</v>
      </c>
      <c r="AD8" s="41"/>
      <c r="AE8" s="41"/>
      <c r="AF8" s="41"/>
      <c r="AG8" s="41"/>
      <c r="AH8" s="41">
        <v>5451078</v>
      </c>
      <c r="AI8" s="41"/>
      <c r="AJ8" s="41"/>
      <c r="AK8" s="41"/>
      <c r="AL8" s="41"/>
      <c r="AM8" s="41">
        <v>0</v>
      </c>
      <c r="AN8" s="41">
        <v>681384.9</v>
      </c>
      <c r="AO8" s="41">
        <v>681385</v>
      </c>
      <c r="AP8" s="40"/>
      <c r="AQ8" s="36">
        <v>44986</v>
      </c>
      <c r="AR8" s="36">
        <v>45071</v>
      </c>
      <c r="AS8" s="36">
        <v>45194</v>
      </c>
      <c r="AT8" s="36">
        <v>45000</v>
      </c>
      <c r="AU8" s="36">
        <v>45087</v>
      </c>
      <c r="AV8" s="38">
        <v>45209</v>
      </c>
      <c r="AW8" s="40" t="s">
        <v>68</v>
      </c>
    </row>
    <row r="9" spans="1:49" ht="97.5" customHeight="1" x14ac:dyDescent="0.3">
      <c r="A9" s="35" t="s">
        <v>38</v>
      </c>
      <c r="B9" s="36" t="s">
        <v>39</v>
      </c>
      <c r="C9" s="37">
        <v>1688</v>
      </c>
      <c r="D9" s="39" t="s">
        <v>82</v>
      </c>
      <c r="E9" s="1" t="s">
        <v>83</v>
      </c>
      <c r="F9" s="36">
        <v>44949</v>
      </c>
      <c r="G9" s="37" t="s">
        <v>84</v>
      </c>
      <c r="H9" s="40" t="s">
        <v>43</v>
      </c>
      <c r="I9" s="40" t="s">
        <v>85</v>
      </c>
      <c r="J9" s="41">
        <v>156700.44</v>
      </c>
      <c r="K9" s="41">
        <v>156700.44</v>
      </c>
      <c r="L9" s="30">
        <v>156700.44</v>
      </c>
      <c r="M9" s="30">
        <v>156700.44</v>
      </c>
      <c r="N9" s="40" t="s">
        <v>86</v>
      </c>
      <c r="O9" s="40" t="s">
        <v>81</v>
      </c>
      <c r="P9" s="40" t="s">
        <v>47</v>
      </c>
      <c r="Q9" s="44">
        <v>100</v>
      </c>
      <c r="R9" s="37">
        <v>0</v>
      </c>
      <c r="S9" s="37" t="s">
        <v>48</v>
      </c>
      <c r="T9" s="48">
        <v>20</v>
      </c>
      <c r="U9" s="30">
        <v>3.5100000000000002</v>
      </c>
      <c r="V9" s="41">
        <v>70.2</v>
      </c>
      <c r="W9" s="41">
        <v>44644</v>
      </c>
      <c r="X9" s="41">
        <v>11680</v>
      </c>
      <c r="Y9" s="41"/>
      <c r="Z9" s="41"/>
      <c r="AA9" s="41"/>
      <c r="AB9" s="41"/>
      <c r="AC9" s="41">
        <v>32964</v>
      </c>
      <c r="AD9" s="41"/>
      <c r="AE9" s="41"/>
      <c r="AF9" s="41"/>
      <c r="AG9" s="41"/>
      <c r="AH9" s="41"/>
      <c r="AI9" s="41"/>
      <c r="AJ9" s="41"/>
      <c r="AK9" s="41"/>
      <c r="AL9" s="41"/>
      <c r="AM9" s="41">
        <v>0</v>
      </c>
      <c r="AN9" s="41">
        <v>2232.1999999999998</v>
      </c>
      <c r="AO9" s="41">
        <v>2233</v>
      </c>
      <c r="AP9" s="40"/>
      <c r="AQ9" s="36">
        <v>44986</v>
      </c>
      <c r="AR9" s="36">
        <v>45071</v>
      </c>
      <c r="AS9" s="36"/>
      <c r="AT9" s="36">
        <v>45000</v>
      </c>
      <c r="AU9" s="36">
        <v>45087</v>
      </c>
      <c r="AV9" s="38"/>
      <c r="AW9" s="40" t="s">
        <v>87</v>
      </c>
    </row>
    <row r="10" spans="1:49" ht="93.6" x14ac:dyDescent="0.3">
      <c r="A10" s="35" t="s">
        <v>38</v>
      </c>
      <c r="B10" s="36" t="s">
        <v>39</v>
      </c>
      <c r="C10" s="37">
        <v>1688</v>
      </c>
      <c r="D10" s="39" t="s">
        <v>88</v>
      </c>
      <c r="E10" s="1" t="s">
        <v>89</v>
      </c>
      <c r="F10" s="36">
        <v>44949</v>
      </c>
      <c r="G10" s="37" t="s">
        <v>90</v>
      </c>
      <c r="H10" s="40" t="s">
        <v>43</v>
      </c>
      <c r="I10" s="40" t="s">
        <v>91</v>
      </c>
      <c r="J10" s="41">
        <v>12576898.949999999</v>
      </c>
      <c r="K10" s="41">
        <v>12576898.949999999</v>
      </c>
      <c r="L10" s="30">
        <v>12576898.949999999</v>
      </c>
      <c r="M10" s="30">
        <v>12576898.949999999</v>
      </c>
      <c r="N10" s="40" t="s">
        <v>92</v>
      </c>
      <c r="O10" s="40" t="s">
        <v>74</v>
      </c>
      <c r="P10" s="40" t="s">
        <v>47</v>
      </c>
      <c r="Q10" s="44">
        <v>100</v>
      </c>
      <c r="R10" s="37">
        <v>0</v>
      </c>
      <c r="S10" s="37" t="s">
        <v>48</v>
      </c>
      <c r="T10" s="48">
        <v>10</v>
      </c>
      <c r="U10" s="30">
        <v>127.11</v>
      </c>
      <c r="V10" s="41">
        <v>1271.0999999999999</v>
      </c>
      <c r="W10" s="41">
        <v>98945</v>
      </c>
      <c r="X10" s="41">
        <v>67040</v>
      </c>
      <c r="Y10" s="41"/>
      <c r="Z10" s="41"/>
      <c r="AA10" s="41"/>
      <c r="AB10" s="41"/>
      <c r="AC10" s="41">
        <v>31905</v>
      </c>
      <c r="AD10" s="41"/>
      <c r="AE10" s="41"/>
      <c r="AF10" s="41"/>
      <c r="AG10" s="41"/>
      <c r="AH10" s="41"/>
      <c r="AI10" s="41"/>
      <c r="AJ10" s="41"/>
      <c r="AK10" s="41"/>
      <c r="AL10" s="41"/>
      <c r="AM10" s="41">
        <v>0</v>
      </c>
      <c r="AN10" s="41">
        <v>9894.5</v>
      </c>
      <c r="AO10" s="41">
        <v>9895</v>
      </c>
      <c r="AP10" s="40"/>
      <c r="AQ10" s="36">
        <v>44986</v>
      </c>
      <c r="AR10" s="36">
        <v>45139</v>
      </c>
      <c r="AS10" s="36"/>
      <c r="AT10" s="36">
        <v>45000</v>
      </c>
      <c r="AU10" s="36">
        <v>45153</v>
      </c>
      <c r="AV10" s="38"/>
      <c r="AW10" s="40" t="s">
        <v>87</v>
      </c>
    </row>
    <row r="11" spans="1:49" ht="124.8" x14ac:dyDescent="0.3">
      <c r="A11" s="35" t="s">
        <v>38</v>
      </c>
      <c r="B11" s="36" t="s">
        <v>39</v>
      </c>
      <c r="C11" s="37">
        <v>1688</v>
      </c>
      <c r="D11" s="39" t="s">
        <v>93</v>
      </c>
      <c r="E11" s="1" t="s">
        <v>94</v>
      </c>
      <c r="F11" s="36">
        <v>44949</v>
      </c>
      <c r="G11" s="37" t="s">
        <v>95</v>
      </c>
      <c r="H11" s="40" t="s">
        <v>43</v>
      </c>
      <c r="I11" s="40" t="s">
        <v>96</v>
      </c>
      <c r="J11" s="41">
        <v>157117980.80000001</v>
      </c>
      <c r="K11" s="41">
        <v>157117980.80000001</v>
      </c>
      <c r="L11" s="30">
        <v>157117980.80000001</v>
      </c>
      <c r="M11" s="30">
        <v>157117980.80000001</v>
      </c>
      <c r="N11" s="40" t="s">
        <v>97</v>
      </c>
      <c r="O11" s="40" t="s">
        <v>98</v>
      </c>
      <c r="P11" s="40" t="s">
        <v>47</v>
      </c>
      <c r="Q11" s="44">
        <v>100</v>
      </c>
      <c r="R11" s="37">
        <v>0</v>
      </c>
      <c r="S11" s="37" t="s">
        <v>48</v>
      </c>
      <c r="T11" s="48">
        <v>10</v>
      </c>
      <c r="U11" s="30">
        <v>86.9</v>
      </c>
      <c r="V11" s="41">
        <v>869</v>
      </c>
      <c r="W11" s="41">
        <v>1808032</v>
      </c>
      <c r="X11" s="41">
        <v>1250000</v>
      </c>
      <c r="Y11" s="41"/>
      <c r="Z11" s="41"/>
      <c r="AA11" s="41"/>
      <c r="AB11" s="41"/>
      <c r="AC11" s="41">
        <v>558032</v>
      </c>
      <c r="AD11" s="41"/>
      <c r="AE11" s="41"/>
      <c r="AF11" s="41"/>
      <c r="AG11" s="41"/>
      <c r="AH11" s="41"/>
      <c r="AI11" s="41"/>
      <c r="AJ11" s="41"/>
      <c r="AK11" s="41"/>
      <c r="AL11" s="41"/>
      <c r="AM11" s="41">
        <v>0</v>
      </c>
      <c r="AN11" s="41">
        <v>180803.20000000001</v>
      </c>
      <c r="AO11" s="41">
        <v>180804</v>
      </c>
      <c r="AP11" s="40"/>
      <c r="AQ11" s="36">
        <v>44986</v>
      </c>
      <c r="AR11" s="36">
        <v>45139</v>
      </c>
      <c r="AS11" s="36"/>
      <c r="AT11" s="36">
        <v>45000</v>
      </c>
      <c r="AU11" s="36">
        <v>45153</v>
      </c>
      <c r="AV11" s="38"/>
      <c r="AW11" s="40" t="s">
        <v>87</v>
      </c>
    </row>
    <row r="12" spans="1:49" ht="124.8" x14ac:dyDescent="0.3">
      <c r="A12" s="35" t="s">
        <v>38</v>
      </c>
      <c r="B12" s="36" t="s">
        <v>39</v>
      </c>
      <c r="C12" s="37">
        <v>1688</v>
      </c>
      <c r="D12" s="39" t="s">
        <v>99</v>
      </c>
      <c r="E12" s="1" t="s">
        <v>100</v>
      </c>
      <c r="F12" s="36">
        <v>44949</v>
      </c>
      <c r="G12" s="37" t="s">
        <v>101</v>
      </c>
      <c r="H12" s="40" t="s">
        <v>43</v>
      </c>
      <c r="I12" s="40" t="s">
        <v>102</v>
      </c>
      <c r="J12" s="41">
        <v>5232129.4800000004</v>
      </c>
      <c r="K12" s="41">
        <v>5232129.4800000004</v>
      </c>
      <c r="L12" s="30">
        <v>5232129.4800000004</v>
      </c>
      <c r="M12" s="30">
        <v>5232129.4800000004</v>
      </c>
      <c r="N12" s="40" t="s">
        <v>97</v>
      </c>
      <c r="O12" s="40" t="s">
        <v>98</v>
      </c>
      <c r="P12" s="40" t="s">
        <v>47</v>
      </c>
      <c r="Q12" s="44">
        <v>100</v>
      </c>
      <c r="R12" s="37">
        <v>0</v>
      </c>
      <c r="S12" s="37" t="s">
        <v>48</v>
      </c>
      <c r="T12" s="48">
        <v>10</v>
      </c>
      <c r="U12" s="30">
        <v>77.960000000000008</v>
      </c>
      <c r="V12" s="41">
        <v>779.60000000000014</v>
      </c>
      <c r="W12" s="41">
        <v>67113</v>
      </c>
      <c r="X12" s="41">
        <v>67113</v>
      </c>
      <c r="Y12" s="41"/>
      <c r="Z12" s="41"/>
      <c r="AA12" s="41"/>
      <c r="AB12" s="41"/>
      <c r="AC12" s="41"/>
      <c r="AD12" s="41"/>
      <c r="AE12" s="41"/>
      <c r="AF12" s="41"/>
      <c r="AG12" s="41"/>
      <c r="AH12" s="41"/>
      <c r="AI12" s="41"/>
      <c r="AJ12" s="41"/>
      <c r="AK12" s="41"/>
      <c r="AL12" s="41"/>
      <c r="AM12" s="41">
        <v>0</v>
      </c>
      <c r="AN12" s="41">
        <v>6711.3</v>
      </c>
      <c r="AO12" s="41">
        <v>6712</v>
      </c>
      <c r="AP12" s="40"/>
      <c r="AQ12" s="36">
        <v>44986</v>
      </c>
      <c r="AR12" s="36"/>
      <c r="AS12" s="36"/>
      <c r="AT12" s="36">
        <v>45000</v>
      </c>
      <c r="AU12" s="36"/>
      <c r="AV12" s="38"/>
      <c r="AW12" s="40" t="s">
        <v>87</v>
      </c>
    </row>
    <row r="13" spans="1:49" ht="124.8" x14ac:dyDescent="0.3">
      <c r="A13" s="35" t="s">
        <v>38</v>
      </c>
      <c r="B13" s="36" t="s">
        <v>39</v>
      </c>
      <c r="C13" s="37">
        <v>1688</v>
      </c>
      <c r="D13" s="39" t="s">
        <v>103</v>
      </c>
      <c r="E13" s="1" t="s">
        <v>104</v>
      </c>
      <c r="F13" s="36">
        <v>44949</v>
      </c>
      <c r="G13" s="37" t="s">
        <v>105</v>
      </c>
      <c r="H13" s="40" t="s">
        <v>43</v>
      </c>
      <c r="I13" s="40" t="s">
        <v>106</v>
      </c>
      <c r="J13" s="41">
        <v>280445274.12</v>
      </c>
      <c r="K13" s="41">
        <v>280445274.12</v>
      </c>
      <c r="L13" s="30">
        <v>280445274.12</v>
      </c>
      <c r="M13" s="30">
        <v>280445274.12</v>
      </c>
      <c r="N13" s="40" t="s">
        <v>97</v>
      </c>
      <c r="O13" s="40" t="s">
        <v>98</v>
      </c>
      <c r="P13" s="40" t="s">
        <v>47</v>
      </c>
      <c r="Q13" s="44">
        <v>100</v>
      </c>
      <c r="R13" s="37">
        <v>0</v>
      </c>
      <c r="S13" s="37" t="s">
        <v>48</v>
      </c>
      <c r="T13" s="48">
        <v>10</v>
      </c>
      <c r="U13" s="30">
        <v>77.960000000000008</v>
      </c>
      <c r="V13" s="41">
        <v>779.60000000000014</v>
      </c>
      <c r="W13" s="41">
        <v>3597297</v>
      </c>
      <c r="X13" s="41">
        <v>3597297</v>
      </c>
      <c r="Y13" s="41"/>
      <c r="Z13" s="41"/>
      <c r="AA13" s="41"/>
      <c r="AB13" s="41"/>
      <c r="AC13" s="41"/>
      <c r="AD13" s="41"/>
      <c r="AE13" s="41"/>
      <c r="AF13" s="41"/>
      <c r="AG13" s="41"/>
      <c r="AH13" s="41"/>
      <c r="AI13" s="41"/>
      <c r="AJ13" s="41"/>
      <c r="AK13" s="41"/>
      <c r="AL13" s="41"/>
      <c r="AM13" s="41">
        <v>0</v>
      </c>
      <c r="AN13" s="41">
        <v>359729.7</v>
      </c>
      <c r="AO13" s="41">
        <v>359730</v>
      </c>
      <c r="AP13" s="40"/>
      <c r="AQ13" s="36">
        <v>44986</v>
      </c>
      <c r="AR13" s="36"/>
      <c r="AS13" s="36"/>
      <c r="AT13" s="36">
        <v>45000</v>
      </c>
      <c r="AU13" s="36"/>
      <c r="AV13" s="38"/>
      <c r="AW13" s="40" t="s">
        <v>87</v>
      </c>
    </row>
    <row r="14" spans="1:49" ht="72" x14ac:dyDescent="0.3">
      <c r="A14" s="35" t="s">
        <v>38</v>
      </c>
      <c r="B14" s="36" t="s">
        <v>39</v>
      </c>
      <c r="C14" s="37">
        <v>1688</v>
      </c>
      <c r="D14" s="39" t="s">
        <v>107</v>
      </c>
      <c r="E14" s="1" t="s">
        <v>108</v>
      </c>
      <c r="F14" s="36">
        <v>44949</v>
      </c>
      <c r="G14" s="37" t="s">
        <v>109</v>
      </c>
      <c r="H14" s="40" t="s">
        <v>43</v>
      </c>
      <c r="I14" s="40" t="s">
        <v>110</v>
      </c>
      <c r="J14" s="41">
        <v>40265165.850000001</v>
      </c>
      <c r="K14" s="41">
        <v>40265165.850000001</v>
      </c>
      <c r="L14" s="30">
        <v>40354065.850000001</v>
      </c>
      <c r="M14" s="30">
        <v>40354065.850000001</v>
      </c>
      <c r="N14" s="40" t="s">
        <v>111</v>
      </c>
      <c r="O14" s="40" t="s">
        <v>112</v>
      </c>
      <c r="P14" s="40" t="s">
        <v>47</v>
      </c>
      <c r="Q14" s="44">
        <v>100</v>
      </c>
      <c r="R14" s="37">
        <v>0</v>
      </c>
      <c r="S14" s="37" t="s">
        <v>48</v>
      </c>
      <c r="T14" s="48">
        <v>10</v>
      </c>
      <c r="U14" s="30">
        <v>44.45</v>
      </c>
      <c r="V14" s="41">
        <v>444.5</v>
      </c>
      <c r="W14" s="41">
        <v>907853</v>
      </c>
      <c r="X14" s="41">
        <v>74280</v>
      </c>
      <c r="Y14" s="41"/>
      <c r="Z14" s="41"/>
      <c r="AA14" s="41"/>
      <c r="AB14" s="41"/>
      <c r="AC14" s="41">
        <v>833573</v>
      </c>
      <c r="AD14" s="41"/>
      <c r="AE14" s="41"/>
      <c r="AF14" s="41"/>
      <c r="AG14" s="41"/>
      <c r="AH14" s="41"/>
      <c r="AI14" s="41"/>
      <c r="AJ14" s="41"/>
      <c r="AK14" s="41"/>
      <c r="AL14" s="41"/>
      <c r="AM14" s="41">
        <v>0</v>
      </c>
      <c r="AN14" s="41">
        <v>90785.3</v>
      </c>
      <c r="AO14" s="41">
        <v>90786</v>
      </c>
      <c r="AP14" s="40"/>
      <c r="AQ14" s="36">
        <v>44986</v>
      </c>
      <c r="AR14" s="36">
        <v>45194</v>
      </c>
      <c r="AS14" s="36"/>
      <c r="AT14" s="36">
        <v>45000</v>
      </c>
      <c r="AU14" s="36">
        <v>45209</v>
      </c>
      <c r="AV14" s="38"/>
      <c r="AW14" s="40" t="s">
        <v>87</v>
      </c>
    </row>
    <row r="15" spans="1:49" ht="72" x14ac:dyDescent="0.3">
      <c r="A15" s="35" t="s">
        <v>38</v>
      </c>
      <c r="B15" s="36" t="s">
        <v>39</v>
      </c>
      <c r="C15" s="37">
        <v>1688</v>
      </c>
      <c r="D15" s="39" t="s">
        <v>113</v>
      </c>
      <c r="E15" s="1" t="s">
        <v>114</v>
      </c>
      <c r="F15" s="36">
        <v>44949</v>
      </c>
      <c r="G15" s="37" t="s">
        <v>115</v>
      </c>
      <c r="H15" s="40" t="s">
        <v>43</v>
      </c>
      <c r="I15" s="40" t="s">
        <v>116</v>
      </c>
      <c r="J15" s="41">
        <v>2037956.48</v>
      </c>
      <c r="K15" s="41">
        <v>2037956.48</v>
      </c>
      <c r="L15" s="30">
        <v>2037956.48</v>
      </c>
      <c r="M15" s="30">
        <v>2037956.48</v>
      </c>
      <c r="N15" s="40" t="s">
        <v>117</v>
      </c>
      <c r="O15" s="40" t="s">
        <v>112</v>
      </c>
      <c r="P15" s="40" t="s">
        <v>47</v>
      </c>
      <c r="Q15" s="44">
        <v>100</v>
      </c>
      <c r="R15" s="37">
        <v>0</v>
      </c>
      <c r="S15" s="37" t="s">
        <v>48</v>
      </c>
      <c r="T15" s="48">
        <v>10</v>
      </c>
      <c r="U15" s="30">
        <v>54.04</v>
      </c>
      <c r="V15" s="41">
        <v>540.4</v>
      </c>
      <c r="W15" s="41">
        <v>37712</v>
      </c>
      <c r="X15" s="41">
        <v>37712</v>
      </c>
      <c r="Y15" s="41"/>
      <c r="Z15" s="41"/>
      <c r="AA15" s="41"/>
      <c r="AB15" s="41"/>
      <c r="AC15" s="41"/>
      <c r="AD15" s="41"/>
      <c r="AE15" s="41"/>
      <c r="AF15" s="41"/>
      <c r="AG15" s="41"/>
      <c r="AH15" s="41"/>
      <c r="AI15" s="41"/>
      <c r="AJ15" s="41"/>
      <c r="AK15" s="41"/>
      <c r="AL15" s="41"/>
      <c r="AM15" s="41">
        <v>0</v>
      </c>
      <c r="AN15" s="41">
        <v>3771.2</v>
      </c>
      <c r="AO15" s="41">
        <v>3772</v>
      </c>
      <c r="AP15" s="40"/>
      <c r="AQ15" s="36">
        <v>45255</v>
      </c>
      <c r="AR15" s="36"/>
      <c r="AS15" s="36"/>
      <c r="AT15" s="36">
        <v>45270</v>
      </c>
      <c r="AU15" s="36"/>
      <c r="AV15" s="38"/>
      <c r="AW15" s="40" t="s">
        <v>49</v>
      </c>
    </row>
    <row r="16" spans="1:49" ht="72" x14ac:dyDescent="0.3">
      <c r="A16" s="35" t="s">
        <v>38</v>
      </c>
      <c r="B16" s="36" t="s">
        <v>39</v>
      </c>
      <c r="C16" s="37">
        <v>1688</v>
      </c>
      <c r="D16" s="39" t="s">
        <v>118</v>
      </c>
      <c r="E16" s="1" t="s">
        <v>119</v>
      </c>
      <c r="F16" s="36">
        <v>44949</v>
      </c>
      <c r="G16" s="37" t="s">
        <v>120</v>
      </c>
      <c r="H16" s="40" t="s">
        <v>43</v>
      </c>
      <c r="I16" s="40" t="s">
        <v>121</v>
      </c>
      <c r="J16" s="41">
        <v>85604931.269999996</v>
      </c>
      <c r="K16" s="41">
        <v>85604931.269999996</v>
      </c>
      <c r="L16" s="30">
        <v>85604931.269999996</v>
      </c>
      <c r="M16" s="30">
        <v>85604931.269999996</v>
      </c>
      <c r="N16" s="40" t="s">
        <v>122</v>
      </c>
      <c r="O16" s="40" t="s">
        <v>112</v>
      </c>
      <c r="P16" s="40" t="s">
        <v>47</v>
      </c>
      <c r="Q16" s="44">
        <v>100</v>
      </c>
      <c r="R16" s="37">
        <v>0</v>
      </c>
      <c r="S16" s="37" t="s">
        <v>48</v>
      </c>
      <c r="T16" s="48">
        <v>10</v>
      </c>
      <c r="U16" s="30">
        <v>89.36999999999999</v>
      </c>
      <c r="V16" s="41">
        <v>893.69999999999993</v>
      </c>
      <c r="W16" s="41">
        <v>957871</v>
      </c>
      <c r="X16" s="41">
        <v>210740</v>
      </c>
      <c r="Y16" s="41"/>
      <c r="Z16" s="41"/>
      <c r="AA16" s="41"/>
      <c r="AB16" s="41"/>
      <c r="AC16" s="41">
        <v>747131</v>
      </c>
      <c r="AD16" s="41"/>
      <c r="AE16" s="41"/>
      <c r="AF16" s="41"/>
      <c r="AG16" s="41"/>
      <c r="AH16" s="41"/>
      <c r="AI16" s="41"/>
      <c r="AJ16" s="41"/>
      <c r="AK16" s="41"/>
      <c r="AL16" s="41"/>
      <c r="AM16" s="41">
        <v>0</v>
      </c>
      <c r="AN16" s="41">
        <v>95787.1</v>
      </c>
      <c r="AO16" s="41">
        <v>95788</v>
      </c>
      <c r="AP16" s="40"/>
      <c r="AQ16" s="36">
        <v>45255</v>
      </c>
      <c r="AR16" s="36">
        <v>45285</v>
      </c>
      <c r="AS16" s="36"/>
      <c r="AT16" s="36">
        <v>45270</v>
      </c>
      <c r="AU16" s="36">
        <v>45290</v>
      </c>
      <c r="AV16" s="38"/>
      <c r="AW16" s="40" t="s">
        <v>49</v>
      </c>
    </row>
    <row r="17" spans="1:49" ht="93.6" x14ac:dyDescent="0.3">
      <c r="A17" s="35" t="s">
        <v>38</v>
      </c>
      <c r="B17" s="36" t="s">
        <v>39</v>
      </c>
      <c r="C17" s="37">
        <v>1688</v>
      </c>
      <c r="D17" s="39" t="s">
        <v>123</v>
      </c>
      <c r="E17" s="1" t="s">
        <v>124</v>
      </c>
      <c r="F17" s="36">
        <v>44949</v>
      </c>
      <c r="G17" s="37" t="s">
        <v>125</v>
      </c>
      <c r="H17" s="40" t="s">
        <v>43</v>
      </c>
      <c r="I17" s="40" t="s">
        <v>126</v>
      </c>
      <c r="J17" s="41">
        <v>32091279.550000001</v>
      </c>
      <c r="K17" s="41">
        <v>32091279.550000001</v>
      </c>
      <c r="L17" s="30">
        <v>32891379.949999999</v>
      </c>
      <c r="M17" s="30">
        <v>32891379.949999999</v>
      </c>
      <c r="N17" s="40" t="s">
        <v>126</v>
      </c>
      <c r="O17" s="40" t="s">
        <v>112</v>
      </c>
      <c r="P17" s="40" t="s">
        <v>47</v>
      </c>
      <c r="Q17" s="44">
        <v>100</v>
      </c>
      <c r="R17" s="37">
        <v>0</v>
      </c>
      <c r="S17" s="37" t="s">
        <v>48</v>
      </c>
      <c r="T17" s="48">
        <v>10</v>
      </c>
      <c r="U17" s="30">
        <v>33.549999999999997</v>
      </c>
      <c r="V17" s="41">
        <v>335.5</v>
      </c>
      <c r="W17" s="41">
        <v>980369</v>
      </c>
      <c r="X17" s="41">
        <v>45150</v>
      </c>
      <c r="Y17" s="41"/>
      <c r="Z17" s="41"/>
      <c r="AA17" s="41"/>
      <c r="AB17" s="41"/>
      <c r="AC17" s="41">
        <v>464829</v>
      </c>
      <c r="AD17" s="41"/>
      <c r="AE17" s="41"/>
      <c r="AF17" s="41"/>
      <c r="AG17" s="41"/>
      <c r="AH17" s="41">
        <v>470390</v>
      </c>
      <c r="AI17" s="41"/>
      <c r="AJ17" s="41"/>
      <c r="AK17" s="41"/>
      <c r="AL17" s="41"/>
      <c r="AM17" s="41">
        <v>0</v>
      </c>
      <c r="AN17" s="41">
        <v>98036.9</v>
      </c>
      <c r="AO17" s="41">
        <v>98037</v>
      </c>
      <c r="AP17" s="40"/>
      <c r="AQ17" s="36">
        <v>44986</v>
      </c>
      <c r="AR17" s="36">
        <v>45071</v>
      </c>
      <c r="AS17" s="36">
        <v>45194</v>
      </c>
      <c r="AT17" s="36">
        <v>45000</v>
      </c>
      <c r="AU17" s="36">
        <v>45087</v>
      </c>
      <c r="AV17" s="38">
        <v>45209</v>
      </c>
      <c r="AW17" s="40" t="s">
        <v>68</v>
      </c>
    </row>
    <row r="18" spans="1:49" ht="46.5" customHeight="1" x14ac:dyDescent="0.3">
      <c r="A18" s="35" t="s">
        <v>38</v>
      </c>
      <c r="B18" s="36" t="s">
        <v>39</v>
      </c>
      <c r="C18" s="37">
        <v>1688</v>
      </c>
      <c r="D18" s="39" t="s">
        <v>127</v>
      </c>
      <c r="E18" s="1" t="s">
        <v>128</v>
      </c>
      <c r="F18" s="36">
        <v>44953</v>
      </c>
      <c r="G18" s="37" t="s">
        <v>129</v>
      </c>
      <c r="H18" s="40" t="s">
        <v>43</v>
      </c>
      <c r="I18" s="40" t="s">
        <v>130</v>
      </c>
      <c r="J18" s="41">
        <v>6567454.9199999999</v>
      </c>
      <c r="K18" s="41">
        <v>6567454.9199999999</v>
      </c>
      <c r="L18" s="30">
        <v>6567454.9199999999</v>
      </c>
      <c r="M18" s="30">
        <v>6567454.9199999999</v>
      </c>
      <c r="N18" s="40" t="s">
        <v>131</v>
      </c>
      <c r="O18" s="40" t="s">
        <v>132</v>
      </c>
      <c r="P18" s="40" t="s">
        <v>47</v>
      </c>
      <c r="Q18" s="44">
        <v>100</v>
      </c>
      <c r="R18" s="37">
        <v>0</v>
      </c>
      <c r="S18" s="37" t="s">
        <v>48</v>
      </c>
      <c r="T18" s="48">
        <v>20</v>
      </c>
      <c r="U18" s="30">
        <v>4.3600000000000003</v>
      </c>
      <c r="V18" s="41">
        <v>87.2</v>
      </c>
      <c r="W18" s="41">
        <v>1506297</v>
      </c>
      <c r="X18" s="41">
        <v>1506297</v>
      </c>
      <c r="Y18" s="41"/>
      <c r="Z18" s="41"/>
      <c r="AA18" s="41"/>
      <c r="AB18" s="41"/>
      <c r="AC18" s="41"/>
      <c r="AD18" s="41"/>
      <c r="AE18" s="41"/>
      <c r="AF18" s="41"/>
      <c r="AG18" s="41"/>
      <c r="AH18" s="41"/>
      <c r="AI18" s="41"/>
      <c r="AJ18" s="41"/>
      <c r="AK18" s="41"/>
      <c r="AL18" s="41"/>
      <c r="AM18" s="41">
        <v>0</v>
      </c>
      <c r="AN18" s="41">
        <v>75314.850000000006</v>
      </c>
      <c r="AO18" s="41">
        <v>75315</v>
      </c>
      <c r="AP18" s="40"/>
      <c r="AQ18" s="36">
        <v>44986</v>
      </c>
      <c r="AR18" s="36"/>
      <c r="AS18" s="36"/>
      <c r="AT18" s="36">
        <v>45000</v>
      </c>
      <c r="AU18" s="36"/>
      <c r="AV18" s="38"/>
      <c r="AW18" s="40" t="s">
        <v>87</v>
      </c>
    </row>
    <row r="19" spans="1:49" ht="78" x14ac:dyDescent="0.3">
      <c r="A19" s="35" t="s">
        <v>38</v>
      </c>
      <c r="B19" s="36" t="s">
        <v>39</v>
      </c>
      <c r="C19" s="37">
        <v>1688</v>
      </c>
      <c r="D19" s="39" t="s">
        <v>133</v>
      </c>
      <c r="E19" s="1" t="s">
        <v>134</v>
      </c>
      <c r="F19" s="36">
        <v>44953</v>
      </c>
      <c r="G19" s="37" t="s">
        <v>135</v>
      </c>
      <c r="H19" s="40" t="s">
        <v>43</v>
      </c>
      <c r="I19" s="40" t="s">
        <v>136</v>
      </c>
      <c r="J19" s="41">
        <v>6776090.8499999996</v>
      </c>
      <c r="K19" s="41">
        <v>6776090.8499999996</v>
      </c>
      <c r="L19" s="30">
        <v>6776090.8499999996</v>
      </c>
      <c r="M19" s="30">
        <v>6776090.8499999996</v>
      </c>
      <c r="N19" s="40" t="s">
        <v>137</v>
      </c>
      <c r="O19" s="40" t="s">
        <v>74</v>
      </c>
      <c r="P19" s="40" t="s">
        <v>47</v>
      </c>
      <c r="Q19" s="44">
        <v>100</v>
      </c>
      <c r="R19" s="37">
        <v>0</v>
      </c>
      <c r="S19" s="37" t="s">
        <v>48</v>
      </c>
      <c r="T19" s="48">
        <v>20</v>
      </c>
      <c r="U19" s="30">
        <v>10.09</v>
      </c>
      <c r="V19" s="41">
        <v>201.8</v>
      </c>
      <c r="W19" s="41">
        <v>671565</v>
      </c>
      <c r="X19" s="41">
        <v>79380</v>
      </c>
      <c r="Y19" s="41"/>
      <c r="Z19" s="41"/>
      <c r="AA19" s="41"/>
      <c r="AB19" s="41"/>
      <c r="AC19" s="41">
        <v>592185</v>
      </c>
      <c r="AD19" s="41"/>
      <c r="AE19" s="41"/>
      <c r="AF19" s="41"/>
      <c r="AG19" s="41"/>
      <c r="AH19" s="41"/>
      <c r="AI19" s="41"/>
      <c r="AJ19" s="41"/>
      <c r="AK19" s="41"/>
      <c r="AL19" s="41"/>
      <c r="AM19" s="41">
        <v>0</v>
      </c>
      <c r="AN19" s="41">
        <v>33578.25</v>
      </c>
      <c r="AO19" s="41">
        <v>33579</v>
      </c>
      <c r="AP19" s="40"/>
      <c r="AQ19" s="36">
        <v>44986</v>
      </c>
      <c r="AR19" s="36">
        <v>45163</v>
      </c>
      <c r="AS19" s="36"/>
      <c r="AT19" s="36">
        <v>45000</v>
      </c>
      <c r="AU19" s="36">
        <v>45179</v>
      </c>
      <c r="AV19" s="38"/>
      <c r="AW19" s="40" t="s">
        <v>87</v>
      </c>
    </row>
    <row r="20" spans="1:49" ht="171.6" x14ac:dyDescent="0.3">
      <c r="A20" s="35" t="s">
        <v>38</v>
      </c>
      <c r="B20" s="36" t="s">
        <v>39</v>
      </c>
      <c r="C20" s="37">
        <v>1688</v>
      </c>
      <c r="D20" s="39" t="s">
        <v>138</v>
      </c>
      <c r="E20" s="1" t="s">
        <v>139</v>
      </c>
      <c r="F20" s="36">
        <v>44953</v>
      </c>
      <c r="G20" s="37" t="s">
        <v>140</v>
      </c>
      <c r="H20" s="40" t="s">
        <v>43</v>
      </c>
      <c r="I20" s="40" t="s">
        <v>141</v>
      </c>
      <c r="J20" s="41">
        <v>2737943.25</v>
      </c>
      <c r="K20" s="41">
        <v>2737943.25</v>
      </c>
      <c r="L20" s="30">
        <v>2737943.25</v>
      </c>
      <c r="M20" s="30">
        <v>2737943.25</v>
      </c>
      <c r="N20" s="40" t="s">
        <v>142</v>
      </c>
      <c r="O20" s="40" t="s">
        <v>74</v>
      </c>
      <c r="P20" s="40" t="s">
        <v>47</v>
      </c>
      <c r="Q20" s="44">
        <v>100</v>
      </c>
      <c r="R20" s="37">
        <v>0</v>
      </c>
      <c r="S20" s="37" t="s">
        <v>48</v>
      </c>
      <c r="T20" s="48">
        <v>10</v>
      </c>
      <c r="U20" s="30">
        <v>162.75</v>
      </c>
      <c r="V20" s="41">
        <v>1627.5</v>
      </c>
      <c r="W20" s="41">
        <v>16823</v>
      </c>
      <c r="X20" s="41">
        <v>16823</v>
      </c>
      <c r="Y20" s="41"/>
      <c r="Z20" s="41"/>
      <c r="AA20" s="41"/>
      <c r="AB20" s="41"/>
      <c r="AC20" s="41"/>
      <c r="AD20" s="41"/>
      <c r="AE20" s="41"/>
      <c r="AF20" s="41"/>
      <c r="AG20" s="41"/>
      <c r="AH20" s="41"/>
      <c r="AI20" s="41"/>
      <c r="AJ20" s="41"/>
      <c r="AK20" s="41"/>
      <c r="AL20" s="41"/>
      <c r="AM20" s="41">
        <v>0</v>
      </c>
      <c r="AN20" s="41">
        <v>1682.3</v>
      </c>
      <c r="AO20" s="41">
        <v>1683</v>
      </c>
      <c r="AP20" s="40"/>
      <c r="AQ20" s="36">
        <v>44986</v>
      </c>
      <c r="AR20" s="36"/>
      <c r="AS20" s="36"/>
      <c r="AT20" s="36">
        <v>45000</v>
      </c>
      <c r="AU20" s="36"/>
      <c r="AV20" s="38"/>
      <c r="AW20" s="40" t="s">
        <v>87</v>
      </c>
    </row>
    <row r="21" spans="1:49" ht="93.6" x14ac:dyDescent="0.3">
      <c r="A21" s="35" t="s">
        <v>38</v>
      </c>
      <c r="B21" s="36" t="s">
        <v>39</v>
      </c>
      <c r="C21" s="37">
        <v>1688</v>
      </c>
      <c r="D21" s="39" t="s">
        <v>143</v>
      </c>
      <c r="E21" s="1" t="s">
        <v>144</v>
      </c>
      <c r="F21" s="36">
        <v>44957</v>
      </c>
      <c r="G21" s="37" t="s">
        <v>145</v>
      </c>
      <c r="H21" s="40" t="s">
        <v>43</v>
      </c>
      <c r="I21" s="40" t="s">
        <v>146</v>
      </c>
      <c r="J21" s="41">
        <v>8607861.4800000004</v>
      </c>
      <c r="K21" s="41">
        <v>8607861.4800000004</v>
      </c>
      <c r="L21" s="30">
        <v>8655026.7599999998</v>
      </c>
      <c r="M21" s="30">
        <v>8655026.7599999998</v>
      </c>
      <c r="N21" s="40" t="s">
        <v>147</v>
      </c>
      <c r="O21" s="40" t="s">
        <v>148</v>
      </c>
      <c r="P21" s="40" t="s">
        <v>47</v>
      </c>
      <c r="Q21" s="44">
        <v>100</v>
      </c>
      <c r="R21" s="37">
        <v>0</v>
      </c>
      <c r="S21" s="37" t="s">
        <v>48</v>
      </c>
      <c r="T21" s="48">
        <v>50</v>
      </c>
      <c r="U21" s="30">
        <v>5.82</v>
      </c>
      <c r="V21" s="41">
        <v>291</v>
      </c>
      <c r="W21" s="41">
        <v>1487118</v>
      </c>
      <c r="X21" s="41">
        <v>452600</v>
      </c>
      <c r="Y21" s="41"/>
      <c r="Z21" s="41"/>
      <c r="AA21" s="41"/>
      <c r="AB21" s="41"/>
      <c r="AC21" s="41">
        <v>518104</v>
      </c>
      <c r="AD21" s="41"/>
      <c r="AE21" s="41"/>
      <c r="AF21" s="41"/>
      <c r="AG21" s="41"/>
      <c r="AH21" s="41">
        <v>516414</v>
      </c>
      <c r="AI21" s="41"/>
      <c r="AJ21" s="41"/>
      <c r="AK21" s="41"/>
      <c r="AL21" s="41"/>
      <c r="AM21" s="41">
        <v>0</v>
      </c>
      <c r="AN21" s="41">
        <v>29742.36</v>
      </c>
      <c r="AO21" s="41">
        <v>29743</v>
      </c>
      <c r="AP21" s="40"/>
      <c r="AQ21" s="36">
        <v>44986</v>
      </c>
      <c r="AR21" s="36">
        <v>45139</v>
      </c>
      <c r="AS21" s="36">
        <v>45255</v>
      </c>
      <c r="AT21" s="36">
        <v>45000</v>
      </c>
      <c r="AU21" s="36">
        <v>45153</v>
      </c>
      <c r="AV21" s="38">
        <v>45270</v>
      </c>
      <c r="AW21" s="40" t="s">
        <v>68</v>
      </c>
    </row>
    <row r="22" spans="1:49" ht="135" customHeight="1" x14ac:dyDescent="0.3">
      <c r="A22" s="35" t="s">
        <v>38</v>
      </c>
      <c r="B22" s="36" t="s">
        <v>39</v>
      </c>
      <c r="C22" s="37">
        <v>1688</v>
      </c>
      <c r="D22" s="39" t="s">
        <v>149</v>
      </c>
      <c r="E22" s="1" t="s">
        <v>150</v>
      </c>
      <c r="F22" s="36">
        <v>44957</v>
      </c>
      <c r="G22" s="37" t="s">
        <v>151</v>
      </c>
      <c r="H22" s="40" t="s">
        <v>43</v>
      </c>
      <c r="I22" s="40" t="s">
        <v>152</v>
      </c>
      <c r="J22" s="41">
        <v>27429573.780000001</v>
      </c>
      <c r="K22" s="41">
        <v>27429573.780000001</v>
      </c>
      <c r="L22" s="30">
        <v>27574895.039999999</v>
      </c>
      <c r="M22" s="30">
        <v>27574895.039999999</v>
      </c>
      <c r="N22" s="40" t="s">
        <v>153</v>
      </c>
      <c r="O22" s="40" t="s">
        <v>148</v>
      </c>
      <c r="P22" s="40" t="s">
        <v>47</v>
      </c>
      <c r="Q22" s="44">
        <v>100</v>
      </c>
      <c r="R22" s="37">
        <v>0</v>
      </c>
      <c r="S22" s="37" t="s">
        <v>48</v>
      </c>
      <c r="T22" s="48">
        <v>100</v>
      </c>
      <c r="U22" s="30">
        <v>2.94</v>
      </c>
      <c r="V22" s="41">
        <v>294</v>
      </c>
      <c r="W22" s="41">
        <v>9379216</v>
      </c>
      <c r="X22" s="41">
        <v>1754400</v>
      </c>
      <c r="Y22" s="41"/>
      <c r="Z22" s="41"/>
      <c r="AA22" s="41"/>
      <c r="AB22" s="41"/>
      <c r="AC22" s="41">
        <v>1579429</v>
      </c>
      <c r="AD22" s="41"/>
      <c r="AE22" s="41"/>
      <c r="AF22" s="41"/>
      <c r="AG22" s="41"/>
      <c r="AH22" s="41">
        <v>6045387</v>
      </c>
      <c r="AI22" s="41"/>
      <c r="AJ22" s="41"/>
      <c r="AK22" s="41"/>
      <c r="AL22" s="41"/>
      <c r="AM22" s="41">
        <v>0</v>
      </c>
      <c r="AN22" s="41">
        <v>93792.16</v>
      </c>
      <c r="AO22" s="41">
        <v>93793</v>
      </c>
      <c r="AP22" s="40"/>
      <c r="AQ22" s="36">
        <v>44986</v>
      </c>
      <c r="AR22" s="36">
        <v>45139</v>
      </c>
      <c r="AS22" s="38" t="s">
        <v>154</v>
      </c>
      <c r="AT22" s="36">
        <v>45000</v>
      </c>
      <c r="AU22" s="36">
        <v>45153</v>
      </c>
      <c r="AV22" s="38" t="s">
        <v>155</v>
      </c>
      <c r="AW22" s="40" t="s">
        <v>75</v>
      </c>
    </row>
    <row r="23" spans="1:49" ht="78" x14ac:dyDescent="0.3">
      <c r="A23" s="35" t="s">
        <v>38</v>
      </c>
      <c r="B23" s="36" t="s">
        <v>39</v>
      </c>
      <c r="C23" s="37">
        <v>1688</v>
      </c>
      <c r="D23" s="39" t="s">
        <v>156</v>
      </c>
      <c r="E23" s="1" t="s">
        <v>157</v>
      </c>
      <c r="F23" s="36">
        <v>44958</v>
      </c>
      <c r="G23" s="37" t="s">
        <v>158</v>
      </c>
      <c r="H23" s="40" t="s">
        <v>43</v>
      </c>
      <c r="I23" s="40" t="s">
        <v>159</v>
      </c>
      <c r="J23" s="41">
        <v>1220052945.0999999</v>
      </c>
      <c r="K23" s="41">
        <v>1220052945.0999999</v>
      </c>
      <c r="L23" s="30">
        <v>1220052945.0999999</v>
      </c>
      <c r="M23" s="30">
        <v>1220052945.0999999</v>
      </c>
      <c r="N23" s="40" t="s">
        <v>160</v>
      </c>
      <c r="O23" s="40" t="s">
        <v>112</v>
      </c>
      <c r="P23" s="40" t="s">
        <v>47</v>
      </c>
      <c r="Q23" s="44">
        <v>100</v>
      </c>
      <c r="R23" s="37">
        <v>0</v>
      </c>
      <c r="S23" s="37" t="s">
        <v>48</v>
      </c>
      <c r="T23" s="48">
        <v>10</v>
      </c>
      <c r="U23" s="30">
        <v>491.15</v>
      </c>
      <c r="V23" s="41">
        <v>4911.5</v>
      </c>
      <c r="W23" s="41">
        <v>2484074</v>
      </c>
      <c r="X23" s="41">
        <v>298090</v>
      </c>
      <c r="Y23" s="41"/>
      <c r="Z23" s="41"/>
      <c r="AA23" s="41"/>
      <c r="AB23" s="41"/>
      <c r="AC23" s="41">
        <v>2185984</v>
      </c>
      <c r="AD23" s="41"/>
      <c r="AE23" s="41"/>
      <c r="AF23" s="41"/>
      <c r="AG23" s="41"/>
      <c r="AH23" s="41"/>
      <c r="AI23" s="41"/>
      <c r="AJ23" s="41"/>
      <c r="AK23" s="41"/>
      <c r="AL23" s="41"/>
      <c r="AM23" s="41">
        <v>0</v>
      </c>
      <c r="AN23" s="41">
        <v>248407.4</v>
      </c>
      <c r="AO23" s="41">
        <v>248408</v>
      </c>
      <c r="AP23" s="40"/>
      <c r="AQ23" s="36">
        <v>44986</v>
      </c>
      <c r="AR23" s="36">
        <v>45285</v>
      </c>
      <c r="AS23" s="36"/>
      <c r="AT23" s="36">
        <v>45000</v>
      </c>
      <c r="AU23" s="36">
        <v>45290</v>
      </c>
      <c r="AV23" s="38"/>
      <c r="AW23" s="40" t="s">
        <v>75</v>
      </c>
    </row>
    <row r="24" spans="1:49" s="34" customFormat="1" ht="42.75" customHeight="1" x14ac:dyDescent="0.3">
      <c r="A24" s="39" t="s">
        <v>1945</v>
      </c>
      <c r="B24" s="36">
        <v>44908</v>
      </c>
      <c r="C24" s="37">
        <v>1688</v>
      </c>
      <c r="D24" s="39" t="s">
        <v>1946</v>
      </c>
      <c r="E24" s="1" t="s">
        <v>1947</v>
      </c>
      <c r="F24" s="36">
        <v>44944</v>
      </c>
      <c r="G24" s="37" t="s">
        <v>1948</v>
      </c>
      <c r="H24" s="40" t="s">
        <v>1949</v>
      </c>
      <c r="I24" s="40" t="s">
        <v>1950</v>
      </c>
      <c r="J24" s="41">
        <v>607448000</v>
      </c>
      <c r="K24" s="41">
        <v>607448000</v>
      </c>
      <c r="L24" s="30">
        <v>607448000</v>
      </c>
      <c r="M24" s="30">
        <v>607448000</v>
      </c>
      <c r="N24" s="40" t="s">
        <v>1951</v>
      </c>
      <c r="O24" s="40" t="s">
        <v>1952</v>
      </c>
      <c r="P24" s="40" t="s">
        <v>47</v>
      </c>
      <c r="Q24" s="44">
        <v>100</v>
      </c>
      <c r="R24" s="37">
        <v>0</v>
      </c>
      <c r="S24" s="37" t="s">
        <v>48</v>
      </c>
      <c r="T24" s="48">
        <v>1</v>
      </c>
      <c r="U24" s="30">
        <v>1518620</v>
      </c>
      <c r="V24" s="41">
        <v>1518620</v>
      </c>
      <c r="W24" s="41">
        <v>400</v>
      </c>
      <c r="X24" s="41">
        <v>400</v>
      </c>
      <c r="Y24" s="41"/>
      <c r="Z24" s="41"/>
      <c r="AA24" s="41"/>
      <c r="AB24" s="41"/>
      <c r="AC24" s="41"/>
      <c r="AD24" s="41"/>
      <c r="AE24" s="41"/>
      <c r="AF24" s="41"/>
      <c r="AG24" s="41"/>
      <c r="AH24" s="41"/>
      <c r="AI24" s="41"/>
      <c r="AJ24" s="41"/>
      <c r="AK24" s="41"/>
      <c r="AL24" s="41"/>
      <c r="AM24" s="41"/>
      <c r="AN24" s="41">
        <v>400</v>
      </c>
      <c r="AO24" s="41">
        <v>400</v>
      </c>
      <c r="AP24" s="40"/>
      <c r="AQ24" s="36">
        <v>45047</v>
      </c>
      <c r="AR24" s="36"/>
      <c r="AS24" s="36"/>
      <c r="AT24" s="36">
        <v>45061</v>
      </c>
      <c r="AU24" s="36"/>
      <c r="AV24" s="38"/>
      <c r="AW24" s="40" t="s">
        <v>87</v>
      </c>
    </row>
    <row r="25" spans="1:49" s="34" customFormat="1" ht="39" customHeight="1" x14ac:dyDescent="0.3">
      <c r="A25" s="39" t="s">
        <v>1953</v>
      </c>
      <c r="B25" s="36">
        <v>44908</v>
      </c>
      <c r="C25" s="37">
        <v>1688</v>
      </c>
      <c r="D25" s="39" t="s">
        <v>1954</v>
      </c>
      <c r="E25" s="1" t="s">
        <v>1955</v>
      </c>
      <c r="F25" s="36">
        <v>44943</v>
      </c>
      <c r="G25" s="37" t="s">
        <v>1956</v>
      </c>
      <c r="H25" s="40" t="s">
        <v>186</v>
      </c>
      <c r="I25" s="40" t="s">
        <v>1950</v>
      </c>
      <c r="J25" s="41">
        <v>911172000</v>
      </c>
      <c r="K25" s="41">
        <v>897504000</v>
      </c>
      <c r="L25" s="30">
        <v>897504000</v>
      </c>
      <c r="M25" s="30">
        <v>897504000</v>
      </c>
      <c r="N25" s="40" t="s">
        <v>1957</v>
      </c>
      <c r="O25" s="40" t="s">
        <v>1958</v>
      </c>
      <c r="P25" s="40" t="s">
        <v>47</v>
      </c>
      <c r="Q25" s="44">
        <v>100</v>
      </c>
      <c r="R25" s="37">
        <v>0</v>
      </c>
      <c r="S25" s="37" t="s">
        <v>48</v>
      </c>
      <c r="T25" s="48">
        <v>1</v>
      </c>
      <c r="U25" s="30">
        <v>1495840</v>
      </c>
      <c r="V25" s="41">
        <v>1495840</v>
      </c>
      <c r="W25" s="41">
        <v>600</v>
      </c>
      <c r="X25" s="41">
        <v>600</v>
      </c>
      <c r="Y25" s="41">
        <v>0</v>
      </c>
      <c r="Z25" s="41">
        <v>0</v>
      </c>
      <c r="AA25" s="41">
        <v>0</v>
      </c>
      <c r="AB25" s="41">
        <v>0</v>
      </c>
      <c r="AC25" s="41">
        <v>0</v>
      </c>
      <c r="AD25" s="41">
        <v>0</v>
      </c>
      <c r="AE25" s="41">
        <v>0</v>
      </c>
      <c r="AF25" s="41">
        <v>0</v>
      </c>
      <c r="AG25" s="41">
        <v>0</v>
      </c>
      <c r="AH25" s="41">
        <v>0</v>
      </c>
      <c r="AI25" s="41">
        <v>0</v>
      </c>
      <c r="AJ25" s="41">
        <v>0</v>
      </c>
      <c r="AK25" s="41">
        <v>0</v>
      </c>
      <c r="AL25" s="41">
        <v>0</v>
      </c>
      <c r="AM25" s="41"/>
      <c r="AN25" s="41">
        <v>600</v>
      </c>
      <c r="AO25" s="41">
        <v>600</v>
      </c>
      <c r="AP25" s="40"/>
      <c r="AQ25" s="36">
        <v>44986</v>
      </c>
      <c r="AR25" s="36"/>
      <c r="AS25" s="36"/>
      <c r="AT25" s="36">
        <v>45000</v>
      </c>
      <c r="AU25" s="36"/>
      <c r="AV25" s="38"/>
      <c r="AW25" s="40" t="s">
        <v>87</v>
      </c>
    </row>
    <row r="26" spans="1:49" s="34" customFormat="1" ht="62.4" x14ac:dyDescent="0.3">
      <c r="A26" s="39" t="s">
        <v>1975</v>
      </c>
      <c r="B26" s="36">
        <v>44924</v>
      </c>
      <c r="C26" s="37">
        <v>1688</v>
      </c>
      <c r="D26" s="37" t="s">
        <v>459</v>
      </c>
      <c r="E26" s="37" t="s">
        <v>459</v>
      </c>
      <c r="F26" s="37" t="s">
        <v>459</v>
      </c>
      <c r="G26" s="37" t="s">
        <v>459</v>
      </c>
      <c r="H26" s="37" t="s">
        <v>459</v>
      </c>
      <c r="I26" s="40" t="s">
        <v>1976</v>
      </c>
      <c r="J26" s="37" t="s">
        <v>459</v>
      </c>
      <c r="K26" s="41">
        <v>0</v>
      </c>
      <c r="L26" s="30">
        <v>0</v>
      </c>
      <c r="M26" s="30">
        <v>0</v>
      </c>
      <c r="N26" s="40"/>
      <c r="O26" s="40"/>
      <c r="P26" s="40"/>
      <c r="Q26" s="44"/>
      <c r="R26" s="37"/>
      <c r="S26" s="37"/>
      <c r="T26" s="48"/>
      <c r="U26" s="30" t="e">
        <v>#DIV/0!</v>
      </c>
      <c r="V26" s="41" t="e">
        <v>#DIV/0!</v>
      </c>
      <c r="W26" s="41">
        <v>0</v>
      </c>
      <c r="X26" s="41"/>
      <c r="Y26" s="41"/>
      <c r="Z26" s="41"/>
      <c r="AA26" s="41"/>
      <c r="AB26" s="41"/>
      <c r="AC26" s="41"/>
      <c r="AD26" s="41"/>
      <c r="AE26" s="41"/>
      <c r="AF26" s="41"/>
      <c r="AG26" s="41"/>
      <c r="AH26" s="41"/>
      <c r="AI26" s="41"/>
      <c r="AJ26" s="41"/>
      <c r="AK26" s="41"/>
      <c r="AL26" s="41"/>
      <c r="AM26" s="41"/>
      <c r="AN26" s="41" t="e">
        <v>#DIV/0!</v>
      </c>
      <c r="AO26" s="41" t="e">
        <v>#DIV/0!</v>
      </c>
      <c r="AP26" s="40"/>
      <c r="AQ26" s="36"/>
      <c r="AR26" s="36"/>
      <c r="AS26" s="36"/>
      <c r="AT26" s="36"/>
      <c r="AU26" s="36"/>
      <c r="AV26" s="38"/>
      <c r="AW26" s="40"/>
    </row>
    <row r="27" spans="1:49" ht="90.75" customHeight="1" x14ac:dyDescent="0.3">
      <c r="A27" s="35" t="s">
        <v>2453</v>
      </c>
      <c r="B27" s="38">
        <v>44977</v>
      </c>
      <c r="C27" s="40">
        <v>1688</v>
      </c>
      <c r="D27" s="39" t="s">
        <v>459</v>
      </c>
      <c r="E27" s="1" t="s">
        <v>2454</v>
      </c>
      <c r="F27" s="36" t="s">
        <v>459</v>
      </c>
      <c r="G27" s="37" t="s">
        <v>459</v>
      </c>
      <c r="H27" s="40" t="s">
        <v>459</v>
      </c>
      <c r="I27" s="40" t="s">
        <v>2455</v>
      </c>
      <c r="J27" s="57">
        <v>561544330.44000006</v>
      </c>
      <c r="K27" s="41">
        <v>0</v>
      </c>
      <c r="L27" s="30">
        <v>0</v>
      </c>
      <c r="M27" s="30">
        <v>0</v>
      </c>
      <c r="N27" s="40"/>
      <c r="O27" s="40"/>
      <c r="P27" s="40"/>
      <c r="Q27" s="44"/>
      <c r="R27" s="37"/>
      <c r="S27" s="37"/>
      <c r="T27" s="48"/>
      <c r="U27" s="30" t="e">
        <v>#DIV/0!</v>
      </c>
      <c r="V27" s="41" t="e">
        <v>#DIV/0!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c r="AN27" s="41" t="e">
        <v>#DIV/0!</v>
      </c>
      <c r="AO27" s="41" t="e">
        <v>#DIV/0!</v>
      </c>
      <c r="AP27" s="40"/>
      <c r="AQ27" s="36"/>
      <c r="AR27" s="36"/>
      <c r="AS27" s="36"/>
      <c r="AT27" s="36"/>
      <c r="AU27" s="36"/>
      <c r="AV27" s="38"/>
      <c r="AW27" s="40"/>
    </row>
    <row r="28" spans="1:49" ht="90.75" customHeight="1" x14ac:dyDescent="0.3">
      <c r="A28" s="35" t="s">
        <v>2473</v>
      </c>
      <c r="B28" s="38">
        <v>44978</v>
      </c>
      <c r="C28" s="40">
        <v>1688</v>
      </c>
      <c r="D28" s="39" t="s">
        <v>491</v>
      </c>
      <c r="E28" s="1" t="s">
        <v>2474</v>
      </c>
      <c r="F28" s="36" t="s">
        <v>491</v>
      </c>
      <c r="G28" s="37" t="s">
        <v>491</v>
      </c>
      <c r="H28" s="40" t="s">
        <v>344</v>
      </c>
      <c r="I28" s="40" t="s">
        <v>2475</v>
      </c>
      <c r="J28" s="57">
        <v>6205835185.9200001</v>
      </c>
      <c r="K28" s="41">
        <v>0</v>
      </c>
      <c r="L28" s="30">
        <v>0</v>
      </c>
      <c r="M28" s="30">
        <v>0</v>
      </c>
      <c r="N28" s="40" t="s">
        <v>2476</v>
      </c>
      <c r="O28" s="40" t="s">
        <v>2477</v>
      </c>
      <c r="P28" s="40" t="s">
        <v>2478</v>
      </c>
      <c r="Q28" s="44">
        <v>0</v>
      </c>
      <c r="R28" s="37">
        <v>100</v>
      </c>
      <c r="S28" s="37" t="s">
        <v>48</v>
      </c>
      <c r="T28" s="48">
        <v>1</v>
      </c>
      <c r="U28" s="30">
        <v>0</v>
      </c>
      <c r="V28" s="41">
        <v>0</v>
      </c>
      <c r="W28" s="41">
        <v>5454912</v>
      </c>
      <c r="X28" s="41">
        <v>2055847</v>
      </c>
      <c r="Y28" s="41">
        <v>0</v>
      </c>
      <c r="Z28" s="41">
        <v>0</v>
      </c>
      <c r="AA28" s="41">
        <v>0</v>
      </c>
      <c r="AB28" s="41">
        <v>0</v>
      </c>
      <c r="AC28" s="41">
        <v>671609</v>
      </c>
      <c r="AD28" s="41">
        <v>0</v>
      </c>
      <c r="AE28" s="41">
        <v>0</v>
      </c>
      <c r="AF28" s="41">
        <v>0</v>
      </c>
      <c r="AG28" s="41">
        <v>0</v>
      </c>
      <c r="AH28" s="41">
        <v>2727456</v>
      </c>
      <c r="AI28" s="41">
        <v>0</v>
      </c>
      <c r="AJ28" s="41">
        <v>0</v>
      </c>
      <c r="AK28" s="41">
        <v>0</v>
      </c>
      <c r="AL28" s="41">
        <v>0</v>
      </c>
      <c r="AM28" s="41"/>
      <c r="AN28" s="41">
        <v>5454912</v>
      </c>
      <c r="AO28" s="41">
        <v>5454912</v>
      </c>
      <c r="AP28" s="40"/>
      <c r="AQ28" s="36">
        <v>45107</v>
      </c>
      <c r="AR28" s="36">
        <v>45214</v>
      </c>
      <c r="AS28" s="36">
        <v>45323</v>
      </c>
      <c r="AT28" s="36">
        <v>45122</v>
      </c>
      <c r="AU28" s="36">
        <v>45229</v>
      </c>
      <c r="AV28" s="38">
        <v>45337</v>
      </c>
      <c r="AW28" s="40"/>
    </row>
    <row r="29" spans="1:49" s="34" customFormat="1" ht="88.5" customHeight="1" x14ac:dyDescent="0.3">
      <c r="A29" s="35" t="s">
        <v>2584</v>
      </c>
      <c r="B29" s="38">
        <v>44994</v>
      </c>
      <c r="C29" s="40">
        <v>1688</v>
      </c>
      <c r="D29" s="39" t="s">
        <v>459</v>
      </c>
      <c r="E29" s="1" t="s">
        <v>2585</v>
      </c>
      <c r="F29" s="36" t="s">
        <v>459</v>
      </c>
      <c r="G29" s="37" t="s">
        <v>459</v>
      </c>
      <c r="H29" s="40" t="s">
        <v>459</v>
      </c>
      <c r="I29" s="40" t="s">
        <v>2586</v>
      </c>
      <c r="J29" s="57">
        <v>21120000</v>
      </c>
      <c r="K29" s="41">
        <v>0</v>
      </c>
      <c r="L29" s="30">
        <v>0</v>
      </c>
      <c r="M29" s="30">
        <v>0</v>
      </c>
      <c r="N29" s="40"/>
      <c r="O29" s="40"/>
      <c r="P29" s="40"/>
      <c r="Q29" s="44"/>
      <c r="R29" s="37"/>
      <c r="S29" s="37"/>
      <c r="T29" s="48"/>
      <c r="U29" s="30" t="e">
        <v>#DIV/0!</v>
      </c>
      <c r="V29" s="41" t="e">
        <v>#DIV/0!</v>
      </c>
      <c r="W29" s="41">
        <v>0</v>
      </c>
      <c r="X29" s="41">
        <v>0</v>
      </c>
      <c r="Y29" s="41">
        <v>0</v>
      </c>
      <c r="Z29" s="41">
        <v>0</v>
      </c>
      <c r="AA29" s="41">
        <v>0</v>
      </c>
      <c r="AB29" s="41">
        <v>0</v>
      </c>
      <c r="AC29" s="41">
        <v>0</v>
      </c>
      <c r="AD29" s="41">
        <v>0</v>
      </c>
      <c r="AE29" s="41">
        <v>0</v>
      </c>
      <c r="AF29" s="41">
        <v>0</v>
      </c>
      <c r="AG29" s="41">
        <v>0</v>
      </c>
      <c r="AH29" s="41">
        <v>0</v>
      </c>
      <c r="AI29" s="41">
        <v>0</v>
      </c>
      <c r="AJ29" s="41">
        <v>0</v>
      </c>
      <c r="AK29" s="41">
        <v>0</v>
      </c>
      <c r="AL29" s="41">
        <v>0</v>
      </c>
      <c r="AM29" s="41"/>
      <c r="AN29" s="41" t="e">
        <v>#DIV/0!</v>
      </c>
      <c r="AO29" s="41" t="e">
        <v>#DIV/0!</v>
      </c>
      <c r="AP29" s="40"/>
      <c r="AQ29" s="36"/>
      <c r="AR29" s="36"/>
      <c r="AS29" s="36"/>
      <c r="AT29" s="36"/>
      <c r="AU29" s="36"/>
      <c r="AV29" s="38"/>
      <c r="AW29" s="40"/>
    </row>
    <row r="30" spans="1:49" s="34" customFormat="1" ht="66" customHeight="1" x14ac:dyDescent="0.3">
      <c r="A30" s="35" t="s">
        <v>2748</v>
      </c>
      <c r="B30" s="38">
        <v>45014</v>
      </c>
      <c r="C30" s="40">
        <v>1688</v>
      </c>
      <c r="D30" s="39" t="s">
        <v>491</v>
      </c>
      <c r="E30" s="1" t="s">
        <v>2749</v>
      </c>
      <c r="F30" s="36" t="s">
        <v>491</v>
      </c>
      <c r="G30" s="37" t="s">
        <v>491</v>
      </c>
      <c r="H30" s="40" t="s">
        <v>491</v>
      </c>
      <c r="I30" s="40" t="s">
        <v>2455</v>
      </c>
      <c r="J30" s="57">
        <v>824953105.5</v>
      </c>
      <c r="K30" s="41">
        <v>0</v>
      </c>
      <c r="L30" s="30">
        <v>0</v>
      </c>
      <c r="M30" s="30">
        <v>0</v>
      </c>
      <c r="N30" s="40"/>
      <c r="O30" s="40"/>
      <c r="P30" s="40"/>
      <c r="Q30" s="44"/>
      <c r="R30" s="37"/>
      <c r="S30" s="37"/>
      <c r="T30" s="48"/>
      <c r="U30" s="30" t="e">
        <v>#DIV/0!</v>
      </c>
      <c r="V30" s="41" t="e">
        <v>#DIV/0!</v>
      </c>
      <c r="W30" s="41">
        <v>0</v>
      </c>
      <c r="X30" s="41">
        <v>0</v>
      </c>
      <c r="Y30" s="41">
        <v>0</v>
      </c>
      <c r="Z30" s="41">
        <v>0</v>
      </c>
      <c r="AA30" s="41">
        <v>0</v>
      </c>
      <c r="AB30" s="41">
        <v>0</v>
      </c>
      <c r="AC30" s="41">
        <v>0</v>
      </c>
      <c r="AD30" s="41">
        <v>0</v>
      </c>
      <c r="AE30" s="41">
        <v>0</v>
      </c>
      <c r="AF30" s="41">
        <v>0</v>
      </c>
      <c r="AG30" s="41">
        <v>0</v>
      </c>
      <c r="AH30" s="41">
        <v>0</v>
      </c>
      <c r="AI30" s="41">
        <v>0</v>
      </c>
      <c r="AJ30" s="41">
        <v>0</v>
      </c>
      <c r="AK30" s="41">
        <v>0</v>
      </c>
      <c r="AL30" s="41">
        <v>0</v>
      </c>
      <c r="AM30" s="41"/>
      <c r="AN30" s="41" t="e">
        <v>#DIV/0!</v>
      </c>
      <c r="AO30" s="41" t="e">
        <v>#DIV/0!</v>
      </c>
      <c r="AP30" s="40"/>
      <c r="AQ30" s="36">
        <v>45184</v>
      </c>
      <c r="AR30" s="36">
        <v>45275</v>
      </c>
      <c r="AS30" s="36"/>
      <c r="AT30" s="36"/>
      <c r="AU30" s="36"/>
      <c r="AV30" s="38"/>
      <c r="AW30" s="40"/>
    </row>
    <row r="31" spans="1:49" s="34" customFormat="1" ht="66" customHeight="1" x14ac:dyDescent="0.3">
      <c r="A31" s="35" t="s">
        <v>2774</v>
      </c>
      <c r="B31" s="38">
        <v>45027</v>
      </c>
      <c r="C31" s="40">
        <v>1688</v>
      </c>
      <c r="D31" s="39" t="s">
        <v>459</v>
      </c>
      <c r="E31" s="1" t="s">
        <v>2775</v>
      </c>
      <c r="F31" s="36" t="s">
        <v>459</v>
      </c>
      <c r="G31" s="37" t="s">
        <v>459</v>
      </c>
      <c r="H31" s="40" t="s">
        <v>459</v>
      </c>
      <c r="I31" s="40" t="s">
        <v>2776</v>
      </c>
      <c r="J31" s="57">
        <v>824953105.5</v>
      </c>
      <c r="K31" s="41">
        <v>0</v>
      </c>
      <c r="L31" s="30">
        <v>0</v>
      </c>
      <c r="M31" s="30">
        <v>0</v>
      </c>
      <c r="N31" s="40"/>
      <c r="O31" s="40"/>
      <c r="P31" s="40"/>
      <c r="Q31" s="44"/>
      <c r="R31" s="37"/>
      <c r="S31" s="37"/>
      <c r="T31" s="48"/>
      <c r="U31" s="30" t="e">
        <v>#DIV/0!</v>
      </c>
      <c r="V31" s="41" t="e">
        <v>#DIV/0!</v>
      </c>
      <c r="W31" s="41">
        <v>0</v>
      </c>
      <c r="X31" s="41">
        <v>0</v>
      </c>
      <c r="Y31" s="41">
        <v>0</v>
      </c>
      <c r="Z31" s="41">
        <v>0</v>
      </c>
      <c r="AA31" s="41">
        <v>0</v>
      </c>
      <c r="AB31" s="41">
        <v>0</v>
      </c>
      <c r="AC31" s="41">
        <v>0</v>
      </c>
      <c r="AD31" s="41">
        <v>0</v>
      </c>
      <c r="AE31" s="41">
        <v>0</v>
      </c>
      <c r="AF31" s="41">
        <v>0</v>
      </c>
      <c r="AG31" s="41">
        <v>0</v>
      </c>
      <c r="AH31" s="41">
        <v>0</v>
      </c>
      <c r="AI31" s="41">
        <v>0</v>
      </c>
      <c r="AJ31" s="41">
        <v>0</v>
      </c>
      <c r="AK31" s="41">
        <v>0</v>
      </c>
      <c r="AL31" s="41">
        <v>0</v>
      </c>
      <c r="AM31" s="41"/>
      <c r="AN31" s="41" t="e">
        <v>#DIV/0!</v>
      </c>
      <c r="AO31" s="41" t="e">
        <v>#DIV/0!</v>
      </c>
      <c r="AP31" s="40"/>
      <c r="AQ31" s="36">
        <v>45184</v>
      </c>
      <c r="AR31" s="36">
        <v>45275</v>
      </c>
      <c r="AS31" s="36"/>
      <c r="AT31" s="36"/>
      <c r="AU31" s="36"/>
      <c r="AV31" s="38"/>
      <c r="AW31" s="40"/>
    </row>
    <row r="32" spans="1:49" s="34" customFormat="1" ht="93.6" x14ac:dyDescent="0.3">
      <c r="A32" s="35" t="s">
        <v>2925</v>
      </c>
      <c r="B32" s="36">
        <v>45036</v>
      </c>
      <c r="C32" s="37">
        <v>1688</v>
      </c>
      <c r="D32" s="39" t="s">
        <v>2926</v>
      </c>
      <c r="E32" s="1" t="s">
        <v>2927</v>
      </c>
      <c r="F32" s="36">
        <v>45058</v>
      </c>
      <c r="G32" s="37" t="s">
        <v>2928</v>
      </c>
      <c r="H32" s="40" t="s">
        <v>2929</v>
      </c>
      <c r="I32" s="40" t="s">
        <v>2930</v>
      </c>
      <c r="J32" s="41">
        <v>51605550.780000001</v>
      </c>
      <c r="K32" s="41">
        <v>51605550.780000001</v>
      </c>
      <c r="L32" s="30">
        <v>52230232.579999998</v>
      </c>
      <c r="M32" s="30">
        <v>52230232.579999998</v>
      </c>
      <c r="N32" s="40" t="s">
        <v>2931</v>
      </c>
      <c r="O32" s="40" t="s">
        <v>2932</v>
      </c>
      <c r="P32" s="40" t="s">
        <v>47</v>
      </c>
      <c r="Q32" s="44">
        <v>100</v>
      </c>
      <c r="R32" s="37">
        <v>0</v>
      </c>
      <c r="S32" s="37" t="s">
        <v>48</v>
      </c>
      <c r="T32" s="48">
        <v>100</v>
      </c>
      <c r="U32" s="30">
        <v>15.201816112689109</v>
      </c>
      <c r="V32" s="41">
        <v>1520.181611268911</v>
      </c>
      <c r="W32" s="41">
        <v>3435789</v>
      </c>
      <c r="X32" s="41">
        <v>3477379</v>
      </c>
      <c r="Y32" s="41">
        <v>0</v>
      </c>
      <c r="Z32" s="41">
        <v>0</v>
      </c>
      <c r="AA32" s="41">
        <v>0</v>
      </c>
      <c r="AB32" s="41">
        <v>0</v>
      </c>
      <c r="AC32" s="41">
        <v>0</v>
      </c>
      <c r="AD32" s="41">
        <v>0</v>
      </c>
      <c r="AE32" s="41">
        <v>0</v>
      </c>
      <c r="AF32" s="41">
        <v>0</v>
      </c>
      <c r="AG32" s="41">
        <v>0</v>
      </c>
      <c r="AH32" s="41">
        <v>0</v>
      </c>
      <c r="AI32" s="41">
        <v>0</v>
      </c>
      <c r="AJ32" s="41">
        <v>0</v>
      </c>
      <c r="AK32" s="41">
        <v>0</v>
      </c>
      <c r="AL32" s="41">
        <v>0</v>
      </c>
      <c r="AM32" s="41">
        <v>0</v>
      </c>
      <c r="AN32" s="41">
        <v>34357.89</v>
      </c>
      <c r="AO32" s="41">
        <v>34358</v>
      </c>
      <c r="AP32" s="40"/>
      <c r="AQ32" s="36">
        <v>45200</v>
      </c>
      <c r="AR32" s="36"/>
      <c r="AS32" s="36"/>
      <c r="AT32" s="36">
        <v>45214</v>
      </c>
      <c r="AU32" s="36"/>
      <c r="AV32" s="38"/>
      <c r="AW32" s="40" t="s">
        <v>49</v>
      </c>
    </row>
    <row r="33" spans="1:49" s="34" customFormat="1" ht="49.5" customHeight="1" x14ac:dyDescent="0.3">
      <c r="A33" s="35" t="s">
        <v>3082</v>
      </c>
      <c r="B33" s="36">
        <v>45044</v>
      </c>
      <c r="C33" s="37">
        <v>1688</v>
      </c>
      <c r="D33" s="39" t="s">
        <v>3083</v>
      </c>
      <c r="E33" s="1" t="s">
        <v>3084</v>
      </c>
      <c r="F33" s="36">
        <v>45072</v>
      </c>
      <c r="G33" s="37" t="s">
        <v>3085</v>
      </c>
      <c r="H33" s="40" t="s">
        <v>344</v>
      </c>
      <c r="I33" s="40" t="s">
        <v>3086</v>
      </c>
      <c r="J33" s="41">
        <v>6205835185.9200001</v>
      </c>
      <c r="K33" s="41">
        <v>3102917592.96</v>
      </c>
      <c r="L33" s="30">
        <v>3102917592.96</v>
      </c>
      <c r="M33" s="30">
        <v>6205835185.9200001</v>
      </c>
      <c r="N33" s="40" t="s">
        <v>3087</v>
      </c>
      <c r="O33" s="40" t="s">
        <v>3088</v>
      </c>
      <c r="P33" s="40" t="s">
        <v>2478</v>
      </c>
      <c r="Q33" s="44">
        <v>0</v>
      </c>
      <c r="R33" s="37">
        <v>100</v>
      </c>
      <c r="S33" s="37" t="s">
        <v>48</v>
      </c>
      <c r="T33" s="48">
        <v>1</v>
      </c>
      <c r="U33" s="30">
        <v>1137.6600000000001</v>
      </c>
      <c r="V33" s="41">
        <v>1137.6600000000001</v>
      </c>
      <c r="W33" s="41">
        <v>5454912</v>
      </c>
      <c r="X33" s="41">
        <v>2055847</v>
      </c>
      <c r="Y33" s="41">
        <v>0</v>
      </c>
      <c r="Z33" s="41">
        <v>0</v>
      </c>
      <c r="AA33" s="41">
        <v>0</v>
      </c>
      <c r="AB33" s="41">
        <v>0</v>
      </c>
      <c r="AC33" s="41">
        <v>671609</v>
      </c>
      <c r="AD33" s="41">
        <v>0</v>
      </c>
      <c r="AE33" s="41">
        <v>0</v>
      </c>
      <c r="AF33" s="41">
        <v>0</v>
      </c>
      <c r="AG33" s="41">
        <v>0</v>
      </c>
      <c r="AH33" s="41">
        <v>2727456</v>
      </c>
      <c r="AI33" s="41">
        <v>0</v>
      </c>
      <c r="AJ33" s="41">
        <v>0</v>
      </c>
      <c r="AK33" s="41">
        <v>0</v>
      </c>
      <c r="AL33" s="41">
        <v>0</v>
      </c>
      <c r="AM33" s="41">
        <v>0</v>
      </c>
      <c r="AN33" s="41">
        <v>5454912</v>
      </c>
      <c r="AO33" s="41">
        <v>5454912</v>
      </c>
      <c r="AP33" s="40"/>
      <c r="AQ33" s="36">
        <v>45107</v>
      </c>
      <c r="AR33" s="36">
        <v>45214</v>
      </c>
      <c r="AS33" s="36">
        <v>45323</v>
      </c>
      <c r="AT33" s="36">
        <v>45122</v>
      </c>
      <c r="AU33" s="36">
        <v>45229</v>
      </c>
      <c r="AV33" s="38">
        <v>45337</v>
      </c>
      <c r="AW33" s="40" t="s">
        <v>49</v>
      </c>
    </row>
    <row r="34" spans="1:49" ht="62.25" customHeight="1" x14ac:dyDescent="0.3">
      <c r="A34" s="35" t="s">
        <v>3320</v>
      </c>
      <c r="B34" s="38">
        <v>45075</v>
      </c>
      <c r="C34" s="40">
        <v>1688</v>
      </c>
      <c r="D34" s="39" t="s">
        <v>3321</v>
      </c>
      <c r="E34" s="1" t="s">
        <v>3322</v>
      </c>
      <c r="F34" s="36">
        <v>45103</v>
      </c>
      <c r="G34" s="35" t="s">
        <v>3323</v>
      </c>
      <c r="H34" s="40" t="s">
        <v>344</v>
      </c>
      <c r="I34" s="40" t="s">
        <v>3324</v>
      </c>
      <c r="J34" s="57">
        <v>1775690692.3199999</v>
      </c>
      <c r="K34" s="41">
        <v>1669137854.76</v>
      </c>
      <c r="L34" s="30">
        <v>1775690694.1800001</v>
      </c>
      <c r="M34" s="30">
        <v>1775690694.1800001</v>
      </c>
      <c r="N34" s="40" t="s">
        <v>1957</v>
      </c>
      <c r="O34" s="40" t="s">
        <v>3325</v>
      </c>
      <c r="P34" s="40" t="s">
        <v>47</v>
      </c>
      <c r="Q34" s="44">
        <v>100</v>
      </c>
      <c r="R34" s="37">
        <v>0</v>
      </c>
      <c r="S34" s="37" t="s">
        <v>48</v>
      </c>
      <c r="T34" s="48">
        <v>1</v>
      </c>
      <c r="U34" s="30">
        <v>1406.080000001647</v>
      </c>
      <c r="V34" s="41">
        <v>1406.080000001647</v>
      </c>
      <c r="W34" s="41">
        <v>1262866.0490000001</v>
      </c>
      <c r="X34" s="41">
        <v>270000</v>
      </c>
      <c r="Y34" s="41">
        <v>0</v>
      </c>
      <c r="Z34" s="41">
        <v>0</v>
      </c>
      <c r="AA34" s="41">
        <v>0</v>
      </c>
      <c r="AB34" s="41">
        <v>0</v>
      </c>
      <c r="AC34" s="41">
        <v>404932</v>
      </c>
      <c r="AD34" s="41">
        <v>0</v>
      </c>
      <c r="AE34" s="41">
        <v>0</v>
      </c>
      <c r="AF34" s="41">
        <v>0</v>
      </c>
      <c r="AG34" s="41">
        <v>0</v>
      </c>
      <c r="AH34" s="41">
        <v>587934.049</v>
      </c>
      <c r="AI34" s="41">
        <v>0</v>
      </c>
      <c r="AJ34" s="41">
        <v>0</v>
      </c>
      <c r="AK34" s="41">
        <v>0</v>
      </c>
      <c r="AL34" s="41">
        <v>0</v>
      </c>
      <c r="AM34" s="41">
        <v>0</v>
      </c>
      <c r="AN34" s="41">
        <v>1262866.0490000001</v>
      </c>
      <c r="AO34" s="41">
        <v>1262867</v>
      </c>
      <c r="AP34" s="40"/>
      <c r="AQ34" s="36">
        <v>45127</v>
      </c>
      <c r="AR34" s="36">
        <v>45158</v>
      </c>
      <c r="AS34" s="36">
        <v>45260</v>
      </c>
      <c r="AT34" s="36">
        <v>45143</v>
      </c>
      <c r="AU34" s="36">
        <v>45174</v>
      </c>
      <c r="AV34" s="38">
        <v>45275</v>
      </c>
      <c r="AW34" s="40" t="s">
        <v>49</v>
      </c>
    </row>
    <row r="35" spans="1:49" ht="45.6" customHeight="1" x14ac:dyDescent="0.3">
      <c r="A35" s="35" t="s">
        <v>3337</v>
      </c>
      <c r="B35" s="38">
        <v>45079</v>
      </c>
      <c r="C35" s="40">
        <v>1688</v>
      </c>
      <c r="D35" s="39" t="s">
        <v>3338</v>
      </c>
      <c r="E35" s="1" t="s">
        <v>3339</v>
      </c>
      <c r="F35" s="36">
        <v>45110</v>
      </c>
      <c r="G35" s="35" t="s">
        <v>3340</v>
      </c>
      <c r="H35" s="40" t="s">
        <v>344</v>
      </c>
      <c r="I35" s="40" t="s">
        <v>3341</v>
      </c>
      <c r="J35" s="57">
        <v>824953105.5</v>
      </c>
      <c r="K35" s="41">
        <v>824953105.5</v>
      </c>
      <c r="L35" s="30">
        <v>824953105.5</v>
      </c>
      <c r="M35" s="30">
        <v>824953105.5</v>
      </c>
      <c r="N35" s="40" t="s">
        <v>3342</v>
      </c>
      <c r="O35" s="40" t="s">
        <v>3343</v>
      </c>
      <c r="P35" s="40" t="s">
        <v>47</v>
      </c>
      <c r="Q35" s="44">
        <v>100</v>
      </c>
      <c r="R35" s="37">
        <v>0</v>
      </c>
      <c r="S35" s="37" t="s">
        <v>48</v>
      </c>
      <c r="T35" s="48">
        <v>10</v>
      </c>
      <c r="U35" s="30">
        <v>429.5</v>
      </c>
      <c r="V35" s="41">
        <v>4295</v>
      </c>
      <c r="W35" s="41">
        <v>1920729</v>
      </c>
      <c r="X35" s="41">
        <v>850000</v>
      </c>
      <c r="Y35" s="41">
        <v>0</v>
      </c>
      <c r="Z35" s="41" t="e">
        <v>#DIV/0!</v>
      </c>
      <c r="AA35" s="41">
        <v>0</v>
      </c>
      <c r="AB35" s="41" t="e">
        <v>#DIV/0!</v>
      </c>
      <c r="AC35" s="41">
        <v>1070729</v>
      </c>
      <c r="AD35" s="41">
        <v>0</v>
      </c>
      <c r="AE35" s="41" t="e">
        <v>#DIV/0!</v>
      </c>
      <c r="AF35" s="41">
        <v>0</v>
      </c>
      <c r="AG35" s="41" t="e">
        <v>#DIV/0!</v>
      </c>
      <c r="AH35" s="41">
        <v>0</v>
      </c>
      <c r="AI35" s="41">
        <v>0</v>
      </c>
      <c r="AJ35" s="41">
        <v>0</v>
      </c>
      <c r="AK35" s="41">
        <v>0</v>
      </c>
      <c r="AL35" s="41">
        <v>0</v>
      </c>
      <c r="AM35" s="41" t="e">
        <v>#DIV/0!</v>
      </c>
      <c r="AN35" s="41">
        <v>192072.9</v>
      </c>
      <c r="AO35" s="41">
        <v>192073</v>
      </c>
      <c r="AP35" s="40"/>
      <c r="AQ35" s="36">
        <v>45184</v>
      </c>
      <c r="AR35" s="36">
        <v>45275</v>
      </c>
      <c r="AS35" s="36"/>
      <c r="AT35" s="36">
        <v>45199</v>
      </c>
      <c r="AU35" s="36">
        <v>45285</v>
      </c>
      <c r="AV35" s="38"/>
      <c r="AW35" s="40" t="s">
        <v>49</v>
      </c>
    </row>
    <row r="36" spans="1:49" s="34" customFormat="1" ht="45" customHeight="1" x14ac:dyDescent="0.3">
      <c r="A36" s="35" t="s">
        <v>3472</v>
      </c>
      <c r="B36" s="38">
        <v>45091</v>
      </c>
      <c r="C36" s="40">
        <v>1688</v>
      </c>
      <c r="D36" s="39" t="s">
        <v>3473</v>
      </c>
      <c r="E36" s="1" t="s">
        <v>3474</v>
      </c>
      <c r="F36" s="36">
        <v>45111</v>
      </c>
      <c r="G36" s="37" t="s">
        <v>3475</v>
      </c>
      <c r="H36" s="40" t="s">
        <v>3476</v>
      </c>
      <c r="I36" s="40" t="s">
        <v>3477</v>
      </c>
      <c r="J36" s="57">
        <v>21120000</v>
      </c>
      <c r="K36" s="41">
        <v>21120000</v>
      </c>
      <c r="L36" s="30">
        <v>21120000</v>
      </c>
      <c r="M36" s="30">
        <v>21120000</v>
      </c>
      <c r="N36" s="40" t="s">
        <v>3478</v>
      </c>
      <c r="O36" s="40" t="s">
        <v>3479</v>
      </c>
      <c r="P36" s="40" t="s">
        <v>47</v>
      </c>
      <c r="Q36" s="44">
        <v>100</v>
      </c>
      <c r="R36" s="37">
        <v>0</v>
      </c>
      <c r="S36" s="37" t="s">
        <v>48</v>
      </c>
      <c r="T36" s="48">
        <v>5</v>
      </c>
      <c r="U36" s="30">
        <v>176</v>
      </c>
      <c r="V36" s="41">
        <v>880</v>
      </c>
      <c r="W36" s="41">
        <v>120000</v>
      </c>
      <c r="X36" s="41">
        <v>120000</v>
      </c>
      <c r="Y36" s="41">
        <v>0</v>
      </c>
      <c r="Z36" s="41">
        <v>0</v>
      </c>
      <c r="AA36" s="41">
        <v>0</v>
      </c>
      <c r="AB36" s="41">
        <v>0</v>
      </c>
      <c r="AC36" s="41">
        <v>0</v>
      </c>
      <c r="AD36" s="41">
        <v>0</v>
      </c>
      <c r="AE36" s="41">
        <v>0</v>
      </c>
      <c r="AF36" s="41">
        <v>0</v>
      </c>
      <c r="AG36" s="41">
        <v>0</v>
      </c>
      <c r="AH36" s="41">
        <v>0</v>
      </c>
      <c r="AI36" s="41">
        <v>0</v>
      </c>
      <c r="AJ36" s="41">
        <v>0</v>
      </c>
      <c r="AK36" s="41">
        <v>0</v>
      </c>
      <c r="AL36" s="41">
        <v>0</v>
      </c>
      <c r="AM36" s="41">
        <v>0</v>
      </c>
      <c r="AN36" s="41">
        <v>24000</v>
      </c>
      <c r="AO36" s="41">
        <v>24000</v>
      </c>
      <c r="AP36" s="40"/>
      <c r="AQ36" s="36">
        <v>45261</v>
      </c>
      <c r="AR36" s="36"/>
      <c r="AS36" s="36"/>
      <c r="AT36" s="36">
        <v>45275</v>
      </c>
      <c r="AU36" s="36"/>
      <c r="AV36" s="38"/>
      <c r="AW36" s="40" t="s">
        <v>49</v>
      </c>
    </row>
    <row r="37" spans="1:49" s="34" customFormat="1" ht="15.75" customHeight="1" x14ac:dyDescent="0.3">
      <c r="A37" s="35"/>
      <c r="B37" s="36"/>
      <c r="C37" s="37"/>
      <c r="D37" s="39"/>
      <c r="E37" s="40"/>
      <c r="F37" s="36"/>
      <c r="G37" s="37"/>
      <c r="H37" s="40"/>
      <c r="I37" s="40"/>
      <c r="J37" s="41"/>
      <c r="K37" s="41">
        <v>0</v>
      </c>
      <c r="L37" s="30">
        <f t="shared" ref="L19:M59" si="0">K37</f>
        <v>0</v>
      </c>
      <c r="M37" s="30">
        <f t="shared" si="0"/>
        <v>0</v>
      </c>
      <c r="N37" s="40"/>
      <c r="O37" s="40"/>
      <c r="P37" s="40"/>
      <c r="Q37" s="44"/>
      <c r="R37" s="37"/>
      <c r="S37" s="37"/>
      <c r="T37" s="48"/>
      <c r="U37" s="30" t="e">
        <f>M37/W37</f>
        <v>#DIV/0!</v>
      </c>
      <c r="V37" s="41" t="e">
        <f t="shared" ref="V3:V49" si="1">U37*T37</f>
        <v>#DIV/0!</v>
      </c>
      <c r="W37" s="41">
        <f t="shared" ref="W3:W49" si="2">X37+AC37+AH37</f>
        <v>0</v>
      </c>
      <c r="X37" s="41">
        <f t="shared" ref="X3:X49" si="3">Y37+AA37</f>
        <v>0</v>
      </c>
      <c r="Y37" s="41">
        <v>0</v>
      </c>
      <c r="Z37" s="41" t="e">
        <f t="shared" ref="Z3:Z49" si="4">Y37*U37</f>
        <v>#DIV/0!</v>
      </c>
      <c r="AA37" s="41">
        <v>0</v>
      </c>
      <c r="AB37" s="41" t="e">
        <f t="shared" ref="AB3:AB49" si="5">AA37*U37</f>
        <v>#DIV/0!</v>
      </c>
      <c r="AC37" s="41">
        <f t="shared" ref="AC3:AC49" si="6">AD37+AF37</f>
        <v>0</v>
      </c>
      <c r="AD37" s="41">
        <v>0</v>
      </c>
      <c r="AE37" s="41" t="e">
        <f t="shared" ref="AE3:AE49" si="7">AD37*U37</f>
        <v>#DIV/0!</v>
      </c>
      <c r="AF37" s="41">
        <v>0</v>
      </c>
      <c r="AG37" s="41" t="e">
        <f t="shared" ref="AG3:AG49" si="8">AF37*U37</f>
        <v>#DIV/0!</v>
      </c>
      <c r="AH37" s="41">
        <f t="shared" ref="AH3:AH49" si="9">AI37+AK37</f>
        <v>0</v>
      </c>
      <c r="AI37" s="41">
        <v>0</v>
      </c>
      <c r="AJ37" s="41">
        <v>0</v>
      </c>
      <c r="AK37" s="41">
        <v>0</v>
      </c>
      <c r="AL37" s="41">
        <v>0</v>
      </c>
      <c r="AM37" s="41" t="e">
        <f t="shared" ref="AM3:AM49" si="10">Z37+AE37+AJ37</f>
        <v>#DIV/0!</v>
      </c>
      <c r="AN37" s="41" t="e">
        <f t="shared" ref="AN3:AN49" si="11">W37/T37</f>
        <v>#DIV/0!</v>
      </c>
      <c r="AO37" s="41" t="e">
        <f t="shared" ref="AO3:AO49" si="12">_xlfn.CEILING.MATH(AN37)</f>
        <v>#DIV/0!</v>
      </c>
      <c r="AP37" s="40"/>
      <c r="AQ37" s="36"/>
      <c r="AR37" s="36"/>
      <c r="AS37" s="36"/>
      <c r="AT37" s="36"/>
      <c r="AU37" s="36"/>
      <c r="AV37" s="38"/>
      <c r="AW37" s="40"/>
    </row>
    <row r="38" spans="1:49" s="34" customFormat="1" ht="15.75" customHeight="1" x14ac:dyDescent="0.3">
      <c r="A38" s="35"/>
      <c r="B38" s="36"/>
      <c r="C38" s="37"/>
      <c r="D38" s="39"/>
      <c r="E38" s="40"/>
      <c r="F38" s="36"/>
      <c r="G38" s="37"/>
      <c r="H38" s="40"/>
      <c r="I38" s="40"/>
      <c r="J38" s="41"/>
      <c r="K38" s="41">
        <v>0</v>
      </c>
      <c r="L38" s="30">
        <f t="shared" si="0"/>
        <v>0</v>
      </c>
      <c r="M38" s="30">
        <f t="shared" si="0"/>
        <v>0</v>
      </c>
      <c r="N38" s="40"/>
      <c r="O38" s="40"/>
      <c r="P38" s="40"/>
      <c r="Q38" s="44"/>
      <c r="R38" s="37"/>
      <c r="S38" s="37"/>
      <c r="T38" s="48"/>
      <c r="U38" s="30" t="e">
        <f>M38/W38</f>
        <v>#DIV/0!</v>
      </c>
      <c r="V38" s="41" t="e">
        <f t="shared" si="1"/>
        <v>#DIV/0!</v>
      </c>
      <c r="W38" s="41">
        <f t="shared" si="2"/>
        <v>0</v>
      </c>
      <c r="X38" s="41">
        <f t="shared" si="3"/>
        <v>0</v>
      </c>
      <c r="Y38" s="41">
        <v>0</v>
      </c>
      <c r="Z38" s="41" t="e">
        <f t="shared" si="4"/>
        <v>#DIV/0!</v>
      </c>
      <c r="AA38" s="41">
        <v>0</v>
      </c>
      <c r="AB38" s="41" t="e">
        <f t="shared" si="5"/>
        <v>#DIV/0!</v>
      </c>
      <c r="AC38" s="41">
        <f t="shared" si="6"/>
        <v>0</v>
      </c>
      <c r="AD38" s="41">
        <v>0</v>
      </c>
      <c r="AE38" s="41" t="e">
        <f t="shared" si="7"/>
        <v>#DIV/0!</v>
      </c>
      <c r="AF38" s="41">
        <v>0</v>
      </c>
      <c r="AG38" s="41" t="e">
        <f t="shared" si="8"/>
        <v>#DIV/0!</v>
      </c>
      <c r="AH38" s="41">
        <f t="shared" si="9"/>
        <v>0</v>
      </c>
      <c r="AI38" s="41">
        <v>0</v>
      </c>
      <c r="AJ38" s="41">
        <v>0</v>
      </c>
      <c r="AK38" s="41">
        <v>0</v>
      </c>
      <c r="AL38" s="41">
        <v>0</v>
      </c>
      <c r="AM38" s="41" t="e">
        <f t="shared" si="10"/>
        <v>#DIV/0!</v>
      </c>
      <c r="AN38" s="41" t="e">
        <f t="shared" si="11"/>
        <v>#DIV/0!</v>
      </c>
      <c r="AO38" s="41" t="e">
        <f t="shared" si="12"/>
        <v>#DIV/0!</v>
      </c>
      <c r="AP38" s="40"/>
      <c r="AQ38" s="36"/>
      <c r="AR38" s="36"/>
      <c r="AS38" s="36"/>
      <c r="AT38" s="36"/>
      <c r="AU38" s="36"/>
      <c r="AV38" s="38"/>
      <c r="AW38" s="40"/>
    </row>
    <row r="39" spans="1:49" s="34" customFormat="1" ht="15.75" customHeight="1" x14ac:dyDescent="0.3">
      <c r="A39" s="35"/>
      <c r="B39" s="36"/>
      <c r="C39" s="37"/>
      <c r="D39" s="39"/>
      <c r="E39" s="40"/>
      <c r="F39" s="36"/>
      <c r="G39" s="37"/>
      <c r="H39" s="40"/>
      <c r="I39" s="40"/>
      <c r="J39" s="41"/>
      <c r="K39" s="41">
        <v>0</v>
      </c>
      <c r="L39" s="30">
        <f t="shared" si="0"/>
        <v>0</v>
      </c>
      <c r="M39" s="30">
        <f t="shared" si="0"/>
        <v>0</v>
      </c>
      <c r="N39" s="40"/>
      <c r="O39" s="40"/>
      <c r="P39" s="40"/>
      <c r="Q39" s="44"/>
      <c r="R39" s="37"/>
      <c r="S39" s="37"/>
      <c r="T39" s="48"/>
      <c r="U39" s="30" t="e">
        <f>M39/W39</f>
        <v>#DIV/0!</v>
      </c>
      <c r="V39" s="41" t="e">
        <f t="shared" si="1"/>
        <v>#DIV/0!</v>
      </c>
      <c r="W39" s="41">
        <f t="shared" si="2"/>
        <v>0</v>
      </c>
      <c r="X39" s="41">
        <f t="shared" si="3"/>
        <v>0</v>
      </c>
      <c r="Y39" s="41">
        <v>0</v>
      </c>
      <c r="Z39" s="41" t="e">
        <f t="shared" si="4"/>
        <v>#DIV/0!</v>
      </c>
      <c r="AA39" s="41">
        <v>0</v>
      </c>
      <c r="AB39" s="41" t="e">
        <f t="shared" si="5"/>
        <v>#DIV/0!</v>
      </c>
      <c r="AC39" s="41">
        <f t="shared" si="6"/>
        <v>0</v>
      </c>
      <c r="AD39" s="41">
        <v>0</v>
      </c>
      <c r="AE39" s="41" t="e">
        <f t="shared" si="7"/>
        <v>#DIV/0!</v>
      </c>
      <c r="AF39" s="41">
        <v>0</v>
      </c>
      <c r="AG39" s="41" t="e">
        <f t="shared" si="8"/>
        <v>#DIV/0!</v>
      </c>
      <c r="AH39" s="41">
        <f t="shared" si="9"/>
        <v>0</v>
      </c>
      <c r="AI39" s="41">
        <v>0</v>
      </c>
      <c r="AJ39" s="41">
        <v>0</v>
      </c>
      <c r="AK39" s="41">
        <v>0</v>
      </c>
      <c r="AL39" s="41">
        <v>0</v>
      </c>
      <c r="AM39" s="41" t="e">
        <f t="shared" si="10"/>
        <v>#DIV/0!</v>
      </c>
      <c r="AN39" s="41" t="e">
        <f t="shared" si="11"/>
        <v>#DIV/0!</v>
      </c>
      <c r="AO39" s="41" t="e">
        <f t="shared" si="12"/>
        <v>#DIV/0!</v>
      </c>
      <c r="AP39" s="40"/>
      <c r="AQ39" s="36"/>
      <c r="AR39" s="36"/>
      <c r="AS39" s="36"/>
      <c r="AT39" s="36"/>
      <c r="AU39" s="36"/>
      <c r="AV39" s="38"/>
      <c r="AW39" s="40"/>
    </row>
    <row r="40" spans="1:49" s="34" customFormat="1" ht="15.75" customHeight="1" x14ac:dyDescent="0.3">
      <c r="A40" s="35"/>
      <c r="B40" s="36"/>
      <c r="C40" s="37"/>
      <c r="D40" s="39"/>
      <c r="E40" s="40"/>
      <c r="F40" s="36"/>
      <c r="G40" s="37"/>
      <c r="H40" s="40"/>
      <c r="I40" s="40"/>
      <c r="J40" s="41"/>
      <c r="K40" s="41">
        <v>0</v>
      </c>
      <c r="L40" s="30">
        <f t="shared" si="0"/>
        <v>0</v>
      </c>
      <c r="M40" s="30">
        <f t="shared" si="0"/>
        <v>0</v>
      </c>
      <c r="N40" s="40"/>
      <c r="O40" s="40"/>
      <c r="P40" s="40"/>
      <c r="Q40" s="44"/>
      <c r="R40" s="37"/>
      <c r="S40" s="37"/>
      <c r="T40" s="48"/>
      <c r="U40" s="30" t="e">
        <f>M40/W40</f>
        <v>#DIV/0!</v>
      </c>
      <c r="V40" s="41" t="e">
        <f t="shared" si="1"/>
        <v>#DIV/0!</v>
      </c>
      <c r="W40" s="41">
        <f t="shared" si="2"/>
        <v>0</v>
      </c>
      <c r="X40" s="41">
        <f t="shared" si="3"/>
        <v>0</v>
      </c>
      <c r="Y40" s="41">
        <v>0</v>
      </c>
      <c r="Z40" s="41" t="e">
        <f t="shared" si="4"/>
        <v>#DIV/0!</v>
      </c>
      <c r="AA40" s="41">
        <v>0</v>
      </c>
      <c r="AB40" s="41" t="e">
        <f t="shared" si="5"/>
        <v>#DIV/0!</v>
      </c>
      <c r="AC40" s="41">
        <f t="shared" si="6"/>
        <v>0</v>
      </c>
      <c r="AD40" s="41">
        <v>0</v>
      </c>
      <c r="AE40" s="41" t="e">
        <f t="shared" si="7"/>
        <v>#DIV/0!</v>
      </c>
      <c r="AF40" s="41">
        <v>0</v>
      </c>
      <c r="AG40" s="41" t="e">
        <f t="shared" si="8"/>
        <v>#DIV/0!</v>
      </c>
      <c r="AH40" s="41">
        <f t="shared" si="9"/>
        <v>0</v>
      </c>
      <c r="AI40" s="41">
        <v>0</v>
      </c>
      <c r="AJ40" s="41">
        <v>0</v>
      </c>
      <c r="AK40" s="41">
        <v>0</v>
      </c>
      <c r="AL40" s="41">
        <v>0</v>
      </c>
      <c r="AM40" s="41" t="e">
        <f t="shared" si="10"/>
        <v>#DIV/0!</v>
      </c>
      <c r="AN40" s="41" t="e">
        <f t="shared" si="11"/>
        <v>#DIV/0!</v>
      </c>
      <c r="AO40" s="41" t="e">
        <f t="shared" si="12"/>
        <v>#DIV/0!</v>
      </c>
      <c r="AP40" s="40"/>
      <c r="AQ40" s="36"/>
      <c r="AR40" s="36"/>
      <c r="AS40" s="36"/>
      <c r="AT40" s="36"/>
      <c r="AU40" s="36"/>
      <c r="AV40" s="38"/>
      <c r="AW40" s="40"/>
    </row>
    <row r="41" spans="1:49" s="34" customFormat="1" ht="15.75" customHeight="1" x14ac:dyDescent="0.3">
      <c r="A41" s="35"/>
      <c r="B41" s="36"/>
      <c r="C41" s="37"/>
      <c r="D41" s="39"/>
      <c r="E41" s="40"/>
      <c r="F41" s="36"/>
      <c r="G41" s="37"/>
      <c r="H41" s="40"/>
      <c r="I41" s="40"/>
      <c r="J41" s="41"/>
      <c r="K41" s="41">
        <v>0</v>
      </c>
      <c r="L41" s="30">
        <f t="shared" si="0"/>
        <v>0</v>
      </c>
      <c r="M41" s="30">
        <f t="shared" si="0"/>
        <v>0</v>
      </c>
      <c r="N41" s="40"/>
      <c r="O41" s="40"/>
      <c r="P41" s="40"/>
      <c r="Q41" s="44"/>
      <c r="R41" s="37"/>
      <c r="S41" s="37"/>
      <c r="T41" s="48"/>
      <c r="U41" s="30" t="e">
        <f>M41/W41</f>
        <v>#DIV/0!</v>
      </c>
      <c r="V41" s="41" t="e">
        <f t="shared" si="1"/>
        <v>#DIV/0!</v>
      </c>
      <c r="W41" s="41">
        <f t="shared" si="2"/>
        <v>0</v>
      </c>
      <c r="X41" s="41">
        <f t="shared" si="3"/>
        <v>0</v>
      </c>
      <c r="Y41" s="41">
        <v>0</v>
      </c>
      <c r="Z41" s="41" t="e">
        <f t="shared" si="4"/>
        <v>#DIV/0!</v>
      </c>
      <c r="AA41" s="41">
        <v>0</v>
      </c>
      <c r="AB41" s="41" t="e">
        <f t="shared" si="5"/>
        <v>#DIV/0!</v>
      </c>
      <c r="AC41" s="41">
        <f t="shared" si="6"/>
        <v>0</v>
      </c>
      <c r="AD41" s="41">
        <v>0</v>
      </c>
      <c r="AE41" s="41" t="e">
        <f t="shared" si="7"/>
        <v>#DIV/0!</v>
      </c>
      <c r="AF41" s="41">
        <v>0</v>
      </c>
      <c r="AG41" s="41" t="e">
        <f t="shared" si="8"/>
        <v>#DIV/0!</v>
      </c>
      <c r="AH41" s="41">
        <f t="shared" si="9"/>
        <v>0</v>
      </c>
      <c r="AI41" s="41">
        <v>0</v>
      </c>
      <c r="AJ41" s="41">
        <v>0</v>
      </c>
      <c r="AK41" s="41">
        <v>0</v>
      </c>
      <c r="AL41" s="41">
        <v>0</v>
      </c>
      <c r="AM41" s="41" t="e">
        <f t="shared" si="10"/>
        <v>#DIV/0!</v>
      </c>
      <c r="AN41" s="41" t="e">
        <f t="shared" si="11"/>
        <v>#DIV/0!</v>
      </c>
      <c r="AO41" s="41" t="e">
        <f t="shared" si="12"/>
        <v>#DIV/0!</v>
      </c>
      <c r="AP41" s="40"/>
      <c r="AQ41" s="36"/>
      <c r="AR41" s="36"/>
      <c r="AS41" s="36"/>
      <c r="AT41" s="36"/>
      <c r="AU41" s="36"/>
      <c r="AV41" s="38"/>
      <c r="AW41" s="40"/>
    </row>
    <row r="42" spans="1:49" s="34" customFormat="1" ht="15.75" customHeight="1" x14ac:dyDescent="0.3">
      <c r="A42" s="35"/>
      <c r="B42" s="36"/>
      <c r="C42" s="37"/>
      <c r="D42" s="39"/>
      <c r="E42" s="40"/>
      <c r="F42" s="36"/>
      <c r="G42" s="37"/>
      <c r="H42" s="40"/>
      <c r="I42" s="40"/>
      <c r="J42" s="41"/>
      <c r="K42" s="41">
        <v>0</v>
      </c>
      <c r="L42" s="30">
        <f t="shared" si="0"/>
        <v>0</v>
      </c>
      <c r="M42" s="30">
        <f t="shared" si="0"/>
        <v>0</v>
      </c>
      <c r="N42" s="40"/>
      <c r="O42" s="40"/>
      <c r="P42" s="40"/>
      <c r="Q42" s="44"/>
      <c r="R42" s="37"/>
      <c r="S42" s="37"/>
      <c r="T42" s="48"/>
      <c r="U42" s="30" t="e">
        <f>M42/W42</f>
        <v>#DIV/0!</v>
      </c>
      <c r="V42" s="41" t="e">
        <f t="shared" si="1"/>
        <v>#DIV/0!</v>
      </c>
      <c r="W42" s="41">
        <f t="shared" si="2"/>
        <v>0</v>
      </c>
      <c r="X42" s="41">
        <f t="shared" si="3"/>
        <v>0</v>
      </c>
      <c r="Y42" s="41">
        <v>0</v>
      </c>
      <c r="Z42" s="41" t="e">
        <f t="shared" si="4"/>
        <v>#DIV/0!</v>
      </c>
      <c r="AA42" s="41">
        <v>0</v>
      </c>
      <c r="AB42" s="41" t="e">
        <f t="shared" si="5"/>
        <v>#DIV/0!</v>
      </c>
      <c r="AC42" s="41">
        <f t="shared" si="6"/>
        <v>0</v>
      </c>
      <c r="AD42" s="41">
        <v>0</v>
      </c>
      <c r="AE42" s="41" t="e">
        <f t="shared" si="7"/>
        <v>#DIV/0!</v>
      </c>
      <c r="AF42" s="41">
        <v>0</v>
      </c>
      <c r="AG42" s="41" t="e">
        <f t="shared" si="8"/>
        <v>#DIV/0!</v>
      </c>
      <c r="AH42" s="41">
        <f t="shared" si="9"/>
        <v>0</v>
      </c>
      <c r="AI42" s="41">
        <v>0</v>
      </c>
      <c r="AJ42" s="41">
        <v>0</v>
      </c>
      <c r="AK42" s="41">
        <v>0</v>
      </c>
      <c r="AL42" s="41">
        <v>0</v>
      </c>
      <c r="AM42" s="41" t="e">
        <f t="shared" si="10"/>
        <v>#DIV/0!</v>
      </c>
      <c r="AN42" s="41" t="e">
        <f t="shared" si="11"/>
        <v>#DIV/0!</v>
      </c>
      <c r="AO42" s="41" t="e">
        <f t="shared" si="12"/>
        <v>#DIV/0!</v>
      </c>
      <c r="AP42" s="40"/>
      <c r="AQ42" s="36"/>
      <c r="AR42" s="36"/>
      <c r="AS42" s="36"/>
      <c r="AT42" s="36"/>
      <c r="AU42" s="36"/>
      <c r="AV42" s="38"/>
      <c r="AW42" s="40"/>
    </row>
    <row r="43" spans="1:49" s="34" customFormat="1" ht="15.75" customHeight="1" x14ac:dyDescent="0.3">
      <c r="A43" s="35"/>
      <c r="B43" s="36"/>
      <c r="C43" s="37"/>
      <c r="D43" s="39"/>
      <c r="E43" s="40"/>
      <c r="F43" s="36"/>
      <c r="G43" s="37"/>
      <c r="H43" s="40"/>
      <c r="I43" s="40"/>
      <c r="J43" s="41"/>
      <c r="K43" s="41">
        <v>0</v>
      </c>
      <c r="L43" s="30">
        <f t="shared" si="0"/>
        <v>0</v>
      </c>
      <c r="M43" s="30">
        <f t="shared" si="0"/>
        <v>0</v>
      </c>
      <c r="N43" s="40"/>
      <c r="O43" s="40"/>
      <c r="P43" s="40"/>
      <c r="Q43" s="44"/>
      <c r="R43" s="37"/>
      <c r="S43" s="37"/>
      <c r="T43" s="48"/>
      <c r="U43" s="30" t="e">
        <f>M43/W43</f>
        <v>#DIV/0!</v>
      </c>
      <c r="V43" s="41" t="e">
        <f t="shared" si="1"/>
        <v>#DIV/0!</v>
      </c>
      <c r="W43" s="41">
        <f t="shared" si="2"/>
        <v>0</v>
      </c>
      <c r="X43" s="41">
        <f t="shared" si="3"/>
        <v>0</v>
      </c>
      <c r="Y43" s="41">
        <v>0</v>
      </c>
      <c r="Z43" s="41" t="e">
        <f t="shared" si="4"/>
        <v>#DIV/0!</v>
      </c>
      <c r="AA43" s="41">
        <v>0</v>
      </c>
      <c r="AB43" s="41" t="e">
        <f t="shared" si="5"/>
        <v>#DIV/0!</v>
      </c>
      <c r="AC43" s="41">
        <f t="shared" si="6"/>
        <v>0</v>
      </c>
      <c r="AD43" s="41">
        <v>0</v>
      </c>
      <c r="AE43" s="41" t="e">
        <f t="shared" si="7"/>
        <v>#DIV/0!</v>
      </c>
      <c r="AF43" s="41">
        <v>0</v>
      </c>
      <c r="AG43" s="41" t="e">
        <f t="shared" si="8"/>
        <v>#DIV/0!</v>
      </c>
      <c r="AH43" s="41">
        <f t="shared" si="9"/>
        <v>0</v>
      </c>
      <c r="AI43" s="41">
        <v>0</v>
      </c>
      <c r="AJ43" s="41">
        <v>0</v>
      </c>
      <c r="AK43" s="41">
        <v>0</v>
      </c>
      <c r="AL43" s="41">
        <v>0</v>
      </c>
      <c r="AM43" s="41" t="e">
        <f t="shared" si="10"/>
        <v>#DIV/0!</v>
      </c>
      <c r="AN43" s="41" t="e">
        <f t="shared" si="11"/>
        <v>#DIV/0!</v>
      </c>
      <c r="AO43" s="41" t="e">
        <f t="shared" si="12"/>
        <v>#DIV/0!</v>
      </c>
      <c r="AP43" s="40"/>
      <c r="AQ43" s="36"/>
      <c r="AR43" s="36"/>
      <c r="AS43" s="36"/>
      <c r="AT43" s="36"/>
      <c r="AU43" s="36"/>
      <c r="AV43" s="38"/>
      <c r="AW43" s="40"/>
    </row>
    <row r="44" spans="1:49" s="34" customFormat="1" ht="15.75" customHeight="1" x14ac:dyDescent="0.3">
      <c r="A44" s="35"/>
      <c r="B44" s="36"/>
      <c r="C44" s="37"/>
      <c r="D44" s="39"/>
      <c r="E44" s="40"/>
      <c r="F44" s="36"/>
      <c r="G44" s="37"/>
      <c r="H44" s="40"/>
      <c r="I44" s="40"/>
      <c r="J44" s="41"/>
      <c r="K44" s="41">
        <v>0</v>
      </c>
      <c r="L44" s="30">
        <f t="shared" si="0"/>
        <v>0</v>
      </c>
      <c r="M44" s="30">
        <f t="shared" si="0"/>
        <v>0</v>
      </c>
      <c r="N44" s="40"/>
      <c r="O44" s="40"/>
      <c r="P44" s="40"/>
      <c r="Q44" s="44"/>
      <c r="R44" s="37"/>
      <c r="S44" s="37"/>
      <c r="T44" s="48"/>
      <c r="U44" s="30" t="e">
        <f>M44/W44</f>
        <v>#DIV/0!</v>
      </c>
      <c r="V44" s="41" t="e">
        <f t="shared" si="1"/>
        <v>#DIV/0!</v>
      </c>
      <c r="W44" s="41">
        <f t="shared" si="2"/>
        <v>0</v>
      </c>
      <c r="X44" s="41">
        <f t="shared" si="3"/>
        <v>0</v>
      </c>
      <c r="Y44" s="41">
        <v>0</v>
      </c>
      <c r="Z44" s="41" t="e">
        <f t="shared" si="4"/>
        <v>#DIV/0!</v>
      </c>
      <c r="AA44" s="41">
        <v>0</v>
      </c>
      <c r="AB44" s="41" t="e">
        <f t="shared" si="5"/>
        <v>#DIV/0!</v>
      </c>
      <c r="AC44" s="41">
        <f t="shared" si="6"/>
        <v>0</v>
      </c>
      <c r="AD44" s="41">
        <v>0</v>
      </c>
      <c r="AE44" s="41" t="e">
        <f t="shared" si="7"/>
        <v>#DIV/0!</v>
      </c>
      <c r="AF44" s="41">
        <v>0</v>
      </c>
      <c r="AG44" s="41" t="e">
        <f t="shared" si="8"/>
        <v>#DIV/0!</v>
      </c>
      <c r="AH44" s="41">
        <f t="shared" si="9"/>
        <v>0</v>
      </c>
      <c r="AI44" s="41">
        <v>0</v>
      </c>
      <c r="AJ44" s="41">
        <v>0</v>
      </c>
      <c r="AK44" s="41">
        <v>0</v>
      </c>
      <c r="AL44" s="41">
        <v>0</v>
      </c>
      <c r="AM44" s="41" t="e">
        <f t="shared" si="10"/>
        <v>#DIV/0!</v>
      </c>
      <c r="AN44" s="41" t="e">
        <f t="shared" si="11"/>
        <v>#DIV/0!</v>
      </c>
      <c r="AO44" s="41" t="e">
        <f t="shared" si="12"/>
        <v>#DIV/0!</v>
      </c>
      <c r="AP44" s="40"/>
      <c r="AQ44" s="36"/>
      <c r="AR44" s="36"/>
      <c r="AS44" s="36"/>
      <c r="AT44" s="36"/>
      <c r="AU44" s="36"/>
      <c r="AV44" s="38"/>
      <c r="AW44" s="40"/>
    </row>
    <row r="45" spans="1:49" s="34" customFormat="1" ht="15.75" customHeight="1" x14ac:dyDescent="0.3">
      <c r="A45" s="35"/>
      <c r="B45" s="36"/>
      <c r="C45" s="37"/>
      <c r="D45" s="39"/>
      <c r="E45" s="40"/>
      <c r="F45" s="36"/>
      <c r="G45" s="37"/>
      <c r="H45" s="40"/>
      <c r="I45" s="40"/>
      <c r="J45" s="41"/>
      <c r="K45" s="41">
        <v>0</v>
      </c>
      <c r="L45" s="30">
        <f t="shared" si="0"/>
        <v>0</v>
      </c>
      <c r="M45" s="30">
        <f t="shared" si="0"/>
        <v>0</v>
      </c>
      <c r="N45" s="40"/>
      <c r="O45" s="40"/>
      <c r="P45" s="40"/>
      <c r="Q45" s="44"/>
      <c r="R45" s="37"/>
      <c r="S45" s="37"/>
      <c r="T45" s="48"/>
      <c r="U45" s="30" t="e">
        <f>M45/W45</f>
        <v>#DIV/0!</v>
      </c>
      <c r="V45" s="41" t="e">
        <f t="shared" si="1"/>
        <v>#DIV/0!</v>
      </c>
      <c r="W45" s="41">
        <f t="shared" si="2"/>
        <v>0</v>
      </c>
      <c r="X45" s="41">
        <f t="shared" si="3"/>
        <v>0</v>
      </c>
      <c r="Y45" s="41">
        <v>0</v>
      </c>
      <c r="Z45" s="41" t="e">
        <f t="shared" si="4"/>
        <v>#DIV/0!</v>
      </c>
      <c r="AA45" s="41">
        <v>0</v>
      </c>
      <c r="AB45" s="41" t="e">
        <f t="shared" si="5"/>
        <v>#DIV/0!</v>
      </c>
      <c r="AC45" s="41">
        <f t="shared" si="6"/>
        <v>0</v>
      </c>
      <c r="AD45" s="41">
        <v>0</v>
      </c>
      <c r="AE45" s="41" t="e">
        <f t="shared" si="7"/>
        <v>#DIV/0!</v>
      </c>
      <c r="AF45" s="41">
        <v>0</v>
      </c>
      <c r="AG45" s="41" t="e">
        <f t="shared" si="8"/>
        <v>#DIV/0!</v>
      </c>
      <c r="AH45" s="41">
        <f t="shared" si="9"/>
        <v>0</v>
      </c>
      <c r="AI45" s="41">
        <v>0</v>
      </c>
      <c r="AJ45" s="41">
        <v>0</v>
      </c>
      <c r="AK45" s="41">
        <v>0</v>
      </c>
      <c r="AL45" s="41">
        <v>0</v>
      </c>
      <c r="AM45" s="41" t="e">
        <f t="shared" si="10"/>
        <v>#DIV/0!</v>
      </c>
      <c r="AN45" s="41" t="e">
        <f t="shared" si="11"/>
        <v>#DIV/0!</v>
      </c>
      <c r="AO45" s="41" t="e">
        <f t="shared" si="12"/>
        <v>#DIV/0!</v>
      </c>
      <c r="AP45" s="40"/>
      <c r="AQ45" s="36"/>
      <c r="AR45" s="36"/>
      <c r="AS45" s="36"/>
      <c r="AT45" s="36"/>
      <c r="AU45" s="36"/>
      <c r="AV45" s="38"/>
      <c r="AW45" s="40"/>
    </row>
    <row r="46" spans="1:49" s="34" customFormat="1" ht="15.75" customHeight="1" x14ac:dyDescent="0.3">
      <c r="A46" s="35"/>
      <c r="B46" s="36"/>
      <c r="C46" s="37"/>
      <c r="D46" s="39"/>
      <c r="E46" s="40"/>
      <c r="F46" s="36"/>
      <c r="G46" s="37"/>
      <c r="H46" s="40"/>
      <c r="I46" s="40"/>
      <c r="J46" s="41"/>
      <c r="K46" s="41">
        <v>0</v>
      </c>
      <c r="L46" s="30">
        <f t="shared" si="0"/>
        <v>0</v>
      </c>
      <c r="M46" s="30">
        <f t="shared" si="0"/>
        <v>0</v>
      </c>
      <c r="N46" s="40"/>
      <c r="O46" s="40"/>
      <c r="P46" s="40"/>
      <c r="Q46" s="44"/>
      <c r="R46" s="37"/>
      <c r="S46" s="37"/>
      <c r="T46" s="48"/>
      <c r="U46" s="30" t="e">
        <f>M46/W46</f>
        <v>#DIV/0!</v>
      </c>
      <c r="V46" s="41" t="e">
        <f t="shared" si="1"/>
        <v>#DIV/0!</v>
      </c>
      <c r="W46" s="41">
        <f t="shared" si="2"/>
        <v>0</v>
      </c>
      <c r="X46" s="41">
        <f t="shared" si="3"/>
        <v>0</v>
      </c>
      <c r="Y46" s="41">
        <v>0</v>
      </c>
      <c r="Z46" s="41" t="e">
        <f t="shared" si="4"/>
        <v>#DIV/0!</v>
      </c>
      <c r="AA46" s="41">
        <v>0</v>
      </c>
      <c r="AB46" s="41" t="e">
        <f t="shared" si="5"/>
        <v>#DIV/0!</v>
      </c>
      <c r="AC46" s="41">
        <f t="shared" si="6"/>
        <v>0</v>
      </c>
      <c r="AD46" s="41">
        <v>0</v>
      </c>
      <c r="AE46" s="41" t="e">
        <f t="shared" si="7"/>
        <v>#DIV/0!</v>
      </c>
      <c r="AF46" s="41">
        <v>0</v>
      </c>
      <c r="AG46" s="41" t="e">
        <f t="shared" si="8"/>
        <v>#DIV/0!</v>
      </c>
      <c r="AH46" s="41">
        <f t="shared" si="9"/>
        <v>0</v>
      </c>
      <c r="AI46" s="41">
        <v>0</v>
      </c>
      <c r="AJ46" s="41">
        <v>0</v>
      </c>
      <c r="AK46" s="41">
        <v>0</v>
      </c>
      <c r="AL46" s="41">
        <v>0</v>
      </c>
      <c r="AM46" s="41" t="e">
        <f t="shared" si="10"/>
        <v>#DIV/0!</v>
      </c>
      <c r="AN46" s="41" t="e">
        <f t="shared" si="11"/>
        <v>#DIV/0!</v>
      </c>
      <c r="AO46" s="41" t="e">
        <f t="shared" si="12"/>
        <v>#DIV/0!</v>
      </c>
      <c r="AP46" s="40"/>
      <c r="AQ46" s="36"/>
      <c r="AR46" s="36"/>
      <c r="AS46" s="36"/>
      <c r="AT46" s="36"/>
      <c r="AU46" s="36"/>
      <c r="AV46" s="38"/>
      <c r="AW46" s="40"/>
    </row>
    <row r="47" spans="1:49" s="34" customFormat="1" ht="15.75" customHeight="1" x14ac:dyDescent="0.3">
      <c r="A47" s="35"/>
      <c r="B47" s="36"/>
      <c r="C47" s="37"/>
      <c r="D47" s="39"/>
      <c r="E47" s="40"/>
      <c r="F47" s="36"/>
      <c r="G47" s="37"/>
      <c r="H47" s="40"/>
      <c r="I47" s="40"/>
      <c r="J47" s="41"/>
      <c r="K47" s="41">
        <v>0</v>
      </c>
      <c r="L47" s="30">
        <f t="shared" si="0"/>
        <v>0</v>
      </c>
      <c r="M47" s="30">
        <f t="shared" si="0"/>
        <v>0</v>
      </c>
      <c r="N47" s="40"/>
      <c r="O47" s="40"/>
      <c r="P47" s="40"/>
      <c r="Q47" s="44"/>
      <c r="R47" s="37"/>
      <c r="S47" s="37"/>
      <c r="T47" s="48"/>
      <c r="U47" s="30" t="e">
        <f>M47/W47</f>
        <v>#DIV/0!</v>
      </c>
      <c r="V47" s="41" t="e">
        <f t="shared" si="1"/>
        <v>#DIV/0!</v>
      </c>
      <c r="W47" s="41">
        <f t="shared" si="2"/>
        <v>0</v>
      </c>
      <c r="X47" s="41">
        <f t="shared" si="3"/>
        <v>0</v>
      </c>
      <c r="Y47" s="41">
        <v>0</v>
      </c>
      <c r="Z47" s="41" t="e">
        <f t="shared" si="4"/>
        <v>#DIV/0!</v>
      </c>
      <c r="AA47" s="41">
        <v>0</v>
      </c>
      <c r="AB47" s="41" t="e">
        <f t="shared" si="5"/>
        <v>#DIV/0!</v>
      </c>
      <c r="AC47" s="41">
        <f t="shared" si="6"/>
        <v>0</v>
      </c>
      <c r="AD47" s="41">
        <v>0</v>
      </c>
      <c r="AE47" s="41" t="e">
        <f t="shared" si="7"/>
        <v>#DIV/0!</v>
      </c>
      <c r="AF47" s="41">
        <v>0</v>
      </c>
      <c r="AG47" s="41" t="e">
        <f t="shared" si="8"/>
        <v>#DIV/0!</v>
      </c>
      <c r="AH47" s="41">
        <f t="shared" si="9"/>
        <v>0</v>
      </c>
      <c r="AI47" s="41">
        <v>0</v>
      </c>
      <c r="AJ47" s="41">
        <v>0</v>
      </c>
      <c r="AK47" s="41">
        <v>0</v>
      </c>
      <c r="AL47" s="41">
        <v>0</v>
      </c>
      <c r="AM47" s="41" t="e">
        <f t="shared" si="10"/>
        <v>#DIV/0!</v>
      </c>
      <c r="AN47" s="41" t="e">
        <f t="shared" si="11"/>
        <v>#DIV/0!</v>
      </c>
      <c r="AO47" s="41" t="e">
        <f t="shared" si="12"/>
        <v>#DIV/0!</v>
      </c>
      <c r="AP47" s="40"/>
      <c r="AQ47" s="36"/>
      <c r="AR47" s="36"/>
      <c r="AS47" s="36"/>
      <c r="AT47" s="36"/>
      <c r="AU47" s="36"/>
      <c r="AV47" s="38"/>
      <c r="AW47" s="40"/>
    </row>
    <row r="48" spans="1:49" s="34" customFormat="1" ht="15.75" customHeight="1" x14ac:dyDescent="0.3">
      <c r="A48" s="35"/>
      <c r="B48" s="36"/>
      <c r="C48" s="37"/>
      <c r="D48" s="39"/>
      <c r="E48" s="40"/>
      <c r="F48" s="36"/>
      <c r="G48" s="37"/>
      <c r="H48" s="40"/>
      <c r="I48" s="40"/>
      <c r="J48" s="41"/>
      <c r="K48" s="41">
        <v>0</v>
      </c>
      <c r="L48" s="30">
        <f t="shared" si="0"/>
        <v>0</v>
      </c>
      <c r="M48" s="30">
        <f t="shared" si="0"/>
        <v>0</v>
      </c>
      <c r="N48" s="40"/>
      <c r="O48" s="40"/>
      <c r="P48" s="40"/>
      <c r="Q48" s="44"/>
      <c r="R48" s="37"/>
      <c r="S48" s="37"/>
      <c r="T48" s="48"/>
      <c r="U48" s="30" t="e">
        <f>M48/W48</f>
        <v>#DIV/0!</v>
      </c>
      <c r="V48" s="41" t="e">
        <f t="shared" si="1"/>
        <v>#DIV/0!</v>
      </c>
      <c r="W48" s="41">
        <f t="shared" si="2"/>
        <v>0</v>
      </c>
      <c r="X48" s="41">
        <f t="shared" si="3"/>
        <v>0</v>
      </c>
      <c r="Y48" s="41">
        <v>0</v>
      </c>
      <c r="Z48" s="41" t="e">
        <f t="shared" si="4"/>
        <v>#DIV/0!</v>
      </c>
      <c r="AA48" s="41">
        <v>0</v>
      </c>
      <c r="AB48" s="41" t="e">
        <f t="shared" si="5"/>
        <v>#DIV/0!</v>
      </c>
      <c r="AC48" s="41">
        <f t="shared" si="6"/>
        <v>0</v>
      </c>
      <c r="AD48" s="41">
        <v>0</v>
      </c>
      <c r="AE48" s="41" t="e">
        <f t="shared" si="7"/>
        <v>#DIV/0!</v>
      </c>
      <c r="AF48" s="41">
        <v>0</v>
      </c>
      <c r="AG48" s="41" t="e">
        <f t="shared" si="8"/>
        <v>#DIV/0!</v>
      </c>
      <c r="AH48" s="41">
        <f t="shared" si="9"/>
        <v>0</v>
      </c>
      <c r="AI48" s="41">
        <v>0</v>
      </c>
      <c r="AJ48" s="41">
        <v>0</v>
      </c>
      <c r="AK48" s="41">
        <v>0</v>
      </c>
      <c r="AL48" s="41">
        <v>0</v>
      </c>
      <c r="AM48" s="41" t="e">
        <f t="shared" si="10"/>
        <v>#DIV/0!</v>
      </c>
      <c r="AN48" s="41" t="e">
        <f t="shared" si="11"/>
        <v>#DIV/0!</v>
      </c>
      <c r="AO48" s="41" t="e">
        <f t="shared" si="12"/>
        <v>#DIV/0!</v>
      </c>
      <c r="AP48" s="40"/>
      <c r="AQ48" s="36"/>
      <c r="AR48" s="36"/>
      <c r="AS48" s="36"/>
      <c r="AT48" s="36"/>
      <c r="AU48" s="36"/>
      <c r="AV48" s="38"/>
      <c r="AW48" s="40"/>
    </row>
    <row r="49" spans="1:49" s="34" customFormat="1" ht="15.75" customHeight="1" x14ac:dyDescent="0.3">
      <c r="A49" s="35"/>
      <c r="B49" s="36"/>
      <c r="C49" s="37"/>
      <c r="D49" s="39"/>
      <c r="E49" s="40"/>
      <c r="F49" s="36"/>
      <c r="G49" s="37"/>
      <c r="H49" s="40"/>
      <c r="I49" s="40"/>
      <c r="J49" s="41"/>
      <c r="K49" s="41">
        <v>0</v>
      </c>
      <c r="L49" s="30">
        <f t="shared" si="0"/>
        <v>0</v>
      </c>
      <c r="M49" s="30">
        <f t="shared" si="0"/>
        <v>0</v>
      </c>
      <c r="N49" s="40"/>
      <c r="O49" s="40"/>
      <c r="P49" s="40"/>
      <c r="Q49" s="44"/>
      <c r="R49" s="37"/>
      <c r="S49" s="37"/>
      <c r="T49" s="48"/>
      <c r="U49" s="30" t="e">
        <f>M49/W49</f>
        <v>#DIV/0!</v>
      </c>
      <c r="V49" s="41" t="e">
        <f t="shared" si="1"/>
        <v>#DIV/0!</v>
      </c>
      <c r="W49" s="41">
        <f t="shared" si="2"/>
        <v>0</v>
      </c>
      <c r="X49" s="41">
        <f t="shared" si="3"/>
        <v>0</v>
      </c>
      <c r="Y49" s="41">
        <v>0</v>
      </c>
      <c r="Z49" s="41" t="e">
        <f t="shared" si="4"/>
        <v>#DIV/0!</v>
      </c>
      <c r="AA49" s="41">
        <v>0</v>
      </c>
      <c r="AB49" s="41" t="e">
        <f t="shared" si="5"/>
        <v>#DIV/0!</v>
      </c>
      <c r="AC49" s="41">
        <f t="shared" si="6"/>
        <v>0</v>
      </c>
      <c r="AD49" s="41">
        <v>0</v>
      </c>
      <c r="AE49" s="41" t="e">
        <f t="shared" si="7"/>
        <v>#DIV/0!</v>
      </c>
      <c r="AF49" s="41">
        <v>0</v>
      </c>
      <c r="AG49" s="41" t="e">
        <f t="shared" si="8"/>
        <v>#DIV/0!</v>
      </c>
      <c r="AH49" s="41">
        <f t="shared" si="9"/>
        <v>0</v>
      </c>
      <c r="AI49" s="41">
        <v>0</v>
      </c>
      <c r="AJ49" s="41">
        <v>0</v>
      </c>
      <c r="AK49" s="41">
        <v>0</v>
      </c>
      <c r="AL49" s="41">
        <v>0</v>
      </c>
      <c r="AM49" s="41" t="e">
        <f t="shared" si="10"/>
        <v>#DIV/0!</v>
      </c>
      <c r="AN49" s="41" t="e">
        <f t="shared" si="11"/>
        <v>#DIV/0!</v>
      </c>
      <c r="AO49" s="41" t="e">
        <f t="shared" si="12"/>
        <v>#DIV/0!</v>
      </c>
      <c r="AP49" s="40"/>
      <c r="AQ49" s="36"/>
      <c r="AR49" s="36"/>
      <c r="AS49" s="36"/>
      <c r="AT49" s="36"/>
      <c r="AU49" s="36"/>
      <c r="AV49" s="38"/>
      <c r="AW49" s="40"/>
    </row>
    <row r="50" spans="1:49" s="34" customFormat="1" x14ac:dyDescent="0.3">
      <c r="A50" s="19"/>
      <c r="B50" s="71"/>
      <c r="C50" s="19"/>
      <c r="D50" s="88"/>
      <c r="E50" s="65"/>
      <c r="F50" s="71"/>
      <c r="G50" s="19"/>
      <c r="H50" s="65"/>
      <c r="I50" s="65"/>
      <c r="J50" s="57" t="e">
        <f>SUBTOTAL(9,#REF!)</f>
        <v>#REF!</v>
      </c>
      <c r="K50" s="62" t="e">
        <f>SUBTOTAL(9,#REF!)</f>
        <v>#REF!</v>
      </c>
      <c r="L50" s="62" t="e">
        <f>SUBTOTAL(9,#REF!)</f>
        <v>#REF!</v>
      </c>
      <c r="M50" s="62" t="e">
        <f>SUBTOTAL(9,#REF!)</f>
        <v>#REF!</v>
      </c>
      <c r="N50" s="65"/>
      <c r="O50" s="65"/>
      <c r="P50" s="65"/>
      <c r="Q50" s="19"/>
      <c r="R50" s="19"/>
      <c r="S50" s="19"/>
      <c r="T50" s="66"/>
      <c r="U50" s="19"/>
      <c r="V50" s="71"/>
      <c r="W50" s="19"/>
      <c r="X50" s="19"/>
      <c r="Y50" s="19"/>
      <c r="Z50" s="19"/>
      <c r="AA50" s="19"/>
      <c r="AB50" s="19"/>
      <c r="AC50" s="19"/>
      <c r="AD50" s="19"/>
      <c r="AE50" s="19"/>
      <c r="AF50" s="19"/>
      <c r="AG50" s="19"/>
      <c r="AH50" s="62"/>
      <c r="AI50" s="62"/>
      <c r="AJ50" s="62"/>
      <c r="AK50" s="62"/>
      <c r="AL50" s="62"/>
      <c r="AM50" s="62"/>
      <c r="AN50" s="62"/>
      <c r="AO50" s="62"/>
      <c r="AP50" s="65"/>
      <c r="AQ50" s="71"/>
      <c r="AR50" s="71"/>
      <c r="AS50" s="71"/>
      <c r="AT50" s="71"/>
      <c r="AU50" s="71"/>
      <c r="AV50" s="89"/>
      <c r="AW50" s="65"/>
    </row>
    <row r="51" spans="1:49" s="34" customFormat="1" x14ac:dyDescent="0.3">
      <c r="A51" s="19"/>
      <c r="B51" s="71"/>
      <c r="C51" s="19"/>
      <c r="D51" s="88"/>
      <c r="E51" s="65"/>
      <c r="F51" s="71"/>
      <c r="G51" s="19"/>
      <c r="H51" s="65"/>
      <c r="I51" s="65"/>
      <c r="J51" s="57" t="e">
        <f>J50+'[1]2022 (мед изд)'!$X$51</f>
        <v>#REF!</v>
      </c>
      <c r="K51" s="62"/>
      <c r="L51" s="62"/>
      <c r="M51" s="19"/>
      <c r="N51" s="65"/>
      <c r="O51" s="65"/>
      <c r="P51" s="65"/>
      <c r="Q51" s="19"/>
      <c r="R51" s="19"/>
      <c r="S51" s="19"/>
      <c r="T51" s="66"/>
      <c r="U51" s="19"/>
      <c r="V51" s="71"/>
      <c r="W51" s="19"/>
      <c r="X51" s="19"/>
      <c r="Y51" s="19"/>
      <c r="Z51" s="19"/>
      <c r="AA51" s="19"/>
      <c r="AB51" s="19"/>
      <c r="AC51" s="19"/>
      <c r="AD51" s="19"/>
      <c r="AE51" s="19"/>
      <c r="AF51" s="19"/>
      <c r="AG51" s="19"/>
      <c r="AH51" s="62"/>
      <c r="AI51" s="62"/>
      <c r="AJ51" s="62"/>
      <c r="AK51" s="62"/>
      <c r="AL51" s="62"/>
      <c r="AM51" s="62"/>
      <c r="AN51" s="62"/>
      <c r="AO51" s="62"/>
      <c r="AP51" s="65"/>
      <c r="AQ51" s="71"/>
      <c r="AR51" s="71"/>
      <c r="AS51" s="71"/>
      <c r="AT51" s="71"/>
      <c r="AU51" s="71"/>
      <c r="AV51" s="89"/>
      <c r="AW51" s="65"/>
    </row>
  </sheetData>
  <autoFilter ref="A2:BD49"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4" r:id="rId1" xr:uid="{316AF5E0-3F21-4BBD-B7B3-1AA0D0116E08}"/>
    <hyperlink ref="E6" r:id="rId2" xr:uid="{76418F0B-3E8B-49D4-A463-15A605021E0C}"/>
    <hyperlink ref="E3" r:id="rId3" xr:uid="{15EC3ABD-102F-4238-9F93-5A313E308F52}"/>
    <hyperlink ref="E5" r:id="rId4" xr:uid="{7A8643FE-29B7-4331-B5E8-494705ECFC50}"/>
    <hyperlink ref="E7" r:id="rId5" xr:uid="{50C6A81B-2923-458F-A3AA-641F471C0D0A}"/>
    <hyperlink ref="E8" r:id="rId6" xr:uid="{A3844AAB-76AA-4BEC-87E5-B6F0CC752A60}"/>
    <hyperlink ref="E9" r:id="rId7" xr:uid="{8A90C115-0B76-472C-8AB7-9E10644C5D7C}"/>
    <hyperlink ref="E10" r:id="rId8" xr:uid="{9A476C64-8EBE-4908-9147-E4BD9C81FDA1}"/>
    <hyperlink ref="E11" r:id="rId9" xr:uid="{461C5A17-055C-4A03-97BA-DAE59E115C17}"/>
    <hyperlink ref="E12" r:id="rId10" xr:uid="{044780F6-CFFB-4748-B7E7-92A4C5819C02}"/>
    <hyperlink ref="E13" r:id="rId11" xr:uid="{C2DBCCC9-4E41-4274-A8BE-2ADC6DEECC56}"/>
    <hyperlink ref="E14" r:id="rId12" xr:uid="{0926DA09-F09A-4A73-A98C-E40EDDA570B2}"/>
    <hyperlink ref="E15" r:id="rId13" xr:uid="{8E057986-18F0-4F10-BE47-FAED6B81FD76}"/>
    <hyperlink ref="E16" r:id="rId14" xr:uid="{3C5710EA-3652-45BB-AEB4-2EB57E5DF345}"/>
    <hyperlink ref="E17" r:id="rId15" xr:uid="{7AC8A908-149A-42DA-9101-E8CE2CCC6D79}"/>
    <hyperlink ref="E18" r:id="rId16" xr:uid="{3D2AFB55-09FB-4F02-A90B-555764505895}"/>
    <hyperlink ref="E19" r:id="rId17" xr:uid="{3D14CF73-CF72-4DD0-9626-49BECA29D985}"/>
    <hyperlink ref="E20" r:id="rId18" xr:uid="{A645598F-52FD-47D4-A6A1-0A43EEA730F8}"/>
    <hyperlink ref="E21" r:id="rId19" xr:uid="{C7AA1A8C-F110-4398-9B14-7CF6C40216F4}"/>
    <hyperlink ref="E22" r:id="rId20" xr:uid="{B505EDE2-CEC8-40FD-A22F-011D43261FAF}"/>
    <hyperlink ref="E23" r:id="rId21" xr:uid="{52D8B81E-F0D4-4C34-A5D7-EAFD2BDCFB96}"/>
    <hyperlink ref="E24" r:id="rId22" xr:uid="{E13FE77B-2DEC-4D04-B220-2FEFFBAE33E3}"/>
    <hyperlink ref="E25" r:id="rId23" xr:uid="{F0EDF761-5B05-4F80-BB61-15E44C45D932}"/>
    <hyperlink ref="E27" r:id="rId24" xr:uid="{7D8FFFAB-8C05-4ABD-AD86-51852F50F49A}"/>
    <hyperlink ref="E28" r:id="rId25" xr:uid="{F80722DE-8943-4B7E-A886-AB89B5698D53}"/>
    <hyperlink ref="E29" r:id="rId26" xr:uid="{2284BD34-F671-4448-910F-A86CCA8F9DE2}"/>
    <hyperlink ref="E30" r:id="rId27" xr:uid="{B22B8449-626E-457B-8526-E418CB3F1ED6}"/>
    <hyperlink ref="E31" r:id="rId28" xr:uid="{B804D1D5-AE72-4670-A614-B3F96F129B16}"/>
    <hyperlink ref="E32" r:id="rId29" xr:uid="{CA9DEB8F-1970-4AF4-A732-821AEC16E3F0}"/>
    <hyperlink ref="E33" r:id="rId30" xr:uid="{3E3CF407-D86C-457E-AE19-6978F878E9A1}"/>
    <hyperlink ref="E34" r:id="rId31" xr:uid="{DE290439-F962-47A9-AD09-533FA454FACE}"/>
    <hyperlink ref="E35" r:id="rId32" xr:uid="{75257BD9-73DA-4116-BDD0-A6F7277709E9}"/>
    <hyperlink ref="E36" r:id="rId33" xr:uid="{697693CF-72AC-41AE-B479-BF3BAFEC2222}"/>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30C66-B886-4760-8640-997190C002D7}">
  <dimension ref="A1:BD225"/>
  <sheetViews>
    <sheetView zoomScale="70" zoomScaleNormal="70" workbookViewId="0">
      <pane xSplit="1" ySplit="2" topLeftCell="B3" activePane="bottomRight" state="frozen"/>
      <selection pane="topRight" activeCell="D1" sqref="D1"/>
      <selection pane="bottomLeft" activeCell="A3" sqref="A3"/>
      <selection pane="bottomRight" activeCell="D10" sqref="D10"/>
    </sheetView>
  </sheetViews>
  <sheetFormatPr defaultColWidth="9.109375" defaultRowHeight="15.6" x14ac:dyDescent="0.3"/>
  <cols>
    <col min="1" max="1" width="24.6640625" style="19" customWidth="1"/>
    <col min="2" max="2" width="14.44140625" style="71" customWidth="1"/>
    <col min="3" max="3" width="17.109375" style="19" customWidth="1"/>
    <col min="4" max="4" width="24.44140625" style="88" customWidth="1"/>
    <col min="5" max="5" width="22.5546875" style="65" customWidth="1"/>
    <col min="6" max="6" width="13" style="71" customWidth="1"/>
    <col min="7" max="7" width="30.88671875" style="19" customWidth="1"/>
    <col min="8" max="8" width="20.33203125" style="65" customWidth="1"/>
    <col min="9" max="9" width="30.88671875" style="65" customWidth="1"/>
    <col min="10" max="10" width="20.6640625" style="19" customWidth="1"/>
    <col min="11" max="11" width="21.44140625" style="19" customWidth="1"/>
    <col min="12" max="12" width="22" style="62" customWidth="1"/>
    <col min="13" max="13" width="23.33203125" style="19" customWidth="1"/>
    <col min="14" max="14" width="24.44140625" style="65" customWidth="1"/>
    <col min="15" max="15" width="35" style="65" customWidth="1"/>
    <col min="16" max="16" width="14.109375" style="65" customWidth="1"/>
    <col min="17" max="17" width="16.6640625" style="19" customWidth="1"/>
    <col min="18" max="18" width="15.6640625" style="19" customWidth="1"/>
    <col min="19" max="19" width="12.6640625" style="19" customWidth="1"/>
    <col min="20" max="20" width="15.33203125" style="66" customWidth="1"/>
    <col min="21" max="21" width="14.44140625" style="19" customWidth="1"/>
    <col min="22" max="22" width="15.33203125" style="71" customWidth="1"/>
    <col min="23" max="23" width="22.6640625" style="19" customWidth="1"/>
    <col min="24" max="24" width="15.33203125" style="19" customWidth="1"/>
    <col min="25" max="25" width="16.5546875" style="19" customWidth="1"/>
    <col min="26" max="26" width="23.6640625" style="19" customWidth="1"/>
    <col min="27" max="27" width="17.5546875" style="19" customWidth="1"/>
    <col min="28" max="28" width="24.6640625" style="19" customWidth="1"/>
    <col min="29" max="29" width="15.33203125" style="19" customWidth="1"/>
    <col min="30" max="30" width="14" style="19" customWidth="1"/>
    <col min="31" max="31" width="23.6640625" style="19" customWidth="1"/>
    <col min="32" max="32" width="17.5546875" style="19" customWidth="1"/>
    <col min="33" max="33" width="27.88671875" style="19" customWidth="1"/>
    <col min="34" max="34" width="15.33203125" style="62" customWidth="1"/>
    <col min="35" max="35" width="14" style="62" customWidth="1"/>
    <col min="36" max="36" width="23.6640625" style="62" customWidth="1"/>
    <col min="37" max="37" width="17.5546875" style="62" customWidth="1"/>
    <col min="38" max="38" width="24.6640625" style="62" customWidth="1"/>
    <col min="39" max="39" width="28.33203125" style="62" customWidth="1"/>
    <col min="40" max="40" width="24.5546875" style="62" customWidth="1"/>
    <col min="41" max="41" width="21" style="62" customWidth="1"/>
    <col min="42" max="42" width="30.88671875" style="65" customWidth="1"/>
    <col min="43" max="43" width="16.109375" style="71" customWidth="1"/>
    <col min="44" max="44" width="15.109375" style="71" customWidth="1"/>
    <col min="45" max="45" width="13.33203125" style="71" customWidth="1"/>
    <col min="46" max="46" width="13" style="71" customWidth="1"/>
    <col min="47" max="47" width="14.6640625" style="71" customWidth="1"/>
    <col min="48" max="48" width="12.88671875" style="89" customWidth="1"/>
    <col min="49" max="49" width="16.6640625" style="65" customWidth="1"/>
    <col min="50" max="16384" width="9.109375" style="19"/>
  </cols>
  <sheetData>
    <row r="1" spans="1:56" ht="48" customHeight="1" x14ac:dyDescent="0.3">
      <c r="A1" s="2" t="s">
        <v>0</v>
      </c>
      <c r="B1" s="3" t="s">
        <v>1</v>
      </c>
      <c r="C1" s="6" t="s">
        <v>2</v>
      </c>
      <c r="D1" s="7" t="s">
        <v>3</v>
      </c>
      <c r="E1" s="5" t="s">
        <v>4</v>
      </c>
      <c r="F1" s="4" t="s">
        <v>5</v>
      </c>
      <c r="G1" s="5" t="s">
        <v>6</v>
      </c>
      <c r="H1" s="5" t="s">
        <v>7</v>
      </c>
      <c r="I1" s="8" t="s">
        <v>8</v>
      </c>
      <c r="J1" s="9" t="s">
        <v>9</v>
      </c>
      <c r="K1" s="8" t="s">
        <v>10</v>
      </c>
      <c r="L1" s="9" t="s">
        <v>11</v>
      </c>
      <c r="M1" s="8" t="s">
        <v>12</v>
      </c>
      <c r="N1" s="10" t="s">
        <v>13</v>
      </c>
      <c r="O1" s="10" t="s">
        <v>14</v>
      </c>
      <c r="P1" s="10" t="s">
        <v>15</v>
      </c>
      <c r="Q1" s="8" t="s">
        <v>16</v>
      </c>
      <c r="R1" s="8" t="s">
        <v>17</v>
      </c>
      <c r="S1" s="9" t="s">
        <v>18</v>
      </c>
      <c r="T1" s="11" t="s">
        <v>19</v>
      </c>
      <c r="U1" s="9" t="s">
        <v>20</v>
      </c>
      <c r="V1" s="3" t="s">
        <v>21</v>
      </c>
      <c r="W1" s="12" t="s">
        <v>22</v>
      </c>
      <c r="X1" s="13"/>
      <c r="Y1" s="13"/>
      <c r="Z1" s="13"/>
      <c r="AA1" s="13"/>
      <c r="AB1" s="13"/>
      <c r="AC1" s="13"/>
      <c r="AD1" s="13"/>
      <c r="AE1" s="13"/>
      <c r="AF1" s="13"/>
      <c r="AG1" s="13"/>
      <c r="AH1" s="13"/>
      <c r="AI1" s="13"/>
      <c r="AJ1" s="13"/>
      <c r="AK1" s="13"/>
      <c r="AL1" s="13"/>
      <c r="AM1" s="13"/>
      <c r="AN1" s="13"/>
      <c r="AO1" s="14"/>
      <c r="AP1" s="15" t="s">
        <v>23</v>
      </c>
      <c r="AQ1" s="16" t="s">
        <v>24</v>
      </c>
      <c r="AR1" s="17"/>
      <c r="AS1" s="18"/>
      <c r="AT1" s="16" t="s">
        <v>25</v>
      </c>
      <c r="AU1" s="17"/>
      <c r="AV1" s="18"/>
      <c r="AW1" s="10" t="s">
        <v>26</v>
      </c>
    </row>
    <row r="2" spans="1:56" ht="40.950000000000003" customHeight="1" x14ac:dyDescent="0.3">
      <c r="A2" s="20"/>
      <c r="B2" s="21"/>
      <c r="C2" s="24"/>
      <c r="D2" s="25"/>
      <c r="E2" s="23"/>
      <c r="F2" s="22"/>
      <c r="G2" s="23"/>
      <c r="H2" s="23"/>
      <c r="I2" s="26"/>
      <c r="J2" s="27"/>
      <c r="K2" s="26"/>
      <c r="L2" s="26"/>
      <c r="M2" s="26"/>
      <c r="N2" s="28"/>
      <c r="O2" s="28"/>
      <c r="P2" s="28"/>
      <c r="Q2" s="26"/>
      <c r="R2" s="26"/>
      <c r="S2" s="27"/>
      <c r="T2" s="29"/>
      <c r="U2" s="27"/>
      <c r="V2" s="21"/>
      <c r="W2" s="30" t="s">
        <v>27</v>
      </c>
      <c r="X2" s="30" t="s">
        <v>28</v>
      </c>
      <c r="Y2" s="30" t="s">
        <v>29</v>
      </c>
      <c r="Z2" s="30" t="s">
        <v>30</v>
      </c>
      <c r="AA2" s="30" t="s">
        <v>31</v>
      </c>
      <c r="AB2" s="30" t="s">
        <v>32</v>
      </c>
      <c r="AC2" s="30" t="s">
        <v>33</v>
      </c>
      <c r="AD2" s="30" t="s">
        <v>29</v>
      </c>
      <c r="AE2" s="30" t="s">
        <v>30</v>
      </c>
      <c r="AF2" s="30" t="s">
        <v>31</v>
      </c>
      <c r="AG2" s="30" t="s">
        <v>32</v>
      </c>
      <c r="AH2" s="30" t="s">
        <v>34</v>
      </c>
      <c r="AI2" s="30" t="s">
        <v>29</v>
      </c>
      <c r="AJ2" s="30" t="s">
        <v>30</v>
      </c>
      <c r="AK2" s="30" t="s">
        <v>31</v>
      </c>
      <c r="AL2" s="30" t="s">
        <v>32</v>
      </c>
      <c r="AM2" s="30" t="s">
        <v>35</v>
      </c>
      <c r="AN2" s="30" t="s">
        <v>36</v>
      </c>
      <c r="AO2" s="30" t="s">
        <v>37</v>
      </c>
      <c r="AP2" s="31"/>
      <c r="AQ2" s="32" t="s">
        <v>28</v>
      </c>
      <c r="AR2" s="32" t="s">
        <v>33</v>
      </c>
      <c r="AS2" s="32" t="s">
        <v>34</v>
      </c>
      <c r="AT2" s="32" t="s">
        <v>28</v>
      </c>
      <c r="AU2" s="32" t="s">
        <v>33</v>
      </c>
      <c r="AV2" s="32" t="s">
        <v>34</v>
      </c>
      <c r="AW2" s="28"/>
    </row>
    <row r="3" spans="1:56" ht="48" customHeight="1" x14ac:dyDescent="0.3">
      <c r="A3" s="39" t="s">
        <v>1257</v>
      </c>
      <c r="B3" s="36">
        <v>44887</v>
      </c>
      <c r="C3" s="37">
        <v>545</v>
      </c>
      <c r="D3" s="39" t="s">
        <v>1258</v>
      </c>
      <c r="E3" s="1" t="s">
        <v>1259</v>
      </c>
      <c r="F3" s="36">
        <v>44907</v>
      </c>
      <c r="G3" s="39" t="s">
        <v>1260</v>
      </c>
      <c r="H3" s="40" t="s">
        <v>224</v>
      </c>
      <c r="I3" s="40" t="s">
        <v>1261</v>
      </c>
      <c r="J3" s="41">
        <v>270469971.19999999</v>
      </c>
      <c r="K3" s="41">
        <v>270469971.19999999</v>
      </c>
      <c r="L3" s="30">
        <v>270469971.19999999</v>
      </c>
      <c r="M3" s="30">
        <v>270469971.19999999</v>
      </c>
      <c r="N3" s="40" t="s">
        <v>1262</v>
      </c>
      <c r="O3" s="38" t="s">
        <v>1263</v>
      </c>
      <c r="P3" s="40" t="s">
        <v>1264</v>
      </c>
      <c r="Q3" s="40">
        <v>0</v>
      </c>
      <c r="R3" s="40">
        <v>100</v>
      </c>
      <c r="S3" s="44" t="s">
        <v>219</v>
      </c>
      <c r="T3" s="37">
        <v>10</v>
      </c>
      <c r="U3" s="37">
        <v>47284.959999999999</v>
      </c>
      <c r="V3" s="45">
        <v>472849.6</v>
      </c>
      <c r="W3" s="30">
        <v>5720</v>
      </c>
      <c r="X3" s="30">
        <v>1580</v>
      </c>
      <c r="Y3" s="30"/>
      <c r="Z3" s="30"/>
      <c r="AA3" s="30"/>
      <c r="AB3" s="30"/>
      <c r="AC3" s="30">
        <v>2360</v>
      </c>
      <c r="AD3" s="30"/>
      <c r="AE3" s="30"/>
      <c r="AF3" s="30"/>
      <c r="AG3" s="30"/>
      <c r="AH3" s="41">
        <v>1780</v>
      </c>
      <c r="AI3" s="41"/>
      <c r="AJ3" s="41"/>
      <c r="AK3" s="41"/>
      <c r="AL3" s="41"/>
      <c r="AM3" s="41"/>
      <c r="AN3" s="41">
        <v>572</v>
      </c>
      <c r="AO3" s="41">
        <v>572</v>
      </c>
      <c r="AP3" s="47" t="s">
        <v>1265</v>
      </c>
      <c r="AQ3" s="36">
        <v>44972</v>
      </c>
      <c r="AR3" s="36">
        <v>45030</v>
      </c>
      <c r="AS3" s="36">
        <v>45261</v>
      </c>
      <c r="AT3" s="36">
        <v>44986</v>
      </c>
      <c r="AU3" s="36">
        <v>45046</v>
      </c>
      <c r="AV3" s="36">
        <v>45275</v>
      </c>
      <c r="AW3" s="40" t="s">
        <v>87</v>
      </c>
      <c r="AX3" s="80"/>
      <c r="BC3" s="65"/>
      <c r="BD3" s="65"/>
    </row>
    <row r="4" spans="1:56" ht="57" customHeight="1" x14ac:dyDescent="0.3">
      <c r="A4" s="39" t="s">
        <v>1266</v>
      </c>
      <c r="B4" s="36">
        <v>44887</v>
      </c>
      <c r="C4" s="37">
        <v>545</v>
      </c>
      <c r="D4" s="39" t="s">
        <v>1267</v>
      </c>
      <c r="E4" s="1" t="s">
        <v>1268</v>
      </c>
      <c r="F4" s="36">
        <v>44907</v>
      </c>
      <c r="G4" s="39" t="s">
        <v>1269</v>
      </c>
      <c r="H4" s="40" t="s">
        <v>224</v>
      </c>
      <c r="I4" s="40" t="s">
        <v>1270</v>
      </c>
      <c r="J4" s="41">
        <v>115739395.2</v>
      </c>
      <c r="K4" s="41">
        <v>115739395.2</v>
      </c>
      <c r="L4" s="30">
        <v>115739395.2</v>
      </c>
      <c r="M4" s="30">
        <v>115739395.2</v>
      </c>
      <c r="N4" s="40" t="s">
        <v>1271</v>
      </c>
      <c r="O4" s="38" t="s">
        <v>1272</v>
      </c>
      <c r="P4" s="40" t="s">
        <v>199</v>
      </c>
      <c r="Q4" s="40">
        <v>0</v>
      </c>
      <c r="R4" s="40">
        <v>100</v>
      </c>
      <c r="S4" s="44" t="s">
        <v>219</v>
      </c>
      <c r="T4" s="37">
        <v>12</v>
      </c>
      <c r="U4" s="37">
        <v>247306.4</v>
      </c>
      <c r="V4" s="45">
        <v>2967676.8</v>
      </c>
      <c r="W4" s="30">
        <v>468</v>
      </c>
      <c r="X4" s="30">
        <v>324</v>
      </c>
      <c r="Y4" s="30"/>
      <c r="Z4" s="30"/>
      <c r="AA4" s="30"/>
      <c r="AB4" s="30"/>
      <c r="AC4" s="30">
        <v>144</v>
      </c>
      <c r="AD4" s="30"/>
      <c r="AE4" s="30"/>
      <c r="AF4" s="30"/>
      <c r="AG4" s="30"/>
      <c r="AH4" s="41"/>
      <c r="AI4" s="41"/>
      <c r="AJ4" s="41"/>
      <c r="AK4" s="41"/>
      <c r="AL4" s="41"/>
      <c r="AM4" s="41"/>
      <c r="AN4" s="41">
        <v>39</v>
      </c>
      <c r="AO4" s="41">
        <v>39</v>
      </c>
      <c r="AP4" s="47" t="s">
        <v>1273</v>
      </c>
      <c r="AQ4" s="36">
        <v>44972</v>
      </c>
      <c r="AR4" s="36">
        <v>45031</v>
      </c>
      <c r="AS4" s="36"/>
      <c r="AT4" s="36">
        <v>44986</v>
      </c>
      <c r="AU4" s="36">
        <v>45046</v>
      </c>
      <c r="AV4" s="36"/>
      <c r="AW4" s="40" t="s">
        <v>87</v>
      </c>
      <c r="AX4" s="80"/>
      <c r="BC4" s="65"/>
      <c r="BD4" s="65"/>
    </row>
    <row r="5" spans="1:56" ht="68.25" customHeight="1" x14ac:dyDescent="0.3">
      <c r="A5" s="39" t="s">
        <v>1274</v>
      </c>
      <c r="B5" s="36">
        <v>44887</v>
      </c>
      <c r="C5" s="37">
        <v>545</v>
      </c>
      <c r="D5" s="39" t="s">
        <v>1275</v>
      </c>
      <c r="E5" s="1" t="s">
        <v>1276</v>
      </c>
      <c r="F5" s="36">
        <v>44907</v>
      </c>
      <c r="G5" s="39" t="s">
        <v>1277</v>
      </c>
      <c r="H5" s="40" t="s">
        <v>224</v>
      </c>
      <c r="I5" s="40" t="s">
        <v>1261</v>
      </c>
      <c r="J5" s="41">
        <v>278981264</v>
      </c>
      <c r="K5" s="41">
        <v>278981264</v>
      </c>
      <c r="L5" s="30">
        <v>291275353.60000002</v>
      </c>
      <c r="M5" s="30">
        <v>291275353.60000002</v>
      </c>
      <c r="N5" s="40" t="s">
        <v>1262</v>
      </c>
      <c r="O5" s="38" t="s">
        <v>1263</v>
      </c>
      <c r="P5" s="40" t="s">
        <v>1264</v>
      </c>
      <c r="Q5" s="40">
        <v>0</v>
      </c>
      <c r="R5" s="40">
        <v>100</v>
      </c>
      <c r="S5" s="44" t="s">
        <v>219</v>
      </c>
      <c r="T5" s="37">
        <v>10</v>
      </c>
      <c r="U5" s="37">
        <v>47284.960000000006</v>
      </c>
      <c r="V5" s="45">
        <v>472849.60000000009</v>
      </c>
      <c r="W5" s="30">
        <v>6160</v>
      </c>
      <c r="X5" s="30">
        <v>1630</v>
      </c>
      <c r="Y5" s="30"/>
      <c r="Z5" s="30"/>
      <c r="AA5" s="30"/>
      <c r="AB5" s="30"/>
      <c r="AC5" s="30">
        <v>2440</v>
      </c>
      <c r="AD5" s="30"/>
      <c r="AE5" s="30"/>
      <c r="AF5" s="30"/>
      <c r="AG5" s="30"/>
      <c r="AH5" s="41">
        <v>2090</v>
      </c>
      <c r="AI5" s="41"/>
      <c r="AJ5" s="41"/>
      <c r="AK5" s="41"/>
      <c r="AL5" s="41"/>
      <c r="AM5" s="41"/>
      <c r="AN5" s="41">
        <v>616</v>
      </c>
      <c r="AO5" s="41">
        <v>616</v>
      </c>
      <c r="AP5" s="81" t="s">
        <v>1278</v>
      </c>
      <c r="AQ5" s="36">
        <v>44972</v>
      </c>
      <c r="AR5" s="36">
        <v>45031</v>
      </c>
      <c r="AS5" s="36">
        <v>45261</v>
      </c>
      <c r="AT5" s="36">
        <v>44986</v>
      </c>
      <c r="AU5" s="36">
        <v>45046</v>
      </c>
      <c r="AV5" s="36">
        <v>45275</v>
      </c>
      <c r="AW5" s="40" t="s">
        <v>87</v>
      </c>
      <c r="AX5" s="80"/>
      <c r="BC5" s="65"/>
      <c r="BD5" s="65"/>
    </row>
    <row r="6" spans="1:56" ht="51.75" customHeight="1" x14ac:dyDescent="0.3">
      <c r="A6" s="39" t="s">
        <v>1279</v>
      </c>
      <c r="B6" s="36">
        <v>44887</v>
      </c>
      <c r="C6" s="37">
        <v>545</v>
      </c>
      <c r="D6" s="39" t="s">
        <v>1280</v>
      </c>
      <c r="E6" s="1" t="s">
        <v>1281</v>
      </c>
      <c r="F6" s="36">
        <v>44907</v>
      </c>
      <c r="G6" s="39" t="s">
        <v>1282</v>
      </c>
      <c r="H6" s="40" t="s">
        <v>224</v>
      </c>
      <c r="I6" s="40" t="s">
        <v>1283</v>
      </c>
      <c r="J6" s="41">
        <v>246317174.40000001</v>
      </c>
      <c r="K6" s="41">
        <v>246317174.40000001</v>
      </c>
      <c r="L6" s="30">
        <v>246317174.40000001</v>
      </c>
      <c r="M6" s="30">
        <v>246317174.40000001</v>
      </c>
      <c r="N6" s="40" t="s">
        <v>1271</v>
      </c>
      <c r="O6" s="38" t="s">
        <v>1284</v>
      </c>
      <c r="P6" s="40" t="s">
        <v>199</v>
      </c>
      <c r="Q6" s="40">
        <v>0</v>
      </c>
      <c r="R6" s="40">
        <v>100</v>
      </c>
      <c r="S6" s="44" t="s">
        <v>219</v>
      </c>
      <c r="T6" s="37">
        <v>12</v>
      </c>
      <c r="U6" s="37">
        <v>247306.4</v>
      </c>
      <c r="V6" s="45">
        <v>2967676.8</v>
      </c>
      <c r="W6" s="30">
        <v>996</v>
      </c>
      <c r="X6" s="30">
        <v>708</v>
      </c>
      <c r="Y6" s="30"/>
      <c r="Z6" s="30"/>
      <c r="AA6" s="30"/>
      <c r="AB6" s="30"/>
      <c r="AC6" s="30">
        <v>288</v>
      </c>
      <c r="AD6" s="30"/>
      <c r="AE6" s="30"/>
      <c r="AF6" s="30"/>
      <c r="AG6" s="30"/>
      <c r="AH6" s="41"/>
      <c r="AI6" s="41"/>
      <c r="AJ6" s="41"/>
      <c r="AK6" s="41"/>
      <c r="AL6" s="41"/>
      <c r="AM6" s="41"/>
      <c r="AN6" s="41">
        <v>83</v>
      </c>
      <c r="AO6" s="41">
        <v>83</v>
      </c>
      <c r="AP6" s="47" t="s">
        <v>1285</v>
      </c>
      <c r="AQ6" s="36">
        <v>44972</v>
      </c>
      <c r="AR6" s="36">
        <v>45031</v>
      </c>
      <c r="AS6" s="36"/>
      <c r="AT6" s="36">
        <v>44986</v>
      </c>
      <c r="AU6" s="36">
        <v>45046</v>
      </c>
      <c r="AV6" s="36"/>
      <c r="AW6" s="40" t="s">
        <v>87</v>
      </c>
      <c r="AX6" s="80"/>
      <c r="BC6" s="65"/>
      <c r="BD6" s="65"/>
    </row>
    <row r="7" spans="1:56" ht="57.75" customHeight="1" x14ac:dyDescent="0.3">
      <c r="A7" s="39" t="s">
        <v>1286</v>
      </c>
      <c r="B7" s="36">
        <v>44887</v>
      </c>
      <c r="C7" s="37">
        <v>545</v>
      </c>
      <c r="D7" s="39" t="s">
        <v>1287</v>
      </c>
      <c r="E7" s="1" t="s">
        <v>1288</v>
      </c>
      <c r="F7" s="36">
        <v>44907</v>
      </c>
      <c r="G7" s="39" t="s">
        <v>1289</v>
      </c>
      <c r="H7" s="40" t="s">
        <v>224</v>
      </c>
      <c r="I7" s="40" t="s">
        <v>1261</v>
      </c>
      <c r="J7" s="41">
        <v>249191739.19999999</v>
      </c>
      <c r="K7" s="41">
        <v>249191739.19999999</v>
      </c>
      <c r="L7" s="30">
        <v>257703032</v>
      </c>
      <c r="M7" s="30">
        <v>257703032</v>
      </c>
      <c r="N7" s="40" t="s">
        <v>1262</v>
      </c>
      <c r="O7" s="38" t="s">
        <v>1263</v>
      </c>
      <c r="P7" s="40" t="s">
        <v>1264</v>
      </c>
      <c r="Q7" s="40">
        <v>0</v>
      </c>
      <c r="R7" s="40">
        <v>100</v>
      </c>
      <c r="S7" s="44" t="s">
        <v>219</v>
      </c>
      <c r="T7" s="37">
        <v>10</v>
      </c>
      <c r="U7" s="37">
        <v>47284.959999999999</v>
      </c>
      <c r="V7" s="45">
        <v>472849.6</v>
      </c>
      <c r="W7" s="30">
        <v>5450</v>
      </c>
      <c r="X7" s="30">
        <v>1460</v>
      </c>
      <c r="Y7" s="30"/>
      <c r="Z7" s="30"/>
      <c r="AA7" s="30"/>
      <c r="AB7" s="30"/>
      <c r="AC7" s="30">
        <v>2200</v>
      </c>
      <c r="AD7" s="30"/>
      <c r="AE7" s="30"/>
      <c r="AF7" s="30"/>
      <c r="AG7" s="30"/>
      <c r="AH7" s="41">
        <v>1790</v>
      </c>
      <c r="AI7" s="41"/>
      <c r="AJ7" s="41"/>
      <c r="AK7" s="41"/>
      <c r="AL7" s="41"/>
      <c r="AM7" s="41"/>
      <c r="AN7" s="41">
        <v>545</v>
      </c>
      <c r="AO7" s="41">
        <v>545</v>
      </c>
      <c r="AP7" s="47" t="s">
        <v>1273</v>
      </c>
      <c r="AQ7" s="36">
        <v>44972</v>
      </c>
      <c r="AR7" s="36">
        <v>45031</v>
      </c>
      <c r="AS7" s="36">
        <v>45261</v>
      </c>
      <c r="AT7" s="36">
        <v>44986</v>
      </c>
      <c r="AU7" s="36">
        <v>45046</v>
      </c>
      <c r="AV7" s="36">
        <v>45275</v>
      </c>
      <c r="AW7" s="40" t="s">
        <v>87</v>
      </c>
      <c r="AX7" s="80"/>
      <c r="BC7" s="65"/>
      <c r="BD7" s="65"/>
    </row>
    <row r="8" spans="1:56" ht="60.75" customHeight="1" x14ac:dyDescent="0.3">
      <c r="A8" s="39" t="s">
        <v>1290</v>
      </c>
      <c r="B8" s="36">
        <v>44887</v>
      </c>
      <c r="C8" s="37">
        <v>545</v>
      </c>
      <c r="D8" s="39" t="s">
        <v>1291</v>
      </c>
      <c r="E8" s="1" t="s">
        <v>1292</v>
      </c>
      <c r="F8" s="36">
        <v>44907</v>
      </c>
      <c r="G8" s="39" t="s">
        <v>1293</v>
      </c>
      <c r="H8" s="40" t="s">
        <v>224</v>
      </c>
      <c r="I8" s="40" t="s">
        <v>1294</v>
      </c>
      <c r="J8" s="41">
        <v>227913507.19999999</v>
      </c>
      <c r="K8" s="41">
        <v>227913507.19999999</v>
      </c>
      <c r="L8" s="30">
        <v>262904377.59999999</v>
      </c>
      <c r="M8" s="30">
        <v>262904377.59999999</v>
      </c>
      <c r="N8" s="40" t="s">
        <v>1262</v>
      </c>
      <c r="O8" s="38" t="s">
        <v>1263</v>
      </c>
      <c r="P8" s="40" t="s">
        <v>1264</v>
      </c>
      <c r="Q8" s="40">
        <v>0</v>
      </c>
      <c r="R8" s="40">
        <v>100</v>
      </c>
      <c r="S8" s="44" t="s">
        <v>219</v>
      </c>
      <c r="T8" s="37">
        <v>10</v>
      </c>
      <c r="U8" s="37">
        <v>47284.959999999999</v>
      </c>
      <c r="V8" s="45">
        <v>472849.6</v>
      </c>
      <c r="W8" s="30">
        <v>5560</v>
      </c>
      <c r="X8" s="30">
        <v>1330</v>
      </c>
      <c r="Y8" s="30"/>
      <c r="Z8" s="30"/>
      <c r="AA8" s="30"/>
      <c r="AB8" s="30"/>
      <c r="AC8" s="30">
        <v>2000</v>
      </c>
      <c r="AD8" s="30"/>
      <c r="AE8" s="30"/>
      <c r="AF8" s="30"/>
      <c r="AG8" s="30"/>
      <c r="AH8" s="41">
        <v>2230</v>
      </c>
      <c r="AI8" s="41"/>
      <c r="AJ8" s="41"/>
      <c r="AK8" s="41"/>
      <c r="AL8" s="41"/>
      <c r="AM8" s="41"/>
      <c r="AN8" s="41">
        <v>556</v>
      </c>
      <c r="AO8" s="41">
        <v>556</v>
      </c>
      <c r="AP8" s="47" t="s">
        <v>1256</v>
      </c>
      <c r="AQ8" s="36">
        <v>44972</v>
      </c>
      <c r="AR8" s="36">
        <v>45031</v>
      </c>
      <c r="AS8" s="36">
        <v>45261</v>
      </c>
      <c r="AT8" s="36">
        <v>44986</v>
      </c>
      <c r="AU8" s="36">
        <v>45046</v>
      </c>
      <c r="AV8" s="36">
        <v>45000</v>
      </c>
      <c r="AW8" s="40" t="s">
        <v>87</v>
      </c>
      <c r="AX8" s="80"/>
      <c r="BC8" s="65"/>
      <c r="BD8" s="65"/>
    </row>
    <row r="9" spans="1:56" ht="51.75" customHeight="1" x14ac:dyDescent="0.3">
      <c r="A9" s="39" t="s">
        <v>1295</v>
      </c>
      <c r="B9" s="36">
        <v>44887</v>
      </c>
      <c r="C9" s="37">
        <v>545</v>
      </c>
      <c r="D9" s="39" t="s">
        <v>1296</v>
      </c>
      <c r="E9" s="1" t="s">
        <v>1297</v>
      </c>
      <c r="F9" s="36">
        <v>44907</v>
      </c>
      <c r="G9" s="39" t="s">
        <v>1298</v>
      </c>
      <c r="H9" s="40" t="s">
        <v>224</v>
      </c>
      <c r="I9" s="40" t="s">
        <v>1299</v>
      </c>
      <c r="J9" s="41">
        <v>111969000</v>
      </c>
      <c r="K9" s="41">
        <v>111969000</v>
      </c>
      <c r="L9" s="30">
        <v>111969000</v>
      </c>
      <c r="M9" s="30">
        <v>111969000</v>
      </c>
      <c r="N9" s="37" t="s">
        <v>1300</v>
      </c>
      <c r="O9" s="38" t="s">
        <v>1301</v>
      </c>
      <c r="P9" s="40" t="s">
        <v>1032</v>
      </c>
      <c r="Q9" s="40">
        <v>0</v>
      </c>
      <c r="R9" s="40">
        <v>100</v>
      </c>
      <c r="S9" s="44" t="s">
        <v>200</v>
      </c>
      <c r="T9" s="37">
        <v>60</v>
      </c>
      <c r="U9" s="37">
        <v>15950</v>
      </c>
      <c r="V9" s="45">
        <v>957000</v>
      </c>
      <c r="W9" s="30">
        <v>7020</v>
      </c>
      <c r="X9" s="30">
        <v>7020</v>
      </c>
      <c r="Y9" s="30"/>
      <c r="Z9" s="30"/>
      <c r="AA9" s="30"/>
      <c r="AB9" s="30"/>
      <c r="AC9" s="30"/>
      <c r="AD9" s="30"/>
      <c r="AE9" s="30"/>
      <c r="AF9" s="30"/>
      <c r="AG9" s="30"/>
      <c r="AH9" s="41"/>
      <c r="AI9" s="41"/>
      <c r="AJ9" s="41"/>
      <c r="AK9" s="41"/>
      <c r="AL9" s="41"/>
      <c r="AM9" s="41"/>
      <c r="AN9" s="41">
        <v>117</v>
      </c>
      <c r="AO9" s="41">
        <v>117</v>
      </c>
      <c r="AP9" s="81" t="s">
        <v>1302</v>
      </c>
      <c r="AQ9" s="36">
        <v>44972</v>
      </c>
      <c r="AR9" s="36"/>
      <c r="AS9" s="36"/>
      <c r="AT9" s="36">
        <v>44986</v>
      </c>
      <c r="AU9" s="36"/>
      <c r="AV9" s="36"/>
      <c r="AW9" s="40" t="s">
        <v>87</v>
      </c>
      <c r="AX9" s="80"/>
      <c r="BC9" s="65"/>
      <c r="BD9" s="65"/>
    </row>
    <row r="10" spans="1:56" ht="65.25" customHeight="1" x14ac:dyDescent="0.3">
      <c r="A10" s="39" t="s">
        <v>1303</v>
      </c>
      <c r="B10" s="36">
        <v>44887</v>
      </c>
      <c r="C10" s="37">
        <v>545</v>
      </c>
      <c r="D10" s="39" t="s">
        <v>1304</v>
      </c>
      <c r="E10" s="1" t="s">
        <v>1305</v>
      </c>
      <c r="F10" s="36">
        <v>44907</v>
      </c>
      <c r="G10" s="39" t="s">
        <v>1306</v>
      </c>
      <c r="H10" s="40" t="s">
        <v>224</v>
      </c>
      <c r="I10" s="40" t="s">
        <v>1307</v>
      </c>
      <c r="J10" s="41">
        <v>284420400</v>
      </c>
      <c r="K10" s="41">
        <v>284420400</v>
      </c>
      <c r="L10" s="30">
        <v>284420400</v>
      </c>
      <c r="M10" s="30">
        <v>284420400</v>
      </c>
      <c r="N10" s="37" t="s">
        <v>1300</v>
      </c>
      <c r="O10" s="38" t="s">
        <v>1308</v>
      </c>
      <c r="P10" s="40" t="s">
        <v>1032</v>
      </c>
      <c r="Q10" s="40">
        <v>0</v>
      </c>
      <c r="R10" s="40">
        <v>100</v>
      </c>
      <c r="S10" s="44" t="s">
        <v>200</v>
      </c>
      <c r="T10" s="37">
        <v>60</v>
      </c>
      <c r="U10" s="37">
        <v>6380</v>
      </c>
      <c r="V10" s="45">
        <v>382800</v>
      </c>
      <c r="W10" s="30">
        <v>44580</v>
      </c>
      <c r="X10" s="30">
        <v>44580</v>
      </c>
      <c r="Y10" s="30"/>
      <c r="Z10" s="30"/>
      <c r="AA10" s="30"/>
      <c r="AB10" s="30"/>
      <c r="AC10" s="30"/>
      <c r="AD10" s="30"/>
      <c r="AE10" s="30"/>
      <c r="AF10" s="30"/>
      <c r="AG10" s="30"/>
      <c r="AH10" s="41"/>
      <c r="AI10" s="41"/>
      <c r="AJ10" s="41"/>
      <c r="AK10" s="41"/>
      <c r="AL10" s="41"/>
      <c r="AM10" s="41"/>
      <c r="AN10" s="41">
        <v>743</v>
      </c>
      <c r="AO10" s="41">
        <v>743</v>
      </c>
      <c r="AP10" s="81" t="s">
        <v>1309</v>
      </c>
      <c r="AQ10" s="36">
        <v>44972</v>
      </c>
      <c r="AR10" s="36"/>
      <c r="AS10" s="36"/>
      <c r="AT10" s="36">
        <v>44986</v>
      </c>
      <c r="AU10" s="36"/>
      <c r="AV10" s="36"/>
      <c r="AW10" s="40" t="s">
        <v>87</v>
      </c>
      <c r="AX10" s="80"/>
      <c r="BC10" s="65"/>
      <c r="BD10" s="65"/>
    </row>
    <row r="11" spans="1:56" ht="72" x14ac:dyDescent="0.3">
      <c r="A11" s="39" t="s">
        <v>1310</v>
      </c>
      <c r="B11" s="36">
        <v>44887</v>
      </c>
      <c r="C11" s="37">
        <v>545</v>
      </c>
      <c r="D11" s="39" t="s">
        <v>1311</v>
      </c>
      <c r="E11" s="1" t="s">
        <v>1312</v>
      </c>
      <c r="F11" s="36">
        <v>44907</v>
      </c>
      <c r="G11" s="39" t="s">
        <v>1313</v>
      </c>
      <c r="H11" s="40" t="s">
        <v>224</v>
      </c>
      <c r="I11" s="40" t="s">
        <v>1314</v>
      </c>
      <c r="J11" s="41">
        <v>164986800</v>
      </c>
      <c r="K11" s="41">
        <v>164986800</v>
      </c>
      <c r="L11" s="30">
        <v>164986800</v>
      </c>
      <c r="M11" s="30">
        <v>164986800</v>
      </c>
      <c r="N11" s="37" t="s">
        <v>1300</v>
      </c>
      <c r="O11" s="38" t="s">
        <v>1308</v>
      </c>
      <c r="P11" s="40" t="s">
        <v>1032</v>
      </c>
      <c r="Q11" s="40">
        <v>0</v>
      </c>
      <c r="R11" s="40">
        <v>100</v>
      </c>
      <c r="S11" s="44" t="s">
        <v>200</v>
      </c>
      <c r="T11" s="37">
        <v>60</v>
      </c>
      <c r="U11" s="37">
        <v>6380</v>
      </c>
      <c r="V11" s="45">
        <v>382800</v>
      </c>
      <c r="W11" s="30">
        <v>25860</v>
      </c>
      <c r="X11" s="30">
        <v>25860</v>
      </c>
      <c r="Y11" s="30"/>
      <c r="Z11" s="30"/>
      <c r="AA11" s="30"/>
      <c r="AB11" s="30"/>
      <c r="AC11" s="30"/>
      <c r="AD11" s="30"/>
      <c r="AE11" s="30"/>
      <c r="AF11" s="30"/>
      <c r="AG11" s="30"/>
      <c r="AH11" s="41"/>
      <c r="AI11" s="41"/>
      <c r="AJ11" s="41"/>
      <c r="AK11" s="41"/>
      <c r="AL11" s="41"/>
      <c r="AM11" s="41"/>
      <c r="AN11" s="41">
        <v>431</v>
      </c>
      <c r="AO11" s="41">
        <v>431</v>
      </c>
      <c r="AP11" s="81" t="s">
        <v>1315</v>
      </c>
      <c r="AQ11" s="36">
        <v>44972</v>
      </c>
      <c r="AR11" s="36"/>
      <c r="AS11" s="36"/>
      <c r="AT11" s="36">
        <v>44986</v>
      </c>
      <c r="AU11" s="36"/>
      <c r="AV11" s="36"/>
      <c r="AW11" s="40" t="s">
        <v>87</v>
      </c>
      <c r="AX11" s="80"/>
      <c r="BC11" s="65"/>
      <c r="BD11" s="65"/>
    </row>
    <row r="12" spans="1:56" ht="66" customHeight="1" x14ac:dyDescent="0.3">
      <c r="A12" s="39" t="s">
        <v>1316</v>
      </c>
      <c r="B12" s="36">
        <v>44887</v>
      </c>
      <c r="C12" s="37">
        <v>545</v>
      </c>
      <c r="D12" s="39" t="s">
        <v>1317</v>
      </c>
      <c r="E12" s="1" t="s">
        <v>1318</v>
      </c>
      <c r="F12" s="36">
        <v>44907</v>
      </c>
      <c r="G12" s="39" t="s">
        <v>1319</v>
      </c>
      <c r="H12" s="40" t="s">
        <v>224</v>
      </c>
      <c r="I12" s="40" t="s">
        <v>1314</v>
      </c>
      <c r="J12" s="41">
        <v>199438800</v>
      </c>
      <c r="K12" s="41">
        <v>199438800</v>
      </c>
      <c r="L12" s="30">
        <v>199438800</v>
      </c>
      <c r="M12" s="30">
        <v>199438800</v>
      </c>
      <c r="N12" s="37" t="s">
        <v>1300</v>
      </c>
      <c r="O12" s="38" t="s">
        <v>1308</v>
      </c>
      <c r="P12" s="40" t="s">
        <v>1032</v>
      </c>
      <c r="Q12" s="40">
        <v>0</v>
      </c>
      <c r="R12" s="40">
        <v>100</v>
      </c>
      <c r="S12" s="44" t="s">
        <v>200</v>
      </c>
      <c r="T12" s="37">
        <v>60</v>
      </c>
      <c r="U12" s="37">
        <v>6380</v>
      </c>
      <c r="V12" s="45">
        <v>382800</v>
      </c>
      <c r="W12" s="30">
        <v>31260</v>
      </c>
      <c r="X12" s="30">
        <v>31260</v>
      </c>
      <c r="Y12" s="30"/>
      <c r="Z12" s="30"/>
      <c r="AA12" s="30"/>
      <c r="AB12" s="30"/>
      <c r="AC12" s="30"/>
      <c r="AD12" s="30"/>
      <c r="AE12" s="30"/>
      <c r="AF12" s="30"/>
      <c r="AG12" s="30"/>
      <c r="AH12" s="41"/>
      <c r="AI12" s="41"/>
      <c r="AJ12" s="41"/>
      <c r="AK12" s="41"/>
      <c r="AL12" s="41"/>
      <c r="AM12" s="41"/>
      <c r="AN12" s="41">
        <v>521</v>
      </c>
      <c r="AO12" s="41">
        <v>521</v>
      </c>
      <c r="AP12" s="81" t="s">
        <v>1320</v>
      </c>
      <c r="AQ12" s="36">
        <v>44972</v>
      </c>
      <c r="AR12" s="36"/>
      <c r="AS12" s="36"/>
      <c r="AT12" s="36">
        <v>44986</v>
      </c>
      <c r="AU12" s="36"/>
      <c r="AV12" s="36"/>
      <c r="AW12" s="40" t="s">
        <v>87</v>
      </c>
      <c r="AX12" s="80"/>
      <c r="BC12" s="65"/>
      <c r="BD12" s="65"/>
    </row>
    <row r="13" spans="1:56" ht="43.5" customHeight="1" x14ac:dyDescent="0.3">
      <c r="A13" s="39" t="s">
        <v>1321</v>
      </c>
      <c r="B13" s="36">
        <v>44887</v>
      </c>
      <c r="C13" s="37">
        <v>545</v>
      </c>
      <c r="D13" s="39" t="s">
        <v>1322</v>
      </c>
      <c r="E13" s="1" t="s">
        <v>1323</v>
      </c>
      <c r="F13" s="36">
        <v>44907</v>
      </c>
      <c r="G13" s="39" t="s">
        <v>1324</v>
      </c>
      <c r="H13" s="40" t="s">
        <v>224</v>
      </c>
      <c r="I13" s="40" t="s">
        <v>1307</v>
      </c>
      <c r="J13" s="41">
        <v>289396800</v>
      </c>
      <c r="K13" s="41">
        <v>289396800</v>
      </c>
      <c r="L13" s="30">
        <v>289396800</v>
      </c>
      <c r="M13" s="30">
        <v>289396800</v>
      </c>
      <c r="N13" s="37" t="s">
        <v>1300</v>
      </c>
      <c r="O13" s="38" t="s">
        <v>1308</v>
      </c>
      <c r="P13" s="40" t="s">
        <v>1032</v>
      </c>
      <c r="Q13" s="40">
        <v>0</v>
      </c>
      <c r="R13" s="40">
        <v>100</v>
      </c>
      <c r="S13" s="44" t="s">
        <v>200</v>
      </c>
      <c r="T13" s="37">
        <v>60</v>
      </c>
      <c r="U13" s="37">
        <v>6380</v>
      </c>
      <c r="V13" s="45">
        <v>382800</v>
      </c>
      <c r="W13" s="30">
        <v>45360</v>
      </c>
      <c r="X13" s="30">
        <v>45360</v>
      </c>
      <c r="Y13" s="30"/>
      <c r="Z13" s="30"/>
      <c r="AA13" s="30"/>
      <c r="AB13" s="30"/>
      <c r="AC13" s="30"/>
      <c r="AD13" s="30"/>
      <c r="AE13" s="30"/>
      <c r="AF13" s="30"/>
      <c r="AG13" s="30"/>
      <c r="AH13" s="41"/>
      <c r="AI13" s="41"/>
      <c r="AJ13" s="41"/>
      <c r="AK13" s="41"/>
      <c r="AL13" s="41"/>
      <c r="AM13" s="41"/>
      <c r="AN13" s="41">
        <v>756</v>
      </c>
      <c r="AO13" s="41">
        <v>756</v>
      </c>
      <c r="AP13" s="81" t="s">
        <v>1325</v>
      </c>
      <c r="AQ13" s="36">
        <v>44972</v>
      </c>
      <c r="AR13" s="36"/>
      <c r="AS13" s="36"/>
      <c r="AT13" s="36">
        <v>44986</v>
      </c>
      <c r="AU13" s="36"/>
      <c r="AV13" s="36"/>
      <c r="AW13" s="40" t="s">
        <v>87</v>
      </c>
      <c r="AX13" s="80"/>
      <c r="BC13" s="65"/>
      <c r="BD13" s="65"/>
    </row>
    <row r="14" spans="1:56" ht="72" x14ac:dyDescent="0.3">
      <c r="A14" s="39" t="s">
        <v>1326</v>
      </c>
      <c r="B14" s="36">
        <v>44887</v>
      </c>
      <c r="C14" s="37">
        <v>545</v>
      </c>
      <c r="D14" s="39" t="s">
        <v>1327</v>
      </c>
      <c r="E14" s="1" t="s">
        <v>1328</v>
      </c>
      <c r="F14" s="36">
        <v>44907</v>
      </c>
      <c r="G14" s="39" t="s">
        <v>1329</v>
      </c>
      <c r="H14" s="40" t="s">
        <v>224</v>
      </c>
      <c r="I14" s="40" t="s">
        <v>1299</v>
      </c>
      <c r="J14" s="41">
        <v>295713000</v>
      </c>
      <c r="K14" s="41">
        <v>295713000</v>
      </c>
      <c r="L14" s="30">
        <v>295713000</v>
      </c>
      <c r="M14" s="30">
        <v>295713000</v>
      </c>
      <c r="N14" s="37" t="s">
        <v>1300</v>
      </c>
      <c r="O14" s="38" t="s">
        <v>1301</v>
      </c>
      <c r="P14" s="40" t="s">
        <v>1032</v>
      </c>
      <c r="Q14" s="40">
        <v>0</v>
      </c>
      <c r="R14" s="40">
        <v>100</v>
      </c>
      <c r="S14" s="44" t="s">
        <v>200</v>
      </c>
      <c r="T14" s="37">
        <v>60</v>
      </c>
      <c r="U14" s="37">
        <v>15950</v>
      </c>
      <c r="V14" s="45">
        <v>957000</v>
      </c>
      <c r="W14" s="30">
        <v>18540</v>
      </c>
      <c r="X14" s="30">
        <v>18540</v>
      </c>
      <c r="Y14" s="30"/>
      <c r="Z14" s="30"/>
      <c r="AA14" s="30"/>
      <c r="AB14" s="30"/>
      <c r="AC14" s="30"/>
      <c r="AD14" s="30"/>
      <c r="AE14" s="30"/>
      <c r="AF14" s="30"/>
      <c r="AG14" s="30"/>
      <c r="AH14" s="41"/>
      <c r="AI14" s="41"/>
      <c r="AJ14" s="41"/>
      <c r="AK14" s="41"/>
      <c r="AL14" s="41"/>
      <c r="AM14" s="41"/>
      <c r="AN14" s="41">
        <v>309</v>
      </c>
      <c r="AO14" s="41">
        <v>309</v>
      </c>
      <c r="AP14" s="81" t="s">
        <v>1273</v>
      </c>
      <c r="AQ14" s="36">
        <v>44972</v>
      </c>
      <c r="AR14" s="36"/>
      <c r="AS14" s="36"/>
      <c r="AT14" s="36">
        <v>44986</v>
      </c>
      <c r="AU14" s="36"/>
      <c r="AV14" s="36"/>
      <c r="AW14" s="40" t="s">
        <v>87</v>
      </c>
      <c r="AX14" s="80"/>
      <c r="BC14" s="65"/>
      <c r="BD14" s="65"/>
    </row>
    <row r="15" spans="1:56" ht="72" x14ac:dyDescent="0.3">
      <c r="A15" s="39" t="s">
        <v>1330</v>
      </c>
      <c r="B15" s="36">
        <v>44888</v>
      </c>
      <c r="C15" s="37">
        <v>545</v>
      </c>
      <c r="D15" s="39" t="s">
        <v>1331</v>
      </c>
      <c r="E15" s="1" t="s">
        <v>1332</v>
      </c>
      <c r="F15" s="36">
        <v>44908</v>
      </c>
      <c r="G15" s="39" t="s">
        <v>1333</v>
      </c>
      <c r="H15" s="40" t="s">
        <v>224</v>
      </c>
      <c r="I15" s="40" t="s">
        <v>1314</v>
      </c>
      <c r="J15" s="41">
        <v>289779600</v>
      </c>
      <c r="K15" s="41">
        <v>289779600</v>
      </c>
      <c r="L15" s="30">
        <v>289779600</v>
      </c>
      <c r="M15" s="30">
        <v>289779600</v>
      </c>
      <c r="N15" s="37" t="s">
        <v>1300</v>
      </c>
      <c r="O15" s="40" t="s">
        <v>1308</v>
      </c>
      <c r="P15" s="40" t="s">
        <v>1032</v>
      </c>
      <c r="Q15" s="40">
        <v>0</v>
      </c>
      <c r="R15" s="40">
        <v>100</v>
      </c>
      <c r="S15" s="44" t="s">
        <v>200</v>
      </c>
      <c r="T15" s="37">
        <v>60</v>
      </c>
      <c r="U15" s="30">
        <v>6380</v>
      </c>
      <c r="V15" s="41">
        <v>382800</v>
      </c>
      <c r="W15" s="41">
        <v>45420</v>
      </c>
      <c r="X15" s="41">
        <v>45420</v>
      </c>
      <c r="Y15" s="41"/>
      <c r="Z15" s="41"/>
      <c r="AA15" s="41"/>
      <c r="AB15" s="41"/>
      <c r="AC15" s="41"/>
      <c r="AD15" s="41"/>
      <c r="AE15" s="41"/>
      <c r="AF15" s="41"/>
      <c r="AG15" s="41"/>
      <c r="AH15" s="41"/>
      <c r="AI15" s="41"/>
      <c r="AJ15" s="41"/>
      <c r="AK15" s="41"/>
      <c r="AL15" s="41"/>
      <c r="AM15" s="41"/>
      <c r="AN15" s="41">
        <v>757</v>
      </c>
      <c r="AO15" s="41">
        <v>757</v>
      </c>
      <c r="AP15" s="40" t="s">
        <v>1334</v>
      </c>
      <c r="AQ15" s="36">
        <v>44972</v>
      </c>
      <c r="AR15" s="36"/>
      <c r="AS15" s="36"/>
      <c r="AT15" s="36">
        <v>44986</v>
      </c>
      <c r="AU15" s="36"/>
      <c r="AV15" s="38"/>
      <c r="AW15" s="40" t="s">
        <v>87</v>
      </c>
    </row>
    <row r="16" spans="1:56" ht="72" x14ac:dyDescent="0.3">
      <c r="A16" s="39" t="s">
        <v>1335</v>
      </c>
      <c r="B16" s="36">
        <v>44888</v>
      </c>
      <c r="C16" s="37">
        <v>545</v>
      </c>
      <c r="D16" s="39" t="s">
        <v>1336</v>
      </c>
      <c r="E16" s="1" t="s">
        <v>1337</v>
      </c>
      <c r="F16" s="36">
        <v>44908</v>
      </c>
      <c r="G16" s="39" t="s">
        <v>1338</v>
      </c>
      <c r="H16" s="40" t="s">
        <v>224</v>
      </c>
      <c r="I16" s="40" t="s">
        <v>1339</v>
      </c>
      <c r="J16" s="41">
        <v>193314000</v>
      </c>
      <c r="K16" s="41">
        <v>193314000</v>
      </c>
      <c r="L16" s="30">
        <v>193314000</v>
      </c>
      <c r="M16" s="30">
        <v>193314000</v>
      </c>
      <c r="N16" s="37" t="s">
        <v>1300</v>
      </c>
      <c r="O16" s="40" t="s">
        <v>1301</v>
      </c>
      <c r="P16" s="40" t="s">
        <v>1032</v>
      </c>
      <c r="Q16" s="44">
        <v>0</v>
      </c>
      <c r="R16" s="37">
        <v>100</v>
      </c>
      <c r="S16" s="37" t="s">
        <v>200</v>
      </c>
      <c r="T16" s="48">
        <v>60</v>
      </c>
      <c r="U16" s="30">
        <v>15950</v>
      </c>
      <c r="V16" s="41">
        <v>957000</v>
      </c>
      <c r="W16" s="41">
        <v>12120</v>
      </c>
      <c r="X16" s="41">
        <v>12120</v>
      </c>
      <c r="Y16" s="41"/>
      <c r="Z16" s="41"/>
      <c r="AA16" s="41"/>
      <c r="AB16" s="41"/>
      <c r="AC16" s="41"/>
      <c r="AD16" s="41"/>
      <c r="AE16" s="41"/>
      <c r="AF16" s="41"/>
      <c r="AG16" s="41"/>
      <c r="AH16" s="41"/>
      <c r="AI16" s="41"/>
      <c r="AJ16" s="41"/>
      <c r="AK16" s="41"/>
      <c r="AL16" s="41"/>
      <c r="AM16" s="41"/>
      <c r="AN16" s="41">
        <v>202</v>
      </c>
      <c r="AO16" s="41">
        <v>202</v>
      </c>
      <c r="AP16" s="40" t="s">
        <v>1340</v>
      </c>
      <c r="AQ16" s="36">
        <v>44972</v>
      </c>
      <c r="AR16" s="36"/>
      <c r="AS16" s="36"/>
      <c r="AT16" s="36">
        <v>44986</v>
      </c>
      <c r="AU16" s="36"/>
      <c r="AV16" s="38"/>
      <c r="AW16" s="40" t="s">
        <v>87</v>
      </c>
    </row>
    <row r="17" spans="1:49" ht="93.6" x14ac:dyDescent="0.3">
      <c r="A17" s="39" t="s">
        <v>1341</v>
      </c>
      <c r="B17" s="36">
        <v>44888</v>
      </c>
      <c r="C17" s="37">
        <v>545</v>
      </c>
      <c r="D17" s="39" t="s">
        <v>1342</v>
      </c>
      <c r="E17" s="1" t="s">
        <v>1343</v>
      </c>
      <c r="F17" s="36">
        <v>44908</v>
      </c>
      <c r="G17" s="39" t="s">
        <v>1344</v>
      </c>
      <c r="H17" s="40" t="s">
        <v>224</v>
      </c>
      <c r="I17" s="40" t="s">
        <v>1314</v>
      </c>
      <c r="J17" s="41">
        <v>145846800</v>
      </c>
      <c r="K17" s="41">
        <v>145846800</v>
      </c>
      <c r="L17" s="30">
        <v>145846800</v>
      </c>
      <c r="M17" s="30">
        <v>145846800</v>
      </c>
      <c r="N17" s="37" t="s">
        <v>1300</v>
      </c>
      <c r="O17" s="40" t="s">
        <v>1308</v>
      </c>
      <c r="P17" s="40" t="s">
        <v>1032</v>
      </c>
      <c r="Q17" s="44">
        <v>0</v>
      </c>
      <c r="R17" s="37">
        <v>100</v>
      </c>
      <c r="S17" s="37" t="s">
        <v>200</v>
      </c>
      <c r="T17" s="48">
        <v>60</v>
      </c>
      <c r="U17" s="30">
        <v>6380</v>
      </c>
      <c r="V17" s="41">
        <v>382800</v>
      </c>
      <c r="W17" s="41">
        <v>22860</v>
      </c>
      <c r="X17" s="41">
        <v>22860</v>
      </c>
      <c r="Y17" s="41"/>
      <c r="Z17" s="41"/>
      <c r="AA17" s="41"/>
      <c r="AB17" s="41"/>
      <c r="AC17" s="41"/>
      <c r="AD17" s="41"/>
      <c r="AE17" s="41"/>
      <c r="AF17" s="41"/>
      <c r="AG17" s="41"/>
      <c r="AH17" s="41"/>
      <c r="AI17" s="41"/>
      <c r="AJ17" s="41"/>
      <c r="AK17" s="41"/>
      <c r="AL17" s="41"/>
      <c r="AM17" s="41"/>
      <c r="AN17" s="41">
        <v>381</v>
      </c>
      <c r="AO17" s="41">
        <v>381</v>
      </c>
      <c r="AP17" s="40" t="s">
        <v>1345</v>
      </c>
      <c r="AQ17" s="36">
        <v>44972</v>
      </c>
      <c r="AR17" s="36"/>
      <c r="AS17" s="36"/>
      <c r="AT17" s="36">
        <v>44986</v>
      </c>
      <c r="AU17" s="36"/>
      <c r="AV17" s="38"/>
      <c r="AW17" s="40" t="s">
        <v>87</v>
      </c>
    </row>
    <row r="18" spans="1:49" ht="78" x14ac:dyDescent="0.3">
      <c r="A18" s="39" t="s">
        <v>1346</v>
      </c>
      <c r="B18" s="36">
        <v>44889</v>
      </c>
      <c r="C18" s="37">
        <v>545</v>
      </c>
      <c r="D18" s="39" t="s">
        <v>1347</v>
      </c>
      <c r="E18" s="1" t="s">
        <v>1348</v>
      </c>
      <c r="F18" s="36">
        <v>44908</v>
      </c>
      <c r="G18" s="39" t="s">
        <v>1349</v>
      </c>
      <c r="H18" s="40" t="s">
        <v>802</v>
      </c>
      <c r="I18" s="40" t="s">
        <v>1350</v>
      </c>
      <c r="J18" s="57">
        <v>186928140</v>
      </c>
      <c r="K18" s="41">
        <v>186928140</v>
      </c>
      <c r="L18" s="30">
        <v>186928140</v>
      </c>
      <c r="M18" s="30">
        <v>186928140</v>
      </c>
      <c r="N18" s="40" t="s">
        <v>1351</v>
      </c>
      <c r="O18" s="40" t="s">
        <v>1352</v>
      </c>
      <c r="P18" s="40" t="s">
        <v>199</v>
      </c>
      <c r="Q18" s="44">
        <v>0</v>
      </c>
      <c r="R18" s="37">
        <v>100</v>
      </c>
      <c r="S18" s="37" t="s">
        <v>584</v>
      </c>
      <c r="T18" s="48">
        <v>50</v>
      </c>
      <c r="U18" s="30">
        <v>1004.99</v>
      </c>
      <c r="V18" s="41">
        <v>50249.5</v>
      </c>
      <c r="W18" s="41">
        <v>186000</v>
      </c>
      <c r="X18" s="41">
        <v>186000</v>
      </c>
      <c r="Y18" s="41"/>
      <c r="Z18" s="41"/>
      <c r="AA18" s="41"/>
      <c r="AB18" s="41"/>
      <c r="AC18" s="41"/>
      <c r="AD18" s="41"/>
      <c r="AE18" s="41"/>
      <c r="AF18" s="41"/>
      <c r="AG18" s="41"/>
      <c r="AH18" s="41"/>
      <c r="AI18" s="41"/>
      <c r="AJ18" s="41"/>
      <c r="AK18" s="41"/>
      <c r="AL18" s="41"/>
      <c r="AM18" s="41"/>
      <c r="AN18" s="41">
        <v>3720</v>
      </c>
      <c r="AO18" s="41">
        <v>3720</v>
      </c>
      <c r="AP18" s="40" t="s">
        <v>1353</v>
      </c>
      <c r="AQ18" s="36">
        <v>44972</v>
      </c>
      <c r="AR18" s="36"/>
      <c r="AS18" s="36"/>
      <c r="AT18" s="36">
        <v>44986</v>
      </c>
      <c r="AU18" s="36"/>
      <c r="AV18" s="38"/>
      <c r="AW18" s="40" t="s">
        <v>87</v>
      </c>
    </row>
    <row r="19" spans="1:49" ht="93.6" x14ac:dyDescent="0.3">
      <c r="A19" s="39" t="s">
        <v>1354</v>
      </c>
      <c r="B19" s="36">
        <v>44889</v>
      </c>
      <c r="C19" s="37">
        <v>545</v>
      </c>
      <c r="D19" s="39" t="s">
        <v>1355</v>
      </c>
      <c r="E19" s="1" t="s">
        <v>1356</v>
      </c>
      <c r="F19" s="36">
        <v>44908</v>
      </c>
      <c r="G19" s="39" t="s">
        <v>1357</v>
      </c>
      <c r="H19" s="40" t="s">
        <v>224</v>
      </c>
      <c r="I19" s="40" t="s">
        <v>1358</v>
      </c>
      <c r="J19" s="41">
        <v>220695975</v>
      </c>
      <c r="K19" s="41">
        <v>220695975</v>
      </c>
      <c r="L19" s="30">
        <v>220695975</v>
      </c>
      <c r="M19" s="30">
        <v>220695975</v>
      </c>
      <c r="N19" s="40" t="s">
        <v>936</v>
      </c>
      <c r="O19" s="40" t="s">
        <v>937</v>
      </c>
      <c r="P19" s="40" t="s">
        <v>348</v>
      </c>
      <c r="Q19" s="44">
        <v>0</v>
      </c>
      <c r="R19" s="37">
        <v>100</v>
      </c>
      <c r="S19" s="37" t="s">
        <v>219</v>
      </c>
      <c r="T19" s="48">
        <v>1</v>
      </c>
      <c r="U19" s="30">
        <v>554512.5</v>
      </c>
      <c r="V19" s="41">
        <v>554512.5</v>
      </c>
      <c r="W19" s="41">
        <v>398</v>
      </c>
      <c r="X19" s="41">
        <v>398</v>
      </c>
      <c r="Y19" s="41"/>
      <c r="Z19" s="41"/>
      <c r="AA19" s="41"/>
      <c r="AB19" s="41"/>
      <c r="AC19" s="41"/>
      <c r="AD19" s="41"/>
      <c r="AE19" s="41"/>
      <c r="AF19" s="41"/>
      <c r="AG19" s="41"/>
      <c r="AH19" s="41"/>
      <c r="AI19" s="41"/>
      <c r="AJ19" s="41"/>
      <c r="AK19" s="41"/>
      <c r="AL19" s="41"/>
      <c r="AM19" s="41"/>
      <c r="AN19" s="41">
        <v>398</v>
      </c>
      <c r="AO19" s="41">
        <v>398</v>
      </c>
      <c r="AP19" s="40" t="s">
        <v>1353</v>
      </c>
      <c r="AQ19" s="36">
        <v>44972</v>
      </c>
      <c r="AR19" s="36"/>
      <c r="AS19" s="36"/>
      <c r="AT19" s="36">
        <v>44986</v>
      </c>
      <c r="AU19" s="36"/>
      <c r="AV19" s="38"/>
      <c r="AW19" s="40" t="s">
        <v>87</v>
      </c>
    </row>
    <row r="20" spans="1:49" ht="66.75" customHeight="1" x14ac:dyDescent="0.3">
      <c r="A20" s="39" t="s">
        <v>1359</v>
      </c>
      <c r="B20" s="36">
        <v>44889</v>
      </c>
      <c r="C20" s="37">
        <v>545</v>
      </c>
      <c r="D20" s="39" t="s">
        <v>1360</v>
      </c>
      <c r="E20" s="1" t="s">
        <v>1361</v>
      </c>
      <c r="F20" s="36">
        <v>44908</v>
      </c>
      <c r="G20" s="39" t="s">
        <v>1362</v>
      </c>
      <c r="H20" s="40" t="s">
        <v>224</v>
      </c>
      <c r="I20" s="40" t="s">
        <v>1363</v>
      </c>
      <c r="J20" s="41">
        <v>195866668.80000001</v>
      </c>
      <c r="K20" s="41">
        <v>195866668.80000001</v>
      </c>
      <c r="L20" s="30">
        <v>195866668.80000001</v>
      </c>
      <c r="M20" s="30">
        <v>195866668.80000001</v>
      </c>
      <c r="N20" s="40" t="s">
        <v>1271</v>
      </c>
      <c r="O20" s="40" t="s">
        <v>1364</v>
      </c>
      <c r="P20" s="40" t="s">
        <v>199</v>
      </c>
      <c r="Q20" s="44">
        <v>0</v>
      </c>
      <c r="R20" s="37">
        <v>100</v>
      </c>
      <c r="S20" s="37" t="s">
        <v>219</v>
      </c>
      <c r="T20" s="67">
        <v>9.6</v>
      </c>
      <c r="U20" s="30">
        <v>618266</v>
      </c>
      <c r="V20" s="41">
        <v>5935353.5999999996</v>
      </c>
      <c r="W20" s="41">
        <v>316.8</v>
      </c>
      <c r="X20" s="41">
        <v>192</v>
      </c>
      <c r="Y20" s="41"/>
      <c r="Z20" s="41"/>
      <c r="AA20" s="41"/>
      <c r="AB20" s="41"/>
      <c r="AC20" s="41">
        <v>67.2</v>
      </c>
      <c r="AD20" s="41"/>
      <c r="AE20" s="41"/>
      <c r="AF20" s="41"/>
      <c r="AG20" s="41"/>
      <c r="AH20" s="41">
        <v>57.6</v>
      </c>
      <c r="AI20" s="41"/>
      <c r="AJ20" s="41"/>
      <c r="AK20" s="41"/>
      <c r="AL20" s="41"/>
      <c r="AM20" s="41"/>
      <c r="AN20" s="41">
        <v>33</v>
      </c>
      <c r="AO20" s="41">
        <v>33</v>
      </c>
      <c r="AP20" s="40" t="s">
        <v>1365</v>
      </c>
      <c r="AQ20" s="36">
        <v>44972</v>
      </c>
      <c r="AR20" s="36">
        <v>45031</v>
      </c>
      <c r="AS20" s="36">
        <v>45261</v>
      </c>
      <c r="AT20" s="36">
        <v>44986</v>
      </c>
      <c r="AU20" s="36">
        <v>45046</v>
      </c>
      <c r="AV20" s="38">
        <v>45275</v>
      </c>
      <c r="AW20" s="40" t="s">
        <v>68</v>
      </c>
    </row>
    <row r="21" spans="1:49" ht="66.75" customHeight="1" x14ac:dyDescent="0.3">
      <c r="A21" s="39" t="s">
        <v>1366</v>
      </c>
      <c r="B21" s="36">
        <v>44890</v>
      </c>
      <c r="C21" s="37">
        <v>545</v>
      </c>
      <c r="D21" s="39" t="s">
        <v>1367</v>
      </c>
      <c r="E21" s="1" t="s">
        <v>1368</v>
      </c>
      <c r="F21" s="36">
        <v>44911</v>
      </c>
      <c r="G21" s="39" t="s">
        <v>1369</v>
      </c>
      <c r="H21" s="40" t="s">
        <v>224</v>
      </c>
      <c r="I21" s="40" t="s">
        <v>1370</v>
      </c>
      <c r="J21" s="41">
        <v>237414144</v>
      </c>
      <c r="K21" s="41">
        <v>237414144</v>
      </c>
      <c r="L21" s="30">
        <v>278961619.19999999</v>
      </c>
      <c r="M21" s="30">
        <v>278961619.19999999</v>
      </c>
      <c r="N21" s="40" t="s">
        <v>1271</v>
      </c>
      <c r="O21" s="40" t="s">
        <v>1364</v>
      </c>
      <c r="P21" s="40" t="s">
        <v>199</v>
      </c>
      <c r="Q21" s="44">
        <v>0</v>
      </c>
      <c r="R21" s="37">
        <v>100</v>
      </c>
      <c r="S21" s="37" t="s">
        <v>219</v>
      </c>
      <c r="T21" s="67">
        <v>9.6</v>
      </c>
      <c r="U21" s="30">
        <v>618266</v>
      </c>
      <c r="V21" s="41">
        <v>5935353.5999999996</v>
      </c>
      <c r="W21" s="41">
        <v>451.2</v>
      </c>
      <c r="X21" s="41">
        <v>230.4</v>
      </c>
      <c r="Y21" s="41"/>
      <c r="Z21" s="41"/>
      <c r="AA21" s="41"/>
      <c r="AB21" s="41"/>
      <c r="AC21" s="41">
        <v>57.6</v>
      </c>
      <c r="AD21" s="41"/>
      <c r="AE21" s="41"/>
      <c r="AF21" s="41"/>
      <c r="AG21" s="41"/>
      <c r="AH21" s="41">
        <v>163.19999999999999</v>
      </c>
      <c r="AI21" s="41"/>
      <c r="AJ21" s="41"/>
      <c r="AK21" s="41"/>
      <c r="AL21" s="41"/>
      <c r="AM21" s="41"/>
      <c r="AN21" s="41">
        <v>47</v>
      </c>
      <c r="AO21" s="41">
        <v>47</v>
      </c>
      <c r="AP21" s="40" t="s">
        <v>1371</v>
      </c>
      <c r="AQ21" s="36">
        <v>44972</v>
      </c>
      <c r="AR21" s="36">
        <v>45031</v>
      </c>
      <c r="AS21" s="36">
        <v>45261</v>
      </c>
      <c r="AT21" s="36">
        <v>44986</v>
      </c>
      <c r="AU21" s="36">
        <v>45046</v>
      </c>
      <c r="AV21" s="38">
        <v>45275</v>
      </c>
      <c r="AW21" s="40" t="s">
        <v>87</v>
      </c>
    </row>
    <row r="22" spans="1:49" ht="66.75" customHeight="1" x14ac:dyDescent="0.3">
      <c r="A22" s="39" t="s">
        <v>1372</v>
      </c>
      <c r="B22" s="36">
        <v>44890</v>
      </c>
      <c r="C22" s="37">
        <v>545</v>
      </c>
      <c r="D22" s="39" t="s">
        <v>1373</v>
      </c>
      <c r="E22" s="1" t="s">
        <v>1374</v>
      </c>
      <c r="F22" s="36">
        <v>44918</v>
      </c>
      <c r="G22" s="39" t="s">
        <v>1375</v>
      </c>
      <c r="H22" s="40" t="s">
        <v>224</v>
      </c>
      <c r="I22" s="40" t="s">
        <v>1376</v>
      </c>
      <c r="J22" s="41">
        <v>308638387.19999999</v>
      </c>
      <c r="K22" s="41">
        <v>308638387.19999999</v>
      </c>
      <c r="L22" s="30">
        <v>308638387.19999999</v>
      </c>
      <c r="M22" s="30">
        <v>308638387.19999999</v>
      </c>
      <c r="N22" s="40" t="s">
        <v>1271</v>
      </c>
      <c r="O22" s="40" t="s">
        <v>1364</v>
      </c>
      <c r="P22" s="40" t="s">
        <v>199</v>
      </c>
      <c r="Q22" s="44">
        <v>0</v>
      </c>
      <c r="R22" s="37">
        <v>100</v>
      </c>
      <c r="S22" s="37" t="s">
        <v>219</v>
      </c>
      <c r="T22" s="67">
        <v>9.6</v>
      </c>
      <c r="U22" s="30">
        <v>618265.99999999988</v>
      </c>
      <c r="V22" s="41">
        <v>5935353.5999999987</v>
      </c>
      <c r="W22" s="41">
        <v>499.20000000000005</v>
      </c>
      <c r="X22" s="41">
        <v>288</v>
      </c>
      <c r="Y22" s="41"/>
      <c r="Z22" s="41"/>
      <c r="AA22" s="41"/>
      <c r="AB22" s="41"/>
      <c r="AC22" s="41">
        <v>76.8</v>
      </c>
      <c r="AD22" s="41"/>
      <c r="AE22" s="41"/>
      <c r="AF22" s="41"/>
      <c r="AG22" s="41"/>
      <c r="AH22" s="41">
        <v>134.4</v>
      </c>
      <c r="AI22" s="41"/>
      <c r="AJ22" s="41"/>
      <c r="AK22" s="41"/>
      <c r="AL22" s="41"/>
      <c r="AM22" s="41"/>
      <c r="AN22" s="41">
        <v>52.000000000000007</v>
      </c>
      <c r="AO22" s="41">
        <v>52</v>
      </c>
      <c r="AP22" s="40" t="s">
        <v>1377</v>
      </c>
      <c r="AQ22" s="36">
        <v>44972</v>
      </c>
      <c r="AR22" s="36">
        <v>45031</v>
      </c>
      <c r="AS22" s="36">
        <v>45261</v>
      </c>
      <c r="AT22" s="36">
        <v>44986</v>
      </c>
      <c r="AU22" s="36">
        <v>45046</v>
      </c>
      <c r="AV22" s="38">
        <v>45275</v>
      </c>
      <c r="AW22" s="40" t="s">
        <v>68</v>
      </c>
    </row>
    <row r="23" spans="1:49" ht="66.75" customHeight="1" x14ac:dyDescent="0.3">
      <c r="A23" s="39" t="s">
        <v>1378</v>
      </c>
      <c r="B23" s="36">
        <v>44890</v>
      </c>
      <c r="C23" s="37">
        <v>545</v>
      </c>
      <c r="D23" s="39" t="s">
        <v>1379</v>
      </c>
      <c r="E23" s="1" t="s">
        <v>1380</v>
      </c>
      <c r="F23" s="36">
        <v>44911</v>
      </c>
      <c r="G23" s="39" t="s">
        <v>1381</v>
      </c>
      <c r="H23" s="40" t="s">
        <v>224</v>
      </c>
      <c r="I23" s="40" t="s">
        <v>1363</v>
      </c>
      <c r="J23" s="41">
        <v>231478790.40000001</v>
      </c>
      <c r="K23" s="41">
        <v>231478790.40000001</v>
      </c>
      <c r="L23" s="30">
        <v>231478790.40000001</v>
      </c>
      <c r="M23" s="30">
        <v>231478790.40000001</v>
      </c>
      <c r="N23" s="40" t="s">
        <v>1271</v>
      </c>
      <c r="O23" s="40" t="s">
        <v>1364</v>
      </c>
      <c r="P23" s="40" t="s">
        <v>199</v>
      </c>
      <c r="Q23" s="44">
        <v>0</v>
      </c>
      <c r="R23" s="37">
        <v>100</v>
      </c>
      <c r="S23" s="37" t="s">
        <v>219</v>
      </c>
      <c r="T23" s="67">
        <v>9.6</v>
      </c>
      <c r="U23" s="30">
        <v>618266</v>
      </c>
      <c r="V23" s="41">
        <v>5935353.5999999996</v>
      </c>
      <c r="W23" s="41">
        <v>374.40000000000003</v>
      </c>
      <c r="X23" s="41">
        <v>220.8</v>
      </c>
      <c r="Y23" s="41"/>
      <c r="Z23" s="41"/>
      <c r="AA23" s="41"/>
      <c r="AB23" s="41"/>
      <c r="AC23" s="41">
        <v>57.6</v>
      </c>
      <c r="AD23" s="41"/>
      <c r="AE23" s="41"/>
      <c r="AF23" s="41"/>
      <c r="AG23" s="41"/>
      <c r="AH23" s="41">
        <v>96</v>
      </c>
      <c r="AI23" s="41"/>
      <c r="AJ23" s="41"/>
      <c r="AK23" s="41"/>
      <c r="AL23" s="41"/>
      <c r="AM23" s="41"/>
      <c r="AN23" s="41">
        <v>39.000000000000007</v>
      </c>
      <c r="AO23" s="41">
        <v>39</v>
      </c>
      <c r="AP23" s="40" t="s">
        <v>1382</v>
      </c>
      <c r="AQ23" s="36">
        <v>44972</v>
      </c>
      <c r="AR23" s="36">
        <v>45031</v>
      </c>
      <c r="AS23" s="36">
        <v>45261</v>
      </c>
      <c r="AT23" s="36">
        <v>44986</v>
      </c>
      <c r="AU23" s="36">
        <v>45046</v>
      </c>
      <c r="AV23" s="38">
        <v>45275</v>
      </c>
      <c r="AW23" s="40" t="s">
        <v>68</v>
      </c>
    </row>
    <row r="24" spans="1:49" ht="66.75" customHeight="1" x14ac:dyDescent="0.3">
      <c r="A24" s="39" t="s">
        <v>1383</v>
      </c>
      <c r="B24" s="36">
        <v>44890</v>
      </c>
      <c r="C24" s="37">
        <v>545</v>
      </c>
      <c r="D24" s="39" t="s">
        <v>1384</v>
      </c>
      <c r="E24" s="1" t="s">
        <v>1385</v>
      </c>
      <c r="F24" s="36">
        <v>44911</v>
      </c>
      <c r="G24" s="39" t="s">
        <v>1386</v>
      </c>
      <c r="H24" s="40" t="s">
        <v>224</v>
      </c>
      <c r="I24" s="40" t="s">
        <v>1363</v>
      </c>
      <c r="J24" s="41">
        <v>231478790.40000001</v>
      </c>
      <c r="K24" s="41">
        <v>231478790.40000001</v>
      </c>
      <c r="L24" s="30">
        <v>278961619.19999999</v>
      </c>
      <c r="M24" s="30">
        <v>278961619.19999999</v>
      </c>
      <c r="N24" s="40" t="s">
        <v>1271</v>
      </c>
      <c r="O24" s="40" t="s">
        <v>1364</v>
      </c>
      <c r="P24" s="40" t="s">
        <v>199</v>
      </c>
      <c r="Q24" s="44">
        <v>0</v>
      </c>
      <c r="R24" s="37">
        <v>100</v>
      </c>
      <c r="S24" s="37" t="s">
        <v>219</v>
      </c>
      <c r="T24" s="67">
        <v>9.6</v>
      </c>
      <c r="U24" s="30">
        <v>618266</v>
      </c>
      <c r="V24" s="41">
        <v>5935353.5999999996</v>
      </c>
      <c r="W24" s="41">
        <v>451.2</v>
      </c>
      <c r="X24" s="41">
        <v>230.4</v>
      </c>
      <c r="Y24" s="41"/>
      <c r="Z24" s="41"/>
      <c r="AA24" s="41"/>
      <c r="AB24" s="41"/>
      <c r="AC24" s="41">
        <v>57.6</v>
      </c>
      <c r="AD24" s="41"/>
      <c r="AE24" s="41"/>
      <c r="AF24" s="41"/>
      <c r="AG24" s="41"/>
      <c r="AH24" s="41">
        <v>163.19999999999999</v>
      </c>
      <c r="AI24" s="41"/>
      <c r="AJ24" s="41"/>
      <c r="AK24" s="41"/>
      <c r="AL24" s="41"/>
      <c r="AM24" s="41"/>
      <c r="AN24" s="41">
        <v>47</v>
      </c>
      <c r="AO24" s="41">
        <v>47</v>
      </c>
      <c r="AP24" s="40" t="s">
        <v>1387</v>
      </c>
      <c r="AQ24" s="36">
        <v>44972</v>
      </c>
      <c r="AR24" s="36">
        <v>45031</v>
      </c>
      <c r="AS24" s="36">
        <v>45261</v>
      </c>
      <c r="AT24" s="36">
        <v>44986</v>
      </c>
      <c r="AU24" s="36">
        <v>45046</v>
      </c>
      <c r="AV24" s="38">
        <v>45275</v>
      </c>
      <c r="AW24" s="40" t="s">
        <v>87</v>
      </c>
    </row>
    <row r="25" spans="1:49" ht="66.75" customHeight="1" x14ac:dyDescent="0.3">
      <c r="A25" s="39" t="s">
        <v>1388</v>
      </c>
      <c r="B25" s="36">
        <v>44893</v>
      </c>
      <c r="C25" s="37">
        <v>545</v>
      </c>
      <c r="D25" s="39" t="s">
        <v>1389</v>
      </c>
      <c r="E25" s="1" t="s">
        <v>1390</v>
      </c>
      <c r="F25" s="36">
        <v>44914</v>
      </c>
      <c r="G25" s="39" t="s">
        <v>1391</v>
      </c>
      <c r="H25" s="40" t="s">
        <v>1392</v>
      </c>
      <c r="I25" s="40" t="s">
        <v>1393</v>
      </c>
      <c r="J25" s="41">
        <v>192933171.19999999</v>
      </c>
      <c r="K25" s="41">
        <v>192933171.19999999</v>
      </c>
      <c r="L25" s="30">
        <v>247195625.59999999</v>
      </c>
      <c r="M25" s="30">
        <v>247195625.59999999</v>
      </c>
      <c r="N25" s="40" t="s">
        <v>1394</v>
      </c>
      <c r="O25" s="40" t="s">
        <v>1395</v>
      </c>
      <c r="P25" s="40" t="s">
        <v>190</v>
      </c>
      <c r="Q25" s="44">
        <v>0</v>
      </c>
      <c r="R25" s="37">
        <v>100</v>
      </c>
      <c r="S25" s="37" t="s">
        <v>584</v>
      </c>
      <c r="T25" s="67">
        <v>140</v>
      </c>
      <c r="U25" s="30">
        <v>10766.36</v>
      </c>
      <c r="V25" s="41">
        <v>1507290.4000000001</v>
      </c>
      <c r="W25" s="41">
        <v>22960</v>
      </c>
      <c r="X25" s="41">
        <v>15400</v>
      </c>
      <c r="Y25" s="41"/>
      <c r="Z25" s="41"/>
      <c r="AA25" s="41"/>
      <c r="AB25" s="41"/>
      <c r="AC25" s="41">
        <v>7560</v>
      </c>
      <c r="AD25" s="41"/>
      <c r="AE25" s="41"/>
      <c r="AF25" s="41"/>
      <c r="AG25" s="41"/>
      <c r="AH25" s="41"/>
      <c r="AI25" s="41"/>
      <c r="AJ25" s="41"/>
      <c r="AK25" s="41"/>
      <c r="AL25" s="41"/>
      <c r="AM25" s="41"/>
      <c r="AN25" s="41">
        <v>164</v>
      </c>
      <c r="AO25" s="41">
        <v>164</v>
      </c>
      <c r="AP25" s="40" t="s">
        <v>1278</v>
      </c>
      <c r="AQ25" s="36">
        <v>44941</v>
      </c>
      <c r="AR25" s="36">
        <v>45107</v>
      </c>
      <c r="AS25" s="36"/>
      <c r="AT25" s="36">
        <v>44956</v>
      </c>
      <c r="AU25" s="36">
        <v>45122</v>
      </c>
      <c r="AV25" s="38"/>
      <c r="AW25" s="40" t="s">
        <v>87</v>
      </c>
    </row>
    <row r="26" spans="1:49" ht="66.75" customHeight="1" x14ac:dyDescent="0.3">
      <c r="A26" s="39" t="s">
        <v>1396</v>
      </c>
      <c r="B26" s="36">
        <v>44893</v>
      </c>
      <c r="C26" s="37">
        <v>545</v>
      </c>
      <c r="D26" s="39" t="s">
        <v>1397</v>
      </c>
      <c r="E26" s="1" t="s">
        <v>1398</v>
      </c>
      <c r="F26" s="36">
        <v>44921</v>
      </c>
      <c r="G26" s="39" t="s">
        <v>1399</v>
      </c>
      <c r="H26" s="40" t="s">
        <v>1392</v>
      </c>
      <c r="I26" s="40" t="s">
        <v>1393</v>
      </c>
      <c r="J26" s="41">
        <v>313516403.19999999</v>
      </c>
      <c r="K26" s="41">
        <v>313516403.19999999</v>
      </c>
      <c r="L26" s="30">
        <v>313516403.19999999</v>
      </c>
      <c r="M26" s="30">
        <v>313516403.19999999</v>
      </c>
      <c r="N26" s="40" t="s">
        <v>1394</v>
      </c>
      <c r="O26" s="40" t="s">
        <v>1395</v>
      </c>
      <c r="P26" s="40" t="s">
        <v>190</v>
      </c>
      <c r="Q26" s="44">
        <v>0</v>
      </c>
      <c r="R26" s="37">
        <v>100</v>
      </c>
      <c r="S26" s="37" t="s">
        <v>584</v>
      </c>
      <c r="T26" s="67">
        <v>140</v>
      </c>
      <c r="U26" s="30">
        <v>10766.359999999999</v>
      </c>
      <c r="V26" s="41">
        <v>1507290.4</v>
      </c>
      <c r="W26" s="41">
        <v>29120</v>
      </c>
      <c r="X26" s="41">
        <v>24500</v>
      </c>
      <c r="Y26" s="41"/>
      <c r="Z26" s="41"/>
      <c r="AA26" s="41"/>
      <c r="AB26" s="41"/>
      <c r="AC26" s="41">
        <v>4620</v>
      </c>
      <c r="AD26" s="41"/>
      <c r="AE26" s="41"/>
      <c r="AF26" s="41"/>
      <c r="AG26" s="41"/>
      <c r="AH26" s="41"/>
      <c r="AI26" s="41"/>
      <c r="AJ26" s="41"/>
      <c r="AK26" s="41"/>
      <c r="AL26" s="41"/>
      <c r="AM26" s="41"/>
      <c r="AN26" s="41">
        <v>208</v>
      </c>
      <c r="AO26" s="41">
        <v>208</v>
      </c>
      <c r="AP26" s="40" t="s">
        <v>1265</v>
      </c>
      <c r="AQ26" s="36">
        <v>44941</v>
      </c>
      <c r="AR26" s="36">
        <v>45107</v>
      </c>
      <c r="AS26" s="36"/>
      <c r="AT26" s="36">
        <v>44956</v>
      </c>
      <c r="AU26" s="36">
        <v>45122</v>
      </c>
      <c r="AV26" s="38"/>
      <c r="AW26" s="40" t="s">
        <v>87</v>
      </c>
    </row>
    <row r="27" spans="1:49" ht="93.6" customHeight="1" x14ac:dyDescent="0.3">
      <c r="A27" s="39" t="s">
        <v>1400</v>
      </c>
      <c r="B27" s="36">
        <v>44897</v>
      </c>
      <c r="C27" s="37">
        <v>545</v>
      </c>
      <c r="D27" s="39" t="s">
        <v>1401</v>
      </c>
      <c r="E27" s="1" t="s">
        <v>1402</v>
      </c>
      <c r="F27" s="36">
        <v>44914</v>
      </c>
      <c r="G27" s="37" t="s">
        <v>1403</v>
      </c>
      <c r="H27" s="40" t="s">
        <v>1392</v>
      </c>
      <c r="I27" s="40" t="s">
        <v>1393</v>
      </c>
      <c r="J27" s="41">
        <v>211020656</v>
      </c>
      <c r="K27" s="41">
        <v>211020656</v>
      </c>
      <c r="L27" s="30">
        <v>221571688.80000001</v>
      </c>
      <c r="M27" s="30">
        <v>221571688.80000001</v>
      </c>
      <c r="N27" s="40" t="s">
        <v>1394</v>
      </c>
      <c r="O27" s="40" t="s">
        <v>1395</v>
      </c>
      <c r="P27" s="40" t="s">
        <v>190</v>
      </c>
      <c r="Q27" s="44">
        <v>0</v>
      </c>
      <c r="R27" s="37">
        <v>100</v>
      </c>
      <c r="S27" s="37" t="s">
        <v>584</v>
      </c>
      <c r="T27" s="48">
        <v>140</v>
      </c>
      <c r="U27" s="30">
        <v>10766.36</v>
      </c>
      <c r="V27" s="41">
        <v>1507290.4000000001</v>
      </c>
      <c r="W27" s="41">
        <v>20580</v>
      </c>
      <c r="X27" s="41">
        <v>5740</v>
      </c>
      <c r="Y27" s="41"/>
      <c r="Z27" s="41"/>
      <c r="AA27" s="41"/>
      <c r="AB27" s="41"/>
      <c r="AC27" s="41">
        <v>14840</v>
      </c>
      <c r="AD27" s="41"/>
      <c r="AE27" s="41"/>
      <c r="AF27" s="41"/>
      <c r="AG27" s="41"/>
      <c r="AH27" s="41"/>
      <c r="AI27" s="41"/>
      <c r="AJ27" s="41"/>
      <c r="AK27" s="41"/>
      <c r="AL27" s="41"/>
      <c r="AM27" s="41"/>
      <c r="AN27" s="41">
        <v>147</v>
      </c>
      <c r="AO27" s="41">
        <v>147</v>
      </c>
      <c r="AP27" s="40" t="s">
        <v>1404</v>
      </c>
      <c r="AQ27" s="36">
        <v>44941</v>
      </c>
      <c r="AR27" s="36">
        <v>45107</v>
      </c>
      <c r="AS27" s="36"/>
      <c r="AT27" s="36">
        <v>44956</v>
      </c>
      <c r="AU27" s="36">
        <v>45122</v>
      </c>
      <c r="AV27" s="38"/>
      <c r="AW27" s="40" t="s">
        <v>87</v>
      </c>
    </row>
    <row r="28" spans="1:49" ht="61.2" customHeight="1" x14ac:dyDescent="0.3">
      <c r="A28" s="39" t="s">
        <v>1405</v>
      </c>
      <c r="B28" s="36">
        <v>44893</v>
      </c>
      <c r="C28" s="37">
        <v>545</v>
      </c>
      <c r="D28" s="39" t="s">
        <v>1406</v>
      </c>
      <c r="E28" s="1" t="s">
        <v>1407</v>
      </c>
      <c r="F28" s="36">
        <v>44914</v>
      </c>
      <c r="G28" s="37" t="s">
        <v>1408</v>
      </c>
      <c r="H28" s="40" t="s">
        <v>1392</v>
      </c>
      <c r="I28" s="40" t="s">
        <v>1393</v>
      </c>
      <c r="J28" s="41">
        <v>262268529.59999999</v>
      </c>
      <c r="K28" s="41">
        <v>262268529.59999999</v>
      </c>
      <c r="L28" s="30">
        <v>321052855.19999999</v>
      </c>
      <c r="M28" s="30">
        <v>321052855.19999999</v>
      </c>
      <c r="N28" s="40" t="s">
        <v>1394</v>
      </c>
      <c r="O28" s="40" t="s">
        <v>1395</v>
      </c>
      <c r="P28" s="40" t="s">
        <v>190</v>
      </c>
      <c r="Q28" s="44">
        <v>0</v>
      </c>
      <c r="R28" s="37">
        <v>100</v>
      </c>
      <c r="S28" s="37" t="s">
        <v>584</v>
      </c>
      <c r="T28" s="48">
        <v>140</v>
      </c>
      <c r="U28" s="30">
        <v>10766.359999999999</v>
      </c>
      <c r="V28" s="41">
        <v>1507290.4</v>
      </c>
      <c r="W28" s="41">
        <v>29820</v>
      </c>
      <c r="X28" s="41">
        <v>20440</v>
      </c>
      <c r="Y28" s="41"/>
      <c r="Z28" s="41"/>
      <c r="AA28" s="41"/>
      <c r="AB28" s="41"/>
      <c r="AC28" s="41">
        <v>9380</v>
      </c>
      <c r="AD28" s="41"/>
      <c r="AE28" s="41"/>
      <c r="AF28" s="41"/>
      <c r="AG28" s="41"/>
      <c r="AH28" s="41"/>
      <c r="AI28" s="41"/>
      <c r="AJ28" s="41"/>
      <c r="AK28" s="41"/>
      <c r="AL28" s="41"/>
      <c r="AM28" s="41"/>
      <c r="AN28" s="41">
        <v>213</v>
      </c>
      <c r="AO28" s="41">
        <v>213</v>
      </c>
      <c r="AP28" s="40" t="s">
        <v>1409</v>
      </c>
      <c r="AQ28" s="36">
        <v>44941</v>
      </c>
      <c r="AR28" s="36">
        <v>45107</v>
      </c>
      <c r="AS28" s="36"/>
      <c r="AT28" s="36">
        <v>44956</v>
      </c>
      <c r="AU28" s="36">
        <v>45122</v>
      </c>
      <c r="AV28" s="38"/>
      <c r="AW28" s="40" t="s">
        <v>87</v>
      </c>
    </row>
    <row r="29" spans="1:49" ht="78" x14ac:dyDescent="0.3">
      <c r="A29" s="39" t="s">
        <v>1410</v>
      </c>
      <c r="B29" s="36">
        <v>44893</v>
      </c>
      <c r="C29" s="37">
        <v>545</v>
      </c>
      <c r="D29" s="39" t="s">
        <v>1411</v>
      </c>
      <c r="E29" s="1" t="s">
        <v>1412</v>
      </c>
      <c r="F29" s="36">
        <v>44914</v>
      </c>
      <c r="G29" s="37" t="s">
        <v>1413</v>
      </c>
      <c r="H29" s="40" t="s">
        <v>1392</v>
      </c>
      <c r="I29" s="40" t="s">
        <v>1393</v>
      </c>
      <c r="J29" s="41">
        <v>275834143.19999999</v>
      </c>
      <c r="K29" s="41">
        <v>275834143.19999999</v>
      </c>
      <c r="L29" s="30">
        <v>348184082.39999998</v>
      </c>
      <c r="M29" s="30">
        <v>348184082.39999998</v>
      </c>
      <c r="N29" s="40" t="s">
        <v>1394</v>
      </c>
      <c r="O29" s="40" t="s">
        <v>1395</v>
      </c>
      <c r="P29" s="40" t="s">
        <v>190</v>
      </c>
      <c r="Q29" s="44">
        <v>0</v>
      </c>
      <c r="R29" s="37">
        <v>100</v>
      </c>
      <c r="S29" s="37" t="s">
        <v>584</v>
      </c>
      <c r="T29" s="48">
        <v>140</v>
      </c>
      <c r="U29" s="30">
        <v>10766.359999999999</v>
      </c>
      <c r="V29" s="41">
        <v>1507290.4</v>
      </c>
      <c r="W29" s="41">
        <v>32340</v>
      </c>
      <c r="X29" s="41">
        <v>21140</v>
      </c>
      <c r="Y29" s="41"/>
      <c r="Z29" s="41"/>
      <c r="AA29" s="41"/>
      <c r="AB29" s="41"/>
      <c r="AC29" s="41">
        <v>11200</v>
      </c>
      <c r="AD29" s="41"/>
      <c r="AE29" s="41"/>
      <c r="AF29" s="41"/>
      <c r="AG29" s="41"/>
      <c r="AH29" s="41"/>
      <c r="AI29" s="41"/>
      <c r="AJ29" s="41"/>
      <c r="AK29" s="41"/>
      <c r="AL29" s="41"/>
      <c r="AM29" s="41"/>
      <c r="AN29" s="41">
        <v>231</v>
      </c>
      <c r="AO29" s="41">
        <v>231</v>
      </c>
      <c r="AP29" s="40" t="s">
        <v>1414</v>
      </c>
      <c r="AQ29" s="36">
        <v>44941</v>
      </c>
      <c r="AR29" s="36">
        <v>45107</v>
      </c>
      <c r="AS29" s="36"/>
      <c r="AT29" s="36">
        <v>44956</v>
      </c>
      <c r="AU29" s="36">
        <v>45122</v>
      </c>
      <c r="AV29" s="38"/>
      <c r="AW29" s="40" t="s">
        <v>87</v>
      </c>
    </row>
    <row r="30" spans="1:49" ht="72" x14ac:dyDescent="0.3">
      <c r="A30" s="39" t="s">
        <v>1415</v>
      </c>
      <c r="B30" s="36">
        <v>44893</v>
      </c>
      <c r="C30" s="37">
        <v>545</v>
      </c>
      <c r="D30" s="39" t="s">
        <v>1416</v>
      </c>
      <c r="E30" s="1" t="s">
        <v>1417</v>
      </c>
      <c r="F30" s="36">
        <v>44914</v>
      </c>
      <c r="G30" s="39" t="s">
        <v>1418</v>
      </c>
      <c r="H30" s="40" t="s">
        <v>1419</v>
      </c>
      <c r="I30" s="40" t="s">
        <v>1420</v>
      </c>
      <c r="J30" s="41">
        <v>7395225.2000000002</v>
      </c>
      <c r="K30" s="41">
        <v>7358102.4000000004</v>
      </c>
      <c r="L30" s="30">
        <v>7358102.4000000004</v>
      </c>
      <c r="M30" s="30">
        <v>7358102.4000000004</v>
      </c>
      <c r="N30" s="40" t="s">
        <v>1421</v>
      </c>
      <c r="O30" s="40" t="s">
        <v>1422</v>
      </c>
      <c r="P30" s="40" t="s">
        <v>218</v>
      </c>
      <c r="Q30" s="44">
        <v>0</v>
      </c>
      <c r="R30" s="37">
        <v>100</v>
      </c>
      <c r="S30" s="37" t="s">
        <v>200</v>
      </c>
      <c r="T30" s="48">
        <v>60</v>
      </c>
      <c r="U30" s="30">
        <v>3117.84</v>
      </c>
      <c r="V30" s="41">
        <v>187070.40000000002</v>
      </c>
      <c r="W30" s="41">
        <v>2360</v>
      </c>
      <c r="X30" s="41">
        <v>2360</v>
      </c>
      <c r="Y30" s="41"/>
      <c r="Z30" s="41"/>
      <c r="AA30" s="41"/>
      <c r="AB30" s="41"/>
      <c r="AC30" s="41"/>
      <c r="AD30" s="41"/>
      <c r="AE30" s="41"/>
      <c r="AF30" s="41"/>
      <c r="AG30" s="41"/>
      <c r="AH30" s="41"/>
      <c r="AI30" s="41"/>
      <c r="AJ30" s="41"/>
      <c r="AK30" s="41"/>
      <c r="AL30" s="41"/>
      <c r="AM30" s="41"/>
      <c r="AN30" s="41">
        <v>39.333333333333336</v>
      </c>
      <c r="AO30" s="41">
        <v>40</v>
      </c>
      <c r="AP30" s="40" t="s">
        <v>1353</v>
      </c>
      <c r="AQ30" s="36">
        <v>44946</v>
      </c>
      <c r="AR30" s="36"/>
      <c r="AS30" s="36"/>
      <c r="AT30" s="36">
        <v>44962</v>
      </c>
      <c r="AU30" s="36"/>
      <c r="AV30" s="38"/>
      <c r="AW30" s="40" t="s">
        <v>87</v>
      </c>
    </row>
    <row r="31" spans="1:49" s="34" customFormat="1" ht="72" x14ac:dyDescent="0.3">
      <c r="A31" s="39" t="s">
        <v>1423</v>
      </c>
      <c r="B31" s="36">
        <v>44893</v>
      </c>
      <c r="C31" s="37">
        <v>545</v>
      </c>
      <c r="D31" s="39" t="s">
        <v>1424</v>
      </c>
      <c r="E31" s="1" t="s">
        <v>1425</v>
      </c>
      <c r="F31" s="36">
        <v>44914</v>
      </c>
      <c r="G31" s="37" t="s">
        <v>1426</v>
      </c>
      <c r="H31" s="40" t="s">
        <v>1419</v>
      </c>
      <c r="I31" s="40" t="s">
        <v>1427</v>
      </c>
      <c r="J31" s="41">
        <v>5600565.5999999996</v>
      </c>
      <c r="K31" s="41">
        <v>5572459.2000000002</v>
      </c>
      <c r="L31" s="30">
        <v>5572459.2000000002</v>
      </c>
      <c r="M31" s="30">
        <v>5572459.2000000002</v>
      </c>
      <c r="N31" s="40" t="s">
        <v>1421</v>
      </c>
      <c r="O31" s="40" t="s">
        <v>1428</v>
      </c>
      <c r="P31" s="40" t="s">
        <v>218</v>
      </c>
      <c r="Q31" s="44">
        <v>0</v>
      </c>
      <c r="R31" s="37">
        <v>100</v>
      </c>
      <c r="S31" s="37" t="s">
        <v>200</v>
      </c>
      <c r="T31" s="48">
        <v>60</v>
      </c>
      <c r="U31" s="30">
        <v>3316.94</v>
      </c>
      <c r="V31" s="41">
        <v>199016.4</v>
      </c>
      <c r="W31" s="41">
        <v>1680</v>
      </c>
      <c r="X31" s="41">
        <v>1680</v>
      </c>
      <c r="Y31" s="41"/>
      <c r="Z31" s="41"/>
      <c r="AA31" s="41"/>
      <c r="AB31" s="41"/>
      <c r="AC31" s="41"/>
      <c r="AD31" s="41"/>
      <c r="AE31" s="41"/>
      <c r="AF31" s="41"/>
      <c r="AG31" s="41"/>
      <c r="AH31" s="41"/>
      <c r="AI31" s="41"/>
      <c r="AJ31" s="41"/>
      <c r="AK31" s="41"/>
      <c r="AL31" s="41"/>
      <c r="AM31" s="41"/>
      <c r="AN31" s="41">
        <v>28</v>
      </c>
      <c r="AO31" s="41">
        <v>28</v>
      </c>
      <c r="AP31" s="40" t="s">
        <v>1353</v>
      </c>
      <c r="AQ31" s="36">
        <v>44946</v>
      </c>
      <c r="AR31" s="36"/>
      <c r="AS31" s="36"/>
      <c r="AT31" s="36">
        <v>44962</v>
      </c>
      <c r="AU31" s="36"/>
      <c r="AV31" s="38"/>
      <c r="AW31" s="40" t="s">
        <v>87</v>
      </c>
    </row>
    <row r="32" spans="1:49" s="34" customFormat="1" ht="83.25" customHeight="1" x14ac:dyDescent="0.3">
      <c r="A32" s="39" t="s">
        <v>1429</v>
      </c>
      <c r="B32" s="36">
        <v>44894</v>
      </c>
      <c r="C32" s="37">
        <v>545</v>
      </c>
      <c r="D32" s="39" t="s">
        <v>1430</v>
      </c>
      <c r="E32" s="1" t="s">
        <v>1431</v>
      </c>
      <c r="F32" s="36">
        <v>44915</v>
      </c>
      <c r="G32" s="39" t="s">
        <v>1432</v>
      </c>
      <c r="H32" s="40" t="s">
        <v>802</v>
      </c>
      <c r="I32" s="40" t="s">
        <v>1433</v>
      </c>
      <c r="J32" s="41">
        <v>291968107.19999999</v>
      </c>
      <c r="K32" s="41">
        <v>291968107.19999999</v>
      </c>
      <c r="L32" s="30">
        <v>291968107.19999999</v>
      </c>
      <c r="M32" s="30">
        <v>291968107.19999999</v>
      </c>
      <c r="N32" s="40" t="s">
        <v>1434</v>
      </c>
      <c r="O32" s="40" t="s">
        <v>1435</v>
      </c>
      <c r="P32" s="40" t="s">
        <v>1436</v>
      </c>
      <c r="Q32" s="44">
        <v>0</v>
      </c>
      <c r="R32" s="37">
        <v>100</v>
      </c>
      <c r="S32" s="37" t="s">
        <v>200</v>
      </c>
      <c r="T32" s="48">
        <v>112</v>
      </c>
      <c r="U32" s="30">
        <v>7899.57</v>
      </c>
      <c r="V32" s="41">
        <v>884751.84</v>
      </c>
      <c r="W32" s="41">
        <v>36960</v>
      </c>
      <c r="X32" s="41">
        <v>36960</v>
      </c>
      <c r="Y32" s="41"/>
      <c r="Z32" s="41"/>
      <c r="AA32" s="41"/>
      <c r="AB32" s="41"/>
      <c r="AC32" s="41"/>
      <c r="AD32" s="41"/>
      <c r="AE32" s="41"/>
      <c r="AF32" s="41"/>
      <c r="AG32" s="41"/>
      <c r="AH32" s="41"/>
      <c r="AI32" s="41"/>
      <c r="AJ32" s="41"/>
      <c r="AK32" s="41"/>
      <c r="AL32" s="41"/>
      <c r="AM32" s="41"/>
      <c r="AN32" s="41">
        <v>330</v>
      </c>
      <c r="AO32" s="41">
        <v>330</v>
      </c>
      <c r="AP32" s="40" t="s">
        <v>1437</v>
      </c>
      <c r="AQ32" s="36">
        <v>45017</v>
      </c>
      <c r="AR32" s="36"/>
      <c r="AS32" s="36"/>
      <c r="AT32" s="36">
        <v>44666</v>
      </c>
      <c r="AU32" s="36"/>
      <c r="AV32" s="38"/>
      <c r="AW32" s="40" t="s">
        <v>87</v>
      </c>
    </row>
    <row r="33" spans="1:49" s="34" customFormat="1" ht="85.5" customHeight="1" x14ac:dyDescent="0.3">
      <c r="A33" s="39" t="s">
        <v>1438</v>
      </c>
      <c r="B33" s="36">
        <v>44894</v>
      </c>
      <c r="C33" s="37">
        <v>545</v>
      </c>
      <c r="D33" s="39" t="s">
        <v>1439</v>
      </c>
      <c r="E33" s="1" t="s">
        <v>1440</v>
      </c>
      <c r="F33" s="36">
        <v>44915</v>
      </c>
      <c r="G33" s="37" t="s">
        <v>1441</v>
      </c>
      <c r="H33" s="40" t="s">
        <v>802</v>
      </c>
      <c r="I33" s="40" t="s">
        <v>1433</v>
      </c>
      <c r="J33" s="41">
        <v>288429099.83999997</v>
      </c>
      <c r="K33" s="41">
        <v>288429099.83999997</v>
      </c>
      <c r="L33" s="30">
        <v>306124136.63999999</v>
      </c>
      <c r="M33" s="30">
        <v>306124136.63999999</v>
      </c>
      <c r="N33" s="40" t="s">
        <v>1434</v>
      </c>
      <c r="O33" s="40" t="s">
        <v>1435</v>
      </c>
      <c r="P33" s="40" t="s">
        <v>1436</v>
      </c>
      <c r="Q33" s="44">
        <v>0</v>
      </c>
      <c r="R33" s="37">
        <v>100</v>
      </c>
      <c r="S33" s="37" t="s">
        <v>200</v>
      </c>
      <c r="T33" s="48">
        <v>112</v>
      </c>
      <c r="U33" s="30">
        <v>7899.57</v>
      </c>
      <c r="V33" s="41">
        <v>884751.84</v>
      </c>
      <c r="W33" s="41">
        <v>38752</v>
      </c>
      <c r="X33" s="41">
        <v>38752</v>
      </c>
      <c r="Y33" s="41"/>
      <c r="Z33" s="41"/>
      <c r="AA33" s="41"/>
      <c r="AB33" s="41"/>
      <c r="AC33" s="41"/>
      <c r="AD33" s="41"/>
      <c r="AE33" s="41"/>
      <c r="AF33" s="41"/>
      <c r="AG33" s="41"/>
      <c r="AH33" s="41"/>
      <c r="AI33" s="41"/>
      <c r="AJ33" s="41"/>
      <c r="AK33" s="41"/>
      <c r="AL33" s="41"/>
      <c r="AM33" s="41"/>
      <c r="AN33" s="41">
        <v>346</v>
      </c>
      <c r="AO33" s="41">
        <v>346</v>
      </c>
      <c r="AP33" s="40" t="s">
        <v>1414</v>
      </c>
      <c r="AQ33" s="36">
        <v>45017</v>
      </c>
      <c r="AR33" s="36"/>
      <c r="AS33" s="36"/>
      <c r="AT33" s="36">
        <v>45031</v>
      </c>
      <c r="AU33" s="36"/>
      <c r="AV33" s="38"/>
      <c r="AW33" s="40" t="s">
        <v>87</v>
      </c>
    </row>
    <row r="34" spans="1:49" s="34" customFormat="1" ht="63.75" customHeight="1" x14ac:dyDescent="0.3">
      <c r="A34" s="39" t="s">
        <v>1442</v>
      </c>
      <c r="B34" s="36">
        <v>44894</v>
      </c>
      <c r="C34" s="37">
        <v>545</v>
      </c>
      <c r="D34" s="39" t="s">
        <v>1443</v>
      </c>
      <c r="E34" s="1" t="s">
        <v>1444</v>
      </c>
      <c r="F34" s="36">
        <v>44915</v>
      </c>
      <c r="G34" s="37" t="s">
        <v>1445</v>
      </c>
      <c r="H34" s="40" t="s">
        <v>802</v>
      </c>
      <c r="I34" s="40" t="s">
        <v>1433</v>
      </c>
      <c r="J34" s="41">
        <v>278696829.60000002</v>
      </c>
      <c r="K34" s="41">
        <v>278696829.60000002</v>
      </c>
      <c r="L34" s="30">
        <v>278696829.60000002</v>
      </c>
      <c r="M34" s="30">
        <v>278696829.60000002</v>
      </c>
      <c r="N34" s="40" t="s">
        <v>1434</v>
      </c>
      <c r="O34" s="40" t="s">
        <v>1435</v>
      </c>
      <c r="P34" s="40" t="s">
        <v>1436</v>
      </c>
      <c r="Q34" s="44">
        <v>0</v>
      </c>
      <c r="R34" s="37">
        <v>100</v>
      </c>
      <c r="S34" s="37" t="s">
        <v>200</v>
      </c>
      <c r="T34" s="48">
        <v>112</v>
      </c>
      <c r="U34" s="30">
        <v>7899.5700000000006</v>
      </c>
      <c r="V34" s="41">
        <v>884751.84000000008</v>
      </c>
      <c r="W34" s="41">
        <v>35280</v>
      </c>
      <c r="X34" s="41">
        <v>35280</v>
      </c>
      <c r="Y34" s="41"/>
      <c r="Z34" s="41"/>
      <c r="AA34" s="41"/>
      <c r="AB34" s="41"/>
      <c r="AC34" s="41"/>
      <c r="AD34" s="41"/>
      <c r="AE34" s="41"/>
      <c r="AF34" s="41"/>
      <c r="AG34" s="41"/>
      <c r="AH34" s="41"/>
      <c r="AI34" s="41"/>
      <c r="AJ34" s="41"/>
      <c r="AK34" s="41"/>
      <c r="AL34" s="41"/>
      <c r="AM34" s="41"/>
      <c r="AN34" s="41">
        <v>315</v>
      </c>
      <c r="AO34" s="41">
        <v>315</v>
      </c>
      <c r="AP34" s="40" t="s">
        <v>1446</v>
      </c>
      <c r="AQ34" s="36">
        <v>45017</v>
      </c>
      <c r="AR34" s="36"/>
      <c r="AS34" s="36"/>
      <c r="AT34" s="36">
        <v>45031</v>
      </c>
      <c r="AU34" s="36"/>
      <c r="AV34" s="38"/>
      <c r="AW34" s="40" t="s">
        <v>87</v>
      </c>
    </row>
    <row r="35" spans="1:49" s="34" customFormat="1" ht="63" customHeight="1" x14ac:dyDescent="0.3">
      <c r="A35" s="39" t="s">
        <v>1447</v>
      </c>
      <c r="B35" s="36">
        <v>44894</v>
      </c>
      <c r="C35" s="37">
        <v>545</v>
      </c>
      <c r="D35" s="39" t="s">
        <v>1448</v>
      </c>
      <c r="E35" s="1" t="s">
        <v>1449</v>
      </c>
      <c r="F35" s="36">
        <v>44915</v>
      </c>
      <c r="G35" s="39" t="s">
        <v>1450</v>
      </c>
      <c r="H35" s="40" t="s">
        <v>802</v>
      </c>
      <c r="I35" s="40" t="s">
        <v>1433</v>
      </c>
      <c r="J35" s="41">
        <v>196414908.47999999</v>
      </c>
      <c r="K35" s="41">
        <v>196414908.47999999</v>
      </c>
      <c r="L35" s="30">
        <v>196414908.47999999</v>
      </c>
      <c r="M35" s="30">
        <v>196414908.47999999</v>
      </c>
      <c r="N35" s="40" t="s">
        <v>1434</v>
      </c>
      <c r="O35" s="40" t="s">
        <v>1435</v>
      </c>
      <c r="P35" s="40" t="s">
        <v>1436</v>
      </c>
      <c r="Q35" s="44">
        <v>0</v>
      </c>
      <c r="R35" s="37">
        <v>100</v>
      </c>
      <c r="S35" s="37" t="s">
        <v>200</v>
      </c>
      <c r="T35" s="48">
        <v>112</v>
      </c>
      <c r="U35" s="30">
        <v>7899.57</v>
      </c>
      <c r="V35" s="41">
        <v>884751.84</v>
      </c>
      <c r="W35" s="41">
        <v>24864</v>
      </c>
      <c r="X35" s="41">
        <v>24864</v>
      </c>
      <c r="Y35" s="41"/>
      <c r="Z35" s="41"/>
      <c r="AA35" s="41"/>
      <c r="AB35" s="41"/>
      <c r="AC35" s="41"/>
      <c r="AD35" s="41"/>
      <c r="AE35" s="41"/>
      <c r="AF35" s="41"/>
      <c r="AG35" s="41"/>
      <c r="AH35" s="41"/>
      <c r="AI35" s="41"/>
      <c r="AJ35" s="41"/>
      <c r="AK35" s="41"/>
      <c r="AL35" s="41"/>
      <c r="AM35" s="41"/>
      <c r="AN35" s="41">
        <v>222</v>
      </c>
      <c r="AO35" s="41">
        <v>222</v>
      </c>
      <c r="AP35" s="40" t="s">
        <v>1451</v>
      </c>
      <c r="AQ35" s="36">
        <v>45017</v>
      </c>
      <c r="AR35" s="36"/>
      <c r="AS35" s="36"/>
      <c r="AT35" s="36">
        <v>45031</v>
      </c>
      <c r="AU35" s="36"/>
      <c r="AV35" s="38"/>
      <c r="AW35" s="40" t="s">
        <v>87</v>
      </c>
    </row>
    <row r="36" spans="1:49" s="34" customFormat="1" ht="63" customHeight="1" x14ac:dyDescent="0.3">
      <c r="A36" s="39" t="s">
        <v>1452</v>
      </c>
      <c r="B36" s="36">
        <v>44894</v>
      </c>
      <c r="C36" s="37">
        <v>545</v>
      </c>
      <c r="D36" s="39" t="s">
        <v>1453</v>
      </c>
      <c r="E36" s="1" t="s">
        <v>1454</v>
      </c>
      <c r="F36" s="36">
        <v>44915</v>
      </c>
      <c r="G36" s="37" t="s">
        <v>1455</v>
      </c>
      <c r="H36" s="40" t="s">
        <v>802</v>
      </c>
      <c r="I36" s="40" t="s">
        <v>1456</v>
      </c>
      <c r="J36" s="41">
        <v>289313851.68000001</v>
      </c>
      <c r="K36" s="41">
        <v>289313851.68000001</v>
      </c>
      <c r="L36" s="30">
        <v>289313851.68000001</v>
      </c>
      <c r="M36" s="30">
        <v>289313851.68000001</v>
      </c>
      <c r="N36" s="40" t="s">
        <v>1434</v>
      </c>
      <c r="O36" s="40" t="s">
        <v>1457</v>
      </c>
      <c r="P36" s="40" t="s">
        <v>1436</v>
      </c>
      <c r="Q36" s="44">
        <v>0</v>
      </c>
      <c r="R36" s="37">
        <v>100</v>
      </c>
      <c r="S36" s="37" t="s">
        <v>200</v>
      </c>
      <c r="T36" s="48">
        <v>112</v>
      </c>
      <c r="U36" s="30">
        <v>7899.5700000000006</v>
      </c>
      <c r="V36" s="41">
        <v>884751.84000000008</v>
      </c>
      <c r="W36" s="41">
        <v>36624</v>
      </c>
      <c r="X36" s="41">
        <v>20496</v>
      </c>
      <c r="Y36" s="41"/>
      <c r="Z36" s="41"/>
      <c r="AA36" s="41"/>
      <c r="AB36" s="41"/>
      <c r="AC36" s="41">
        <v>16128</v>
      </c>
      <c r="AD36" s="41"/>
      <c r="AE36" s="41"/>
      <c r="AF36" s="41"/>
      <c r="AG36" s="41"/>
      <c r="AH36" s="41"/>
      <c r="AI36" s="41"/>
      <c r="AJ36" s="41"/>
      <c r="AK36" s="41"/>
      <c r="AL36" s="41"/>
      <c r="AM36" s="41"/>
      <c r="AN36" s="41">
        <v>327</v>
      </c>
      <c r="AO36" s="41">
        <v>327</v>
      </c>
      <c r="AP36" s="40" t="s">
        <v>1458</v>
      </c>
      <c r="AQ36" s="36">
        <v>45017</v>
      </c>
      <c r="AR36" s="36">
        <v>45108</v>
      </c>
      <c r="AS36" s="36"/>
      <c r="AT36" s="36">
        <v>45031</v>
      </c>
      <c r="AU36" s="36">
        <v>45122</v>
      </c>
      <c r="AV36" s="38"/>
      <c r="AW36" s="40" t="s">
        <v>87</v>
      </c>
    </row>
    <row r="37" spans="1:49" s="34" customFormat="1" ht="78" customHeight="1" x14ac:dyDescent="0.3">
      <c r="A37" s="39" t="s">
        <v>1459</v>
      </c>
      <c r="B37" s="36">
        <v>44894</v>
      </c>
      <c r="C37" s="37">
        <v>545</v>
      </c>
      <c r="D37" s="39" t="s">
        <v>1460</v>
      </c>
      <c r="E37" s="1" t="s">
        <v>1454</v>
      </c>
      <c r="F37" s="36">
        <v>44915</v>
      </c>
      <c r="G37" s="37" t="s">
        <v>1461</v>
      </c>
      <c r="H37" s="40" t="s">
        <v>802</v>
      </c>
      <c r="I37" s="40" t="s">
        <v>1456</v>
      </c>
      <c r="J37" s="41">
        <v>296391866.39999998</v>
      </c>
      <c r="K37" s="41">
        <v>296391866.39999998</v>
      </c>
      <c r="L37" s="30">
        <v>331781940</v>
      </c>
      <c r="M37" s="30">
        <v>331781940</v>
      </c>
      <c r="N37" s="40" t="s">
        <v>1434</v>
      </c>
      <c r="O37" s="40" t="s">
        <v>1457</v>
      </c>
      <c r="P37" s="40" t="s">
        <v>1436</v>
      </c>
      <c r="Q37" s="44">
        <v>0</v>
      </c>
      <c r="R37" s="37">
        <v>100</v>
      </c>
      <c r="S37" s="37" t="s">
        <v>200</v>
      </c>
      <c r="T37" s="48">
        <v>112</v>
      </c>
      <c r="U37" s="30">
        <v>7899.57</v>
      </c>
      <c r="V37" s="41">
        <v>884751.84</v>
      </c>
      <c r="W37" s="41">
        <v>42000</v>
      </c>
      <c r="X37" s="41">
        <v>20720</v>
      </c>
      <c r="Y37" s="41"/>
      <c r="Z37" s="41"/>
      <c r="AA37" s="41"/>
      <c r="AB37" s="41"/>
      <c r="AC37" s="41">
        <v>21280</v>
      </c>
      <c r="AD37" s="41"/>
      <c r="AE37" s="41"/>
      <c r="AF37" s="41"/>
      <c r="AG37" s="41"/>
      <c r="AH37" s="41"/>
      <c r="AI37" s="41"/>
      <c r="AJ37" s="41"/>
      <c r="AK37" s="41"/>
      <c r="AL37" s="41"/>
      <c r="AM37" s="41"/>
      <c r="AN37" s="41">
        <v>375</v>
      </c>
      <c r="AO37" s="41">
        <v>375</v>
      </c>
      <c r="AP37" s="40" t="s">
        <v>1462</v>
      </c>
      <c r="AQ37" s="36">
        <v>45017</v>
      </c>
      <c r="AR37" s="36">
        <v>45108</v>
      </c>
      <c r="AS37" s="36"/>
      <c r="AT37" s="36">
        <v>45031</v>
      </c>
      <c r="AU37" s="36">
        <v>45122</v>
      </c>
      <c r="AV37" s="38"/>
      <c r="AW37" s="40" t="s">
        <v>87</v>
      </c>
    </row>
    <row r="38" spans="1:49" s="34" customFormat="1" ht="68.25" customHeight="1" x14ac:dyDescent="0.3">
      <c r="A38" s="39" t="s">
        <v>1463</v>
      </c>
      <c r="B38" s="36">
        <v>44894</v>
      </c>
      <c r="C38" s="37">
        <v>545</v>
      </c>
      <c r="D38" s="39" t="s">
        <v>1464</v>
      </c>
      <c r="E38" s="1" t="s">
        <v>1465</v>
      </c>
      <c r="F38" s="36">
        <v>44915</v>
      </c>
      <c r="G38" s="39" t="s">
        <v>1466</v>
      </c>
      <c r="H38" s="40" t="s">
        <v>802</v>
      </c>
      <c r="I38" s="40" t="s">
        <v>1456</v>
      </c>
      <c r="J38" s="41">
        <v>284890092.48000002</v>
      </c>
      <c r="K38" s="41">
        <v>284890092.48000002</v>
      </c>
      <c r="L38" s="30">
        <v>306124136.63999999</v>
      </c>
      <c r="M38" s="30">
        <v>306124136.63999999</v>
      </c>
      <c r="N38" s="40" t="s">
        <v>1434</v>
      </c>
      <c r="O38" s="40" t="s">
        <v>1457</v>
      </c>
      <c r="P38" s="40" t="s">
        <v>1436</v>
      </c>
      <c r="Q38" s="44">
        <v>0</v>
      </c>
      <c r="R38" s="37">
        <v>100</v>
      </c>
      <c r="S38" s="37" t="s">
        <v>200</v>
      </c>
      <c r="T38" s="48">
        <v>112</v>
      </c>
      <c r="U38" s="30">
        <v>7899.57</v>
      </c>
      <c r="V38" s="41">
        <v>884751.84</v>
      </c>
      <c r="W38" s="41">
        <v>38752</v>
      </c>
      <c r="X38" s="41">
        <v>20272</v>
      </c>
      <c r="Y38" s="41"/>
      <c r="Z38" s="41"/>
      <c r="AA38" s="41"/>
      <c r="AB38" s="41"/>
      <c r="AC38" s="41">
        <v>18480</v>
      </c>
      <c r="AD38" s="41"/>
      <c r="AE38" s="41"/>
      <c r="AF38" s="41"/>
      <c r="AG38" s="41"/>
      <c r="AH38" s="41"/>
      <c r="AI38" s="41"/>
      <c r="AJ38" s="41"/>
      <c r="AK38" s="41"/>
      <c r="AL38" s="41"/>
      <c r="AM38" s="41"/>
      <c r="AN38" s="41">
        <v>346</v>
      </c>
      <c r="AO38" s="41">
        <v>346</v>
      </c>
      <c r="AP38" s="40" t="s">
        <v>1467</v>
      </c>
      <c r="AQ38" s="36">
        <v>45017</v>
      </c>
      <c r="AR38" s="36">
        <v>45108</v>
      </c>
      <c r="AS38" s="36"/>
      <c r="AT38" s="36">
        <v>45031</v>
      </c>
      <c r="AU38" s="36">
        <v>45122</v>
      </c>
      <c r="AV38" s="38"/>
      <c r="AW38" s="40" t="s">
        <v>87</v>
      </c>
    </row>
    <row r="39" spans="1:49" s="34" customFormat="1" ht="71.25" customHeight="1" x14ac:dyDescent="0.3">
      <c r="A39" s="39" t="s">
        <v>1468</v>
      </c>
      <c r="B39" s="36">
        <v>44894</v>
      </c>
      <c r="C39" s="37">
        <v>545</v>
      </c>
      <c r="D39" s="39" t="s">
        <v>1469</v>
      </c>
      <c r="E39" s="1" t="s">
        <v>1470</v>
      </c>
      <c r="F39" s="36">
        <v>44914</v>
      </c>
      <c r="G39" s="37" t="s">
        <v>1471</v>
      </c>
      <c r="H39" s="40" t="s">
        <v>224</v>
      </c>
      <c r="I39" s="40" t="s">
        <v>1472</v>
      </c>
      <c r="J39" s="41">
        <v>27005858.879999999</v>
      </c>
      <c r="K39" s="41">
        <v>27005858.879999999</v>
      </c>
      <c r="L39" s="30">
        <v>27005858.879999999</v>
      </c>
      <c r="M39" s="30">
        <v>27005858.879999999</v>
      </c>
      <c r="N39" s="40" t="s">
        <v>1271</v>
      </c>
      <c r="O39" s="40" t="s">
        <v>1473</v>
      </c>
      <c r="P39" s="40" t="s">
        <v>1474</v>
      </c>
      <c r="Q39" s="44">
        <v>0</v>
      </c>
      <c r="R39" s="37">
        <v>100</v>
      </c>
      <c r="S39" s="37" t="s">
        <v>219</v>
      </c>
      <c r="T39" s="67">
        <v>8.4</v>
      </c>
      <c r="U39" s="30">
        <v>247306.4</v>
      </c>
      <c r="V39" s="41">
        <v>2077373.76</v>
      </c>
      <c r="W39" s="41">
        <v>109.2</v>
      </c>
      <c r="X39" s="41">
        <v>109.2</v>
      </c>
      <c r="Y39" s="41"/>
      <c r="Z39" s="41"/>
      <c r="AA39" s="41"/>
      <c r="AB39" s="41"/>
      <c r="AC39" s="41"/>
      <c r="AD39" s="41"/>
      <c r="AE39" s="41"/>
      <c r="AF39" s="41"/>
      <c r="AG39" s="41"/>
      <c r="AH39" s="41"/>
      <c r="AI39" s="41"/>
      <c r="AJ39" s="41"/>
      <c r="AK39" s="41"/>
      <c r="AL39" s="41"/>
      <c r="AM39" s="41"/>
      <c r="AN39" s="41">
        <v>13</v>
      </c>
      <c r="AO39" s="41">
        <v>13</v>
      </c>
      <c r="AP39" s="40" t="s">
        <v>1353</v>
      </c>
      <c r="AQ39" s="36">
        <v>44972</v>
      </c>
      <c r="AR39" s="36"/>
      <c r="AS39" s="36"/>
      <c r="AT39" s="36">
        <v>44986</v>
      </c>
      <c r="AU39" s="36"/>
      <c r="AV39" s="38"/>
      <c r="AW39" s="40" t="s">
        <v>87</v>
      </c>
    </row>
    <row r="40" spans="1:49" s="34" customFormat="1" ht="86.25" customHeight="1" x14ac:dyDescent="0.3">
      <c r="A40" s="39" t="s">
        <v>1475</v>
      </c>
      <c r="B40" s="36">
        <v>44894</v>
      </c>
      <c r="C40" s="37">
        <v>545</v>
      </c>
      <c r="D40" s="39" t="s">
        <v>1476</v>
      </c>
      <c r="E40" s="1" t="s">
        <v>1477</v>
      </c>
      <c r="F40" s="36">
        <v>44914</v>
      </c>
      <c r="G40" s="39" t="s">
        <v>1478</v>
      </c>
      <c r="H40" s="40" t="s">
        <v>1392</v>
      </c>
      <c r="I40" s="40" t="s">
        <v>1479</v>
      </c>
      <c r="J40" s="41">
        <v>209514360</v>
      </c>
      <c r="K40" s="41">
        <v>209514360</v>
      </c>
      <c r="L40" s="30">
        <v>209514360</v>
      </c>
      <c r="M40" s="30">
        <v>209514360</v>
      </c>
      <c r="N40" s="40" t="s">
        <v>1480</v>
      </c>
      <c r="O40" s="40" t="s">
        <v>1481</v>
      </c>
      <c r="P40" s="40" t="s">
        <v>1032</v>
      </c>
      <c r="Q40" s="44">
        <v>0</v>
      </c>
      <c r="R40" s="37">
        <v>100</v>
      </c>
      <c r="S40" s="37" t="s">
        <v>219</v>
      </c>
      <c r="T40" s="48">
        <v>2</v>
      </c>
      <c r="U40" s="30">
        <v>521180</v>
      </c>
      <c r="V40" s="41">
        <v>1042360</v>
      </c>
      <c r="W40" s="41">
        <v>402</v>
      </c>
      <c r="X40" s="41">
        <v>402</v>
      </c>
      <c r="Y40" s="41"/>
      <c r="Z40" s="41"/>
      <c r="AA40" s="41"/>
      <c r="AB40" s="41"/>
      <c r="AC40" s="41"/>
      <c r="AD40" s="41"/>
      <c r="AE40" s="41"/>
      <c r="AF40" s="41"/>
      <c r="AG40" s="41"/>
      <c r="AH40" s="41"/>
      <c r="AI40" s="41"/>
      <c r="AJ40" s="41"/>
      <c r="AK40" s="41"/>
      <c r="AL40" s="41"/>
      <c r="AM40" s="41"/>
      <c r="AN40" s="41">
        <v>201</v>
      </c>
      <c r="AO40" s="41">
        <v>201</v>
      </c>
      <c r="AP40" s="40" t="s">
        <v>1353</v>
      </c>
      <c r="AQ40" s="36">
        <v>44946</v>
      </c>
      <c r="AR40" s="36"/>
      <c r="AS40" s="36"/>
      <c r="AT40" s="36">
        <v>44962</v>
      </c>
      <c r="AU40" s="36"/>
      <c r="AV40" s="38"/>
      <c r="AW40" s="40" t="s">
        <v>87</v>
      </c>
    </row>
    <row r="41" spans="1:49" s="34" customFormat="1" ht="82.5" customHeight="1" x14ac:dyDescent="0.3">
      <c r="A41" s="39" t="s">
        <v>1482</v>
      </c>
      <c r="B41" s="36">
        <v>44895</v>
      </c>
      <c r="C41" s="37">
        <v>545</v>
      </c>
      <c r="D41" s="39" t="s">
        <v>1483</v>
      </c>
      <c r="E41" s="1" t="s">
        <v>1484</v>
      </c>
      <c r="F41" s="36">
        <v>44915</v>
      </c>
      <c r="G41" s="37" t="s">
        <v>1485</v>
      </c>
      <c r="H41" s="40" t="s">
        <v>878</v>
      </c>
      <c r="I41" s="40" t="s">
        <v>1486</v>
      </c>
      <c r="J41" s="41">
        <v>295111316.5</v>
      </c>
      <c r="K41" s="41">
        <v>295111316.5</v>
      </c>
      <c r="L41" s="30">
        <v>295111316.5</v>
      </c>
      <c r="M41" s="30">
        <v>295111316.5</v>
      </c>
      <c r="N41" s="40" t="s">
        <v>1487</v>
      </c>
      <c r="O41" s="40" t="s">
        <v>1488</v>
      </c>
      <c r="P41" s="40" t="s">
        <v>348</v>
      </c>
      <c r="Q41" s="44">
        <v>0</v>
      </c>
      <c r="R41" s="37">
        <v>100</v>
      </c>
      <c r="S41" s="37" t="s">
        <v>1489</v>
      </c>
      <c r="T41" s="48">
        <v>2</v>
      </c>
      <c r="U41" s="30">
        <v>333082.75</v>
      </c>
      <c r="V41" s="41">
        <v>666165.5</v>
      </c>
      <c r="W41" s="41">
        <v>886</v>
      </c>
      <c r="X41" s="41">
        <v>326</v>
      </c>
      <c r="Y41" s="41"/>
      <c r="Z41" s="41"/>
      <c r="AA41" s="41"/>
      <c r="AB41" s="41"/>
      <c r="AC41" s="41">
        <v>560</v>
      </c>
      <c r="AD41" s="41"/>
      <c r="AE41" s="41"/>
      <c r="AF41" s="41"/>
      <c r="AG41" s="41"/>
      <c r="AH41" s="41"/>
      <c r="AI41" s="41"/>
      <c r="AJ41" s="41"/>
      <c r="AK41" s="41"/>
      <c r="AL41" s="41"/>
      <c r="AM41" s="41"/>
      <c r="AN41" s="41">
        <v>443</v>
      </c>
      <c r="AO41" s="41">
        <v>443</v>
      </c>
      <c r="AP41" s="40" t="s">
        <v>1490</v>
      </c>
      <c r="AQ41" s="36">
        <v>44986</v>
      </c>
      <c r="AR41" s="36">
        <v>45047</v>
      </c>
      <c r="AS41" s="36"/>
      <c r="AT41" s="36">
        <v>45000</v>
      </c>
      <c r="AU41" s="36">
        <v>45061</v>
      </c>
      <c r="AV41" s="38"/>
      <c r="AW41" s="40" t="s">
        <v>87</v>
      </c>
    </row>
    <row r="42" spans="1:49" s="34" customFormat="1" ht="91.2" customHeight="1" x14ac:dyDescent="0.3">
      <c r="A42" s="39" t="s">
        <v>1491</v>
      </c>
      <c r="B42" s="36">
        <v>44895</v>
      </c>
      <c r="C42" s="37">
        <v>545</v>
      </c>
      <c r="D42" s="39" t="s">
        <v>1492</v>
      </c>
      <c r="E42" s="1" t="s">
        <v>1493</v>
      </c>
      <c r="F42" s="36">
        <v>44918</v>
      </c>
      <c r="G42" s="37" t="s">
        <v>1494</v>
      </c>
      <c r="H42" s="40" t="s">
        <v>802</v>
      </c>
      <c r="I42" s="40" t="s">
        <v>1456</v>
      </c>
      <c r="J42" s="41">
        <v>292852859.04000002</v>
      </c>
      <c r="K42" s="41">
        <v>292852859.04000002</v>
      </c>
      <c r="L42" s="30">
        <v>303469881.12</v>
      </c>
      <c r="M42" s="30">
        <v>303469881.12</v>
      </c>
      <c r="N42" s="40" t="s">
        <v>1434</v>
      </c>
      <c r="O42" s="40" t="s">
        <v>1457</v>
      </c>
      <c r="P42" s="40" t="s">
        <v>1436</v>
      </c>
      <c r="Q42" s="44">
        <v>0</v>
      </c>
      <c r="R42" s="37">
        <v>100</v>
      </c>
      <c r="S42" s="37" t="s">
        <v>200</v>
      </c>
      <c r="T42" s="48">
        <v>112</v>
      </c>
      <c r="U42" s="30">
        <v>7899.57</v>
      </c>
      <c r="V42" s="41">
        <v>884751.84</v>
      </c>
      <c r="W42" s="41">
        <v>38416</v>
      </c>
      <c r="X42" s="41">
        <v>20720</v>
      </c>
      <c r="Y42" s="41"/>
      <c r="Z42" s="41"/>
      <c r="AA42" s="41"/>
      <c r="AB42" s="41"/>
      <c r="AC42" s="41">
        <v>17696</v>
      </c>
      <c r="AD42" s="41"/>
      <c r="AE42" s="41"/>
      <c r="AF42" s="41"/>
      <c r="AG42" s="41"/>
      <c r="AH42" s="41"/>
      <c r="AI42" s="41"/>
      <c r="AJ42" s="41"/>
      <c r="AK42" s="41"/>
      <c r="AL42" s="41"/>
      <c r="AM42" s="41"/>
      <c r="AN42" s="41">
        <v>343</v>
      </c>
      <c r="AO42" s="41">
        <v>343</v>
      </c>
      <c r="AP42" s="40" t="s">
        <v>1495</v>
      </c>
      <c r="AQ42" s="36">
        <v>45017</v>
      </c>
      <c r="AR42" s="36">
        <v>45108</v>
      </c>
      <c r="AS42" s="36"/>
      <c r="AT42" s="36">
        <v>45031</v>
      </c>
      <c r="AU42" s="36">
        <v>45122</v>
      </c>
      <c r="AV42" s="38"/>
      <c r="AW42" s="40" t="s">
        <v>87</v>
      </c>
    </row>
    <row r="43" spans="1:49" s="34" customFormat="1" ht="90" customHeight="1" x14ac:dyDescent="0.3">
      <c r="A43" s="39" t="s">
        <v>1496</v>
      </c>
      <c r="B43" s="36">
        <v>44895</v>
      </c>
      <c r="C43" s="37">
        <v>545</v>
      </c>
      <c r="D43" s="39" t="s">
        <v>1497</v>
      </c>
      <c r="E43" s="1" t="s">
        <v>1498</v>
      </c>
      <c r="F43" s="36">
        <v>44918</v>
      </c>
      <c r="G43" s="37" t="s">
        <v>1499</v>
      </c>
      <c r="H43" s="40" t="s">
        <v>802</v>
      </c>
      <c r="I43" s="40" t="s">
        <v>1456</v>
      </c>
      <c r="J43" s="41">
        <v>285774844.31999999</v>
      </c>
      <c r="K43" s="41">
        <v>285774844.31999999</v>
      </c>
      <c r="L43" s="30">
        <v>297276618.24000001</v>
      </c>
      <c r="M43" s="30">
        <v>297276618.24000001</v>
      </c>
      <c r="N43" s="40" t="s">
        <v>1434</v>
      </c>
      <c r="O43" s="40" t="s">
        <v>1457</v>
      </c>
      <c r="P43" s="40" t="s">
        <v>1436</v>
      </c>
      <c r="Q43" s="44">
        <v>0</v>
      </c>
      <c r="R43" s="37">
        <v>100</v>
      </c>
      <c r="S43" s="37" t="s">
        <v>200</v>
      </c>
      <c r="T43" s="48">
        <v>112</v>
      </c>
      <c r="U43" s="30">
        <v>7899.5700000000006</v>
      </c>
      <c r="V43" s="41">
        <v>884751.84000000008</v>
      </c>
      <c r="W43" s="41">
        <v>37632</v>
      </c>
      <c r="X43" s="41">
        <v>20272</v>
      </c>
      <c r="Y43" s="41"/>
      <c r="Z43" s="41"/>
      <c r="AA43" s="41"/>
      <c r="AB43" s="41"/>
      <c r="AC43" s="41">
        <v>17360</v>
      </c>
      <c r="AD43" s="41"/>
      <c r="AE43" s="41"/>
      <c r="AF43" s="41"/>
      <c r="AG43" s="41"/>
      <c r="AH43" s="41"/>
      <c r="AI43" s="41"/>
      <c r="AJ43" s="41"/>
      <c r="AK43" s="41"/>
      <c r="AL43" s="41"/>
      <c r="AM43" s="41"/>
      <c r="AN43" s="41">
        <v>336</v>
      </c>
      <c r="AO43" s="41">
        <v>336</v>
      </c>
      <c r="AP43" s="40" t="s">
        <v>1500</v>
      </c>
      <c r="AQ43" s="36">
        <v>45017</v>
      </c>
      <c r="AR43" s="36">
        <v>45108</v>
      </c>
      <c r="AS43" s="36"/>
      <c r="AT43" s="36">
        <v>45031</v>
      </c>
      <c r="AU43" s="36">
        <v>45122</v>
      </c>
      <c r="AV43" s="38"/>
      <c r="AW43" s="40" t="s">
        <v>87</v>
      </c>
    </row>
    <row r="44" spans="1:49" s="34" customFormat="1" ht="92.4" customHeight="1" x14ac:dyDescent="0.3">
      <c r="A44" s="39" t="s">
        <v>1501</v>
      </c>
      <c r="B44" s="36">
        <v>44895</v>
      </c>
      <c r="C44" s="37">
        <v>545</v>
      </c>
      <c r="D44" s="39" t="s">
        <v>1502</v>
      </c>
      <c r="E44" s="1" t="s">
        <v>1503</v>
      </c>
      <c r="F44" s="36">
        <v>44918</v>
      </c>
      <c r="G44" s="37" t="s">
        <v>1504</v>
      </c>
      <c r="H44" s="40" t="s">
        <v>802</v>
      </c>
      <c r="I44" s="40" t="s">
        <v>1456</v>
      </c>
      <c r="J44" s="41">
        <v>291083355.36000001</v>
      </c>
      <c r="K44" s="41">
        <v>291083355.36000001</v>
      </c>
      <c r="L44" s="30">
        <v>328242932.63999999</v>
      </c>
      <c r="M44" s="30">
        <v>328242932.63999999</v>
      </c>
      <c r="N44" s="40" t="s">
        <v>1434</v>
      </c>
      <c r="O44" s="40" t="s">
        <v>1457</v>
      </c>
      <c r="P44" s="40" t="s">
        <v>1436</v>
      </c>
      <c r="Q44" s="44">
        <v>0</v>
      </c>
      <c r="R44" s="37">
        <v>100</v>
      </c>
      <c r="S44" s="37" t="s">
        <v>200</v>
      </c>
      <c r="T44" s="48">
        <v>112</v>
      </c>
      <c r="U44" s="30">
        <v>7899.57</v>
      </c>
      <c r="V44" s="41">
        <v>884751.84</v>
      </c>
      <c r="W44" s="41">
        <v>41552</v>
      </c>
      <c r="X44" s="41">
        <v>20720</v>
      </c>
      <c r="Y44" s="41"/>
      <c r="Z44" s="41"/>
      <c r="AA44" s="41"/>
      <c r="AB44" s="41"/>
      <c r="AC44" s="41">
        <v>20832</v>
      </c>
      <c r="AD44" s="41"/>
      <c r="AE44" s="41"/>
      <c r="AF44" s="41"/>
      <c r="AG44" s="41"/>
      <c r="AH44" s="41"/>
      <c r="AI44" s="41"/>
      <c r="AJ44" s="41"/>
      <c r="AK44" s="41"/>
      <c r="AL44" s="41"/>
      <c r="AM44" s="41"/>
      <c r="AN44" s="41">
        <v>371</v>
      </c>
      <c r="AO44" s="41">
        <v>371</v>
      </c>
      <c r="AP44" s="40" t="s">
        <v>1505</v>
      </c>
      <c r="AQ44" s="36">
        <v>45017</v>
      </c>
      <c r="AR44" s="36">
        <v>45108</v>
      </c>
      <c r="AS44" s="36"/>
      <c r="AT44" s="36">
        <v>45031</v>
      </c>
      <c r="AU44" s="36">
        <v>45122</v>
      </c>
      <c r="AV44" s="38"/>
      <c r="AW44" s="40" t="s">
        <v>75</v>
      </c>
    </row>
    <row r="45" spans="1:49" s="34" customFormat="1" ht="93.6" x14ac:dyDescent="0.3">
      <c r="A45" s="39" t="s">
        <v>1506</v>
      </c>
      <c r="B45" s="36">
        <v>44895</v>
      </c>
      <c r="C45" s="37">
        <v>545</v>
      </c>
      <c r="D45" s="39" t="s">
        <v>1507</v>
      </c>
      <c r="E45" s="1" t="s">
        <v>1508</v>
      </c>
      <c r="F45" s="36">
        <v>44915</v>
      </c>
      <c r="G45" s="39" t="s">
        <v>1509</v>
      </c>
      <c r="H45" s="40" t="s">
        <v>878</v>
      </c>
      <c r="I45" s="40" t="s">
        <v>1486</v>
      </c>
      <c r="J45" s="41">
        <v>296443647.5</v>
      </c>
      <c r="K45" s="41">
        <v>296443647.5</v>
      </c>
      <c r="L45" s="30">
        <v>354400046</v>
      </c>
      <c r="M45" s="30">
        <v>354400046</v>
      </c>
      <c r="N45" s="40" t="s">
        <v>1487</v>
      </c>
      <c r="O45" s="40" t="s">
        <v>1488</v>
      </c>
      <c r="P45" s="40" t="s">
        <v>348</v>
      </c>
      <c r="Q45" s="44">
        <v>0</v>
      </c>
      <c r="R45" s="37">
        <v>100</v>
      </c>
      <c r="S45" s="37" t="s">
        <v>1489</v>
      </c>
      <c r="T45" s="48">
        <v>2</v>
      </c>
      <c r="U45" s="30">
        <v>333082.75</v>
      </c>
      <c r="V45" s="41">
        <v>666165.5</v>
      </c>
      <c r="W45" s="41">
        <v>1064</v>
      </c>
      <c r="X45" s="41">
        <v>332</v>
      </c>
      <c r="Y45" s="41"/>
      <c r="Z45" s="41"/>
      <c r="AA45" s="41"/>
      <c r="AB45" s="41"/>
      <c r="AC45" s="41">
        <v>732</v>
      </c>
      <c r="AD45" s="41"/>
      <c r="AE45" s="41"/>
      <c r="AF45" s="41"/>
      <c r="AG45" s="41"/>
      <c r="AH45" s="41"/>
      <c r="AI45" s="41"/>
      <c r="AJ45" s="41"/>
      <c r="AK45" s="41"/>
      <c r="AL45" s="41"/>
      <c r="AM45" s="41"/>
      <c r="AN45" s="41">
        <v>532</v>
      </c>
      <c r="AO45" s="41">
        <v>532</v>
      </c>
      <c r="AP45" s="40" t="s">
        <v>1510</v>
      </c>
      <c r="AQ45" s="36">
        <v>44986</v>
      </c>
      <c r="AR45" s="36">
        <v>45047</v>
      </c>
      <c r="AS45" s="36"/>
      <c r="AT45" s="36">
        <v>45000</v>
      </c>
      <c r="AU45" s="36">
        <v>45061</v>
      </c>
      <c r="AV45" s="38"/>
      <c r="AW45" s="40" t="s">
        <v>87</v>
      </c>
    </row>
    <row r="46" spans="1:49" s="34" customFormat="1" ht="78" x14ac:dyDescent="0.3">
      <c r="A46" s="39" t="s">
        <v>1511</v>
      </c>
      <c r="B46" s="36">
        <v>44895</v>
      </c>
      <c r="C46" s="37">
        <v>545</v>
      </c>
      <c r="D46" s="39" t="s">
        <v>1512</v>
      </c>
      <c r="E46" s="1" t="s">
        <v>1513</v>
      </c>
      <c r="F46" s="36">
        <v>44915</v>
      </c>
      <c r="G46" s="39" t="s">
        <v>1514</v>
      </c>
      <c r="H46" s="40" t="s">
        <v>878</v>
      </c>
      <c r="I46" s="40" t="s">
        <v>1486</v>
      </c>
      <c r="J46" s="41">
        <v>276458682.5</v>
      </c>
      <c r="K46" s="41">
        <v>276458682.5</v>
      </c>
      <c r="L46" s="30">
        <v>276458682.5</v>
      </c>
      <c r="M46" s="30">
        <v>276458682.5</v>
      </c>
      <c r="N46" s="40" t="s">
        <v>1487</v>
      </c>
      <c r="O46" s="40" t="s">
        <v>1488</v>
      </c>
      <c r="P46" s="40" t="s">
        <v>348</v>
      </c>
      <c r="Q46" s="44">
        <v>0</v>
      </c>
      <c r="R46" s="37">
        <v>100</v>
      </c>
      <c r="S46" s="37" t="s">
        <v>1489</v>
      </c>
      <c r="T46" s="48">
        <v>2</v>
      </c>
      <c r="U46" s="30">
        <v>333082.75</v>
      </c>
      <c r="V46" s="41">
        <v>666165.5</v>
      </c>
      <c r="W46" s="41">
        <v>830</v>
      </c>
      <c r="X46" s="41">
        <v>306</v>
      </c>
      <c r="Y46" s="41"/>
      <c r="Z46" s="41"/>
      <c r="AA46" s="41"/>
      <c r="AB46" s="41"/>
      <c r="AC46" s="41">
        <v>524</v>
      </c>
      <c r="AD46" s="41"/>
      <c r="AE46" s="41"/>
      <c r="AF46" s="41"/>
      <c r="AG46" s="41"/>
      <c r="AH46" s="41"/>
      <c r="AI46" s="41"/>
      <c r="AJ46" s="41"/>
      <c r="AK46" s="41"/>
      <c r="AL46" s="41"/>
      <c r="AM46" s="41"/>
      <c r="AN46" s="41">
        <v>415</v>
      </c>
      <c r="AO46" s="41">
        <v>415</v>
      </c>
      <c r="AP46" s="40" t="s">
        <v>1515</v>
      </c>
      <c r="AQ46" s="36">
        <v>44986</v>
      </c>
      <c r="AR46" s="36">
        <v>45047</v>
      </c>
      <c r="AS46" s="36"/>
      <c r="AT46" s="36">
        <v>45000</v>
      </c>
      <c r="AU46" s="36">
        <v>45061</v>
      </c>
      <c r="AV46" s="38"/>
      <c r="AW46" s="40" t="s">
        <v>87</v>
      </c>
    </row>
    <row r="47" spans="1:49" s="34" customFormat="1" ht="72" x14ac:dyDescent="0.3">
      <c r="A47" s="39" t="s">
        <v>1516</v>
      </c>
      <c r="B47" s="36">
        <v>44895</v>
      </c>
      <c r="C47" s="37">
        <v>545</v>
      </c>
      <c r="D47" s="39" t="s">
        <v>1517</v>
      </c>
      <c r="E47" s="1" t="s">
        <v>1518</v>
      </c>
      <c r="F47" s="36">
        <v>44918</v>
      </c>
      <c r="G47" s="39" t="s">
        <v>1519</v>
      </c>
      <c r="H47" s="40" t="s">
        <v>802</v>
      </c>
      <c r="I47" s="40" t="s">
        <v>1520</v>
      </c>
      <c r="J47" s="41">
        <v>299107789.33999997</v>
      </c>
      <c r="K47" s="41">
        <v>299107789.33999997</v>
      </c>
      <c r="L47" s="30">
        <v>316806475.10000002</v>
      </c>
      <c r="M47" s="30">
        <v>316806475.10000002</v>
      </c>
      <c r="N47" s="40" t="s">
        <v>1521</v>
      </c>
      <c r="O47" s="40" t="s">
        <v>1522</v>
      </c>
      <c r="P47" s="40" t="s">
        <v>1436</v>
      </c>
      <c r="Q47" s="44">
        <v>0</v>
      </c>
      <c r="R47" s="37">
        <v>100</v>
      </c>
      <c r="S47" s="37" t="s">
        <v>584</v>
      </c>
      <c r="T47" s="67">
        <v>27854.400000000001</v>
      </c>
      <c r="U47" s="30">
        <v>31.769999999598877</v>
      </c>
      <c r="V47" s="41">
        <v>884934.28798882698</v>
      </c>
      <c r="W47" s="41">
        <v>9971875.1999999993</v>
      </c>
      <c r="X47" s="41">
        <v>5543025.5999999996</v>
      </c>
      <c r="Y47" s="41"/>
      <c r="Z47" s="41"/>
      <c r="AA47" s="41"/>
      <c r="AB47" s="41"/>
      <c r="AC47" s="41">
        <v>4428849.5999999996</v>
      </c>
      <c r="AD47" s="41"/>
      <c r="AE47" s="41"/>
      <c r="AF47" s="41"/>
      <c r="AG47" s="41"/>
      <c r="AH47" s="41"/>
      <c r="AI47" s="41"/>
      <c r="AJ47" s="41"/>
      <c r="AK47" s="41"/>
      <c r="AL47" s="41"/>
      <c r="AM47" s="41"/>
      <c r="AN47" s="41">
        <v>357.99999999999994</v>
      </c>
      <c r="AO47" s="41">
        <v>358</v>
      </c>
      <c r="AP47" s="40" t="s">
        <v>1437</v>
      </c>
      <c r="AQ47" s="36">
        <v>45017</v>
      </c>
      <c r="AR47" s="36">
        <v>45108</v>
      </c>
      <c r="AS47" s="36"/>
      <c r="AT47" s="36">
        <v>45031</v>
      </c>
      <c r="AU47" s="36">
        <v>45122</v>
      </c>
      <c r="AV47" s="38"/>
      <c r="AW47" s="40" t="s">
        <v>87</v>
      </c>
    </row>
    <row r="48" spans="1:49" s="34" customFormat="1" ht="72" x14ac:dyDescent="0.3">
      <c r="A48" s="39" t="s">
        <v>1523</v>
      </c>
      <c r="B48" s="36">
        <v>44895</v>
      </c>
      <c r="C48" s="37">
        <v>545</v>
      </c>
      <c r="D48" s="39" t="s">
        <v>459</v>
      </c>
      <c r="E48" s="1" t="s">
        <v>1524</v>
      </c>
      <c r="F48" s="36" t="s">
        <v>459</v>
      </c>
      <c r="G48" s="37" t="s">
        <v>459</v>
      </c>
      <c r="H48" s="40" t="s">
        <v>459</v>
      </c>
      <c r="I48" s="40" t="s">
        <v>1525</v>
      </c>
      <c r="J48" s="41">
        <v>170849698.80000001</v>
      </c>
      <c r="K48" s="41" t="s">
        <v>459</v>
      </c>
      <c r="L48" s="30" t="s">
        <v>459</v>
      </c>
      <c r="M48" s="30" t="s">
        <v>459</v>
      </c>
      <c r="N48" s="40"/>
      <c r="O48" s="40"/>
      <c r="P48" s="40"/>
      <c r="Q48" s="44"/>
      <c r="R48" s="37"/>
      <c r="S48" s="37"/>
      <c r="T48" s="67"/>
      <c r="U48" s="30" t="e">
        <v>#VALUE!</v>
      </c>
      <c r="V48" s="41" t="e">
        <v>#VALUE!</v>
      </c>
      <c r="W48" s="41"/>
      <c r="X48" s="41"/>
      <c r="Y48" s="41"/>
      <c r="Z48" s="41"/>
      <c r="AA48" s="41"/>
      <c r="AB48" s="41"/>
      <c r="AC48" s="41"/>
      <c r="AD48" s="41"/>
      <c r="AE48" s="41"/>
      <c r="AF48" s="41"/>
      <c r="AG48" s="41"/>
      <c r="AH48" s="41"/>
      <c r="AI48" s="41"/>
      <c r="AJ48" s="41"/>
      <c r="AK48" s="41"/>
      <c r="AL48" s="41"/>
      <c r="AM48" s="41"/>
      <c r="AN48" s="41" t="e">
        <v>#DIV/0!</v>
      </c>
      <c r="AO48" s="41" t="e">
        <v>#DIV/0!</v>
      </c>
      <c r="AP48" s="40"/>
      <c r="AQ48" s="36"/>
      <c r="AR48" s="36"/>
      <c r="AS48" s="36"/>
      <c r="AT48" s="36"/>
      <c r="AU48" s="36"/>
      <c r="AV48" s="38"/>
      <c r="AW48" s="40"/>
    </row>
    <row r="49" spans="1:49" s="34" customFormat="1" ht="72" x14ac:dyDescent="0.3">
      <c r="A49" s="39" t="s">
        <v>1526</v>
      </c>
      <c r="B49" s="36">
        <v>44895</v>
      </c>
      <c r="C49" s="37">
        <v>545</v>
      </c>
      <c r="D49" s="39" t="s">
        <v>1527</v>
      </c>
      <c r="E49" s="1" t="s">
        <v>1528</v>
      </c>
      <c r="F49" s="36">
        <v>44918</v>
      </c>
      <c r="G49" s="37" t="s">
        <v>1529</v>
      </c>
      <c r="H49" s="40" t="s">
        <v>802</v>
      </c>
      <c r="I49" s="40" t="s">
        <v>1520</v>
      </c>
      <c r="J49" s="41">
        <v>282294037.87</v>
      </c>
      <c r="K49" s="41">
        <v>282294037.87</v>
      </c>
      <c r="L49" s="30">
        <v>352203846.62</v>
      </c>
      <c r="M49" s="30">
        <v>352203846.62</v>
      </c>
      <c r="N49" s="40" t="s">
        <v>1521</v>
      </c>
      <c r="O49" s="40" t="s">
        <v>1522</v>
      </c>
      <c r="P49" s="40" t="s">
        <v>1436</v>
      </c>
      <c r="Q49" s="44">
        <v>0</v>
      </c>
      <c r="R49" s="37">
        <v>100</v>
      </c>
      <c r="S49" s="37" t="s">
        <v>584</v>
      </c>
      <c r="T49" s="67">
        <v>27854.400000000001</v>
      </c>
      <c r="U49" s="30">
        <v>31.76999999963919</v>
      </c>
      <c r="V49" s="41">
        <v>884934.28798994992</v>
      </c>
      <c r="W49" s="41">
        <v>11086051.199999999</v>
      </c>
      <c r="X49" s="41">
        <v>5208772.8</v>
      </c>
      <c r="Y49" s="41"/>
      <c r="Z49" s="41"/>
      <c r="AA49" s="41"/>
      <c r="AB49" s="41"/>
      <c r="AC49" s="41">
        <v>5877278.4000000004</v>
      </c>
      <c r="AD49" s="41"/>
      <c r="AE49" s="41"/>
      <c r="AF49" s="41"/>
      <c r="AG49" s="41"/>
      <c r="AH49" s="41"/>
      <c r="AI49" s="41"/>
      <c r="AJ49" s="41"/>
      <c r="AK49" s="41"/>
      <c r="AL49" s="41"/>
      <c r="AM49" s="41"/>
      <c r="AN49" s="41">
        <v>397.99999999999994</v>
      </c>
      <c r="AO49" s="41">
        <v>398</v>
      </c>
      <c r="AP49" s="40" t="s">
        <v>1530</v>
      </c>
      <c r="AQ49" s="36">
        <v>45017</v>
      </c>
      <c r="AR49" s="36">
        <v>45108</v>
      </c>
      <c r="AS49" s="36"/>
      <c r="AT49" s="36">
        <v>45031</v>
      </c>
      <c r="AU49" s="36">
        <v>45122</v>
      </c>
      <c r="AV49" s="38"/>
      <c r="AW49" s="40" t="s">
        <v>87</v>
      </c>
    </row>
    <row r="50" spans="1:49" s="34" customFormat="1" ht="72" x14ac:dyDescent="0.3">
      <c r="A50" s="39" t="s">
        <v>1531</v>
      </c>
      <c r="B50" s="36">
        <v>44895</v>
      </c>
      <c r="C50" s="37">
        <v>545</v>
      </c>
      <c r="D50" s="39" t="s">
        <v>1532</v>
      </c>
      <c r="E50" s="1" t="s">
        <v>1533</v>
      </c>
      <c r="F50" s="36">
        <v>44915</v>
      </c>
      <c r="G50" s="37" t="s">
        <v>1534</v>
      </c>
      <c r="H50" s="40" t="s">
        <v>878</v>
      </c>
      <c r="I50" s="40" t="s">
        <v>1535</v>
      </c>
      <c r="J50" s="41">
        <v>23366039.399999999</v>
      </c>
      <c r="K50" s="41">
        <v>23366039.399999999</v>
      </c>
      <c r="L50" s="30">
        <v>23366039.399999999</v>
      </c>
      <c r="M50" s="30">
        <v>23366039.399999999</v>
      </c>
      <c r="N50" s="40" t="s">
        <v>1536</v>
      </c>
      <c r="O50" s="40" t="s">
        <v>1537</v>
      </c>
      <c r="P50" s="40" t="s">
        <v>348</v>
      </c>
      <c r="Q50" s="44">
        <v>0</v>
      </c>
      <c r="R50" s="37">
        <v>100</v>
      </c>
      <c r="S50" s="37" t="s">
        <v>200</v>
      </c>
      <c r="T50" s="48">
        <v>30</v>
      </c>
      <c r="U50" s="30">
        <v>2426.3799999999997</v>
      </c>
      <c r="V50" s="41">
        <v>72791.399999999994</v>
      </c>
      <c r="W50" s="41">
        <v>9630</v>
      </c>
      <c r="X50" s="41">
        <v>4500</v>
      </c>
      <c r="Y50" s="41"/>
      <c r="Z50" s="41"/>
      <c r="AA50" s="41"/>
      <c r="AB50" s="41"/>
      <c r="AC50" s="41">
        <v>5130</v>
      </c>
      <c r="AD50" s="41"/>
      <c r="AE50" s="41"/>
      <c r="AF50" s="41"/>
      <c r="AG50" s="41"/>
      <c r="AH50" s="41"/>
      <c r="AI50" s="41"/>
      <c r="AJ50" s="41"/>
      <c r="AK50" s="41"/>
      <c r="AL50" s="41"/>
      <c r="AM50" s="41"/>
      <c r="AN50" s="41">
        <v>321</v>
      </c>
      <c r="AO50" s="41">
        <v>321</v>
      </c>
      <c r="AP50" s="40" t="s">
        <v>1353</v>
      </c>
      <c r="AQ50" s="36">
        <v>44946</v>
      </c>
      <c r="AR50" s="36">
        <v>44986</v>
      </c>
      <c r="AS50" s="36"/>
      <c r="AT50" s="36">
        <v>44962</v>
      </c>
      <c r="AU50" s="36">
        <v>45000</v>
      </c>
      <c r="AV50" s="38"/>
      <c r="AW50" s="40" t="s">
        <v>87</v>
      </c>
    </row>
    <row r="51" spans="1:49" s="34" customFormat="1" ht="72" x14ac:dyDescent="0.3">
      <c r="A51" s="39" t="s">
        <v>1538</v>
      </c>
      <c r="B51" s="36">
        <v>44895</v>
      </c>
      <c r="C51" s="37">
        <v>545</v>
      </c>
      <c r="D51" s="39" t="s">
        <v>1539</v>
      </c>
      <c r="E51" s="1" t="s">
        <v>1540</v>
      </c>
      <c r="F51" s="36">
        <v>44915</v>
      </c>
      <c r="G51" s="37" t="s">
        <v>1541</v>
      </c>
      <c r="H51" s="40" t="s">
        <v>878</v>
      </c>
      <c r="I51" s="40" t="s">
        <v>1542</v>
      </c>
      <c r="J51" s="41">
        <v>28564169.399999999</v>
      </c>
      <c r="K51" s="41">
        <v>28563777</v>
      </c>
      <c r="L51" s="30">
        <v>31533711</v>
      </c>
      <c r="M51" s="30">
        <v>31533711</v>
      </c>
      <c r="N51" s="40" t="s">
        <v>1536</v>
      </c>
      <c r="O51" s="40" t="s">
        <v>1543</v>
      </c>
      <c r="P51" s="40" t="s">
        <v>348</v>
      </c>
      <c r="Q51" s="44">
        <v>0</v>
      </c>
      <c r="R51" s="37">
        <v>100</v>
      </c>
      <c r="S51" s="37" t="s">
        <v>200</v>
      </c>
      <c r="T51" s="48">
        <v>30</v>
      </c>
      <c r="U51" s="30">
        <v>1455.85</v>
      </c>
      <c r="V51" s="41">
        <v>43675.5</v>
      </c>
      <c r="W51" s="41">
        <v>21660</v>
      </c>
      <c r="X51" s="41">
        <v>7200</v>
      </c>
      <c r="Y51" s="41"/>
      <c r="Z51" s="41"/>
      <c r="AA51" s="41"/>
      <c r="AB51" s="41"/>
      <c r="AC51" s="41">
        <v>14460</v>
      </c>
      <c r="AD51" s="41"/>
      <c r="AE51" s="41"/>
      <c r="AF51" s="41"/>
      <c r="AG51" s="41"/>
      <c r="AH51" s="41"/>
      <c r="AI51" s="41"/>
      <c r="AJ51" s="41"/>
      <c r="AK51" s="41"/>
      <c r="AL51" s="41"/>
      <c r="AM51" s="41"/>
      <c r="AN51" s="41">
        <v>722</v>
      </c>
      <c r="AO51" s="41">
        <v>722</v>
      </c>
      <c r="AP51" s="40" t="s">
        <v>1353</v>
      </c>
      <c r="AQ51" s="36">
        <v>44946</v>
      </c>
      <c r="AR51" s="36">
        <v>45108</v>
      </c>
      <c r="AS51" s="36"/>
      <c r="AT51" s="36">
        <v>44962</v>
      </c>
      <c r="AU51" s="36">
        <v>45122</v>
      </c>
      <c r="AV51" s="38"/>
      <c r="AW51" s="40" t="s">
        <v>87</v>
      </c>
    </row>
    <row r="52" spans="1:49" s="34" customFormat="1" ht="92.4" customHeight="1" x14ac:dyDescent="0.3">
      <c r="A52" s="39" t="s">
        <v>1544</v>
      </c>
      <c r="B52" s="36">
        <v>44895</v>
      </c>
      <c r="C52" s="37">
        <v>545</v>
      </c>
      <c r="D52" s="39" t="s">
        <v>1545</v>
      </c>
      <c r="E52" s="1" t="s">
        <v>1546</v>
      </c>
      <c r="F52" s="36">
        <v>44918</v>
      </c>
      <c r="G52" s="37" t="s">
        <v>1547</v>
      </c>
      <c r="H52" s="40" t="s">
        <v>802</v>
      </c>
      <c r="I52" s="40" t="s">
        <v>1520</v>
      </c>
      <c r="J52" s="41">
        <v>263710417.81999999</v>
      </c>
      <c r="K52" s="41">
        <v>263710417.81999999</v>
      </c>
      <c r="L52" s="30">
        <v>313266737.94999999</v>
      </c>
      <c r="M52" s="30">
        <v>313266737.94999999</v>
      </c>
      <c r="N52" s="40" t="s">
        <v>1521</v>
      </c>
      <c r="O52" s="40" t="s">
        <v>1522</v>
      </c>
      <c r="P52" s="40" t="s">
        <v>1436</v>
      </c>
      <c r="Q52" s="44">
        <v>0</v>
      </c>
      <c r="R52" s="37">
        <v>100</v>
      </c>
      <c r="S52" s="37" t="s">
        <v>584</v>
      </c>
      <c r="T52" s="67">
        <v>27854.400000000001</v>
      </c>
      <c r="U52" s="30">
        <v>31.769999999797168</v>
      </c>
      <c r="V52" s="41">
        <v>884934.28799435031</v>
      </c>
      <c r="W52" s="41">
        <v>9860457.5999999996</v>
      </c>
      <c r="X52" s="41">
        <v>4846665.5999999996</v>
      </c>
      <c r="Y52" s="41"/>
      <c r="Z52" s="41"/>
      <c r="AA52" s="41"/>
      <c r="AB52" s="41"/>
      <c r="AC52" s="41">
        <v>5013792</v>
      </c>
      <c r="AD52" s="41"/>
      <c r="AE52" s="41"/>
      <c r="AF52" s="41"/>
      <c r="AG52" s="41"/>
      <c r="AH52" s="41"/>
      <c r="AI52" s="41"/>
      <c r="AJ52" s="41"/>
      <c r="AK52" s="41"/>
      <c r="AL52" s="41"/>
      <c r="AM52" s="41"/>
      <c r="AN52" s="41">
        <v>353.99999999999994</v>
      </c>
      <c r="AO52" s="41">
        <v>354</v>
      </c>
      <c r="AP52" s="40" t="s">
        <v>1548</v>
      </c>
      <c r="AQ52" s="36">
        <v>45017</v>
      </c>
      <c r="AR52" s="36">
        <v>45108</v>
      </c>
      <c r="AS52" s="36"/>
      <c r="AT52" s="36">
        <v>45031</v>
      </c>
      <c r="AU52" s="36">
        <v>45122</v>
      </c>
      <c r="AV52" s="38"/>
      <c r="AW52" s="40" t="s">
        <v>75</v>
      </c>
    </row>
    <row r="53" spans="1:49" s="34" customFormat="1" ht="101.4" customHeight="1" x14ac:dyDescent="0.3">
      <c r="A53" s="39" t="s">
        <v>1549</v>
      </c>
      <c r="B53" s="36">
        <v>44896</v>
      </c>
      <c r="C53" s="37">
        <v>545</v>
      </c>
      <c r="D53" s="39" t="s">
        <v>1550</v>
      </c>
      <c r="E53" s="1" t="s">
        <v>1551</v>
      </c>
      <c r="F53" s="36">
        <v>44918</v>
      </c>
      <c r="G53" s="37" t="s">
        <v>1552</v>
      </c>
      <c r="H53" s="40" t="s">
        <v>878</v>
      </c>
      <c r="I53" s="40" t="s">
        <v>1486</v>
      </c>
      <c r="J53" s="41">
        <v>187858671</v>
      </c>
      <c r="K53" s="41">
        <v>187858671</v>
      </c>
      <c r="L53" s="30">
        <v>187858671</v>
      </c>
      <c r="M53" s="30">
        <v>187858671</v>
      </c>
      <c r="N53" s="40" t="s">
        <v>1487</v>
      </c>
      <c r="O53" s="40" t="s">
        <v>1488</v>
      </c>
      <c r="P53" s="40" t="s">
        <v>348</v>
      </c>
      <c r="Q53" s="44">
        <v>0</v>
      </c>
      <c r="R53" s="37">
        <v>100</v>
      </c>
      <c r="S53" s="37" t="s">
        <v>1489</v>
      </c>
      <c r="T53" s="48">
        <v>2</v>
      </c>
      <c r="U53" s="30">
        <v>333082.75</v>
      </c>
      <c r="V53" s="41">
        <v>666165.5</v>
      </c>
      <c r="W53" s="41">
        <v>564</v>
      </c>
      <c r="X53" s="41">
        <v>206</v>
      </c>
      <c r="Y53" s="41"/>
      <c r="Z53" s="41"/>
      <c r="AA53" s="41"/>
      <c r="AB53" s="41"/>
      <c r="AC53" s="41">
        <v>358</v>
      </c>
      <c r="AD53" s="41"/>
      <c r="AE53" s="41"/>
      <c r="AF53" s="41"/>
      <c r="AG53" s="41"/>
      <c r="AH53" s="41"/>
      <c r="AI53" s="41"/>
      <c r="AJ53" s="41"/>
      <c r="AK53" s="41"/>
      <c r="AL53" s="41"/>
      <c r="AM53" s="41"/>
      <c r="AN53" s="41">
        <v>282</v>
      </c>
      <c r="AO53" s="41">
        <v>282</v>
      </c>
      <c r="AP53" s="40" t="s">
        <v>1553</v>
      </c>
      <c r="AQ53" s="36">
        <v>44986</v>
      </c>
      <c r="AR53" s="36">
        <v>45047</v>
      </c>
      <c r="AS53" s="36"/>
      <c r="AT53" s="36">
        <v>45000</v>
      </c>
      <c r="AU53" s="36">
        <v>45061</v>
      </c>
      <c r="AV53" s="38"/>
      <c r="AW53" s="40" t="s">
        <v>87</v>
      </c>
    </row>
    <row r="54" spans="1:49" s="34" customFormat="1" ht="84" customHeight="1" x14ac:dyDescent="0.3">
      <c r="A54" s="39" t="s">
        <v>1554</v>
      </c>
      <c r="B54" s="36">
        <v>44896</v>
      </c>
      <c r="C54" s="37">
        <v>545</v>
      </c>
      <c r="D54" s="39" t="s">
        <v>1555</v>
      </c>
      <c r="E54" s="1" t="s">
        <v>1556</v>
      </c>
      <c r="F54" s="36">
        <v>44918</v>
      </c>
      <c r="G54" s="37" t="s">
        <v>1557</v>
      </c>
      <c r="H54" s="40" t="s">
        <v>878</v>
      </c>
      <c r="I54" s="40" t="s">
        <v>1486</v>
      </c>
      <c r="J54" s="41">
        <v>288449661.5</v>
      </c>
      <c r="K54" s="41">
        <v>288449661.5</v>
      </c>
      <c r="L54" s="30">
        <v>288449661.5</v>
      </c>
      <c r="M54" s="30">
        <v>288449661.5</v>
      </c>
      <c r="N54" s="40" t="s">
        <v>1487</v>
      </c>
      <c r="O54" s="40" t="s">
        <v>1488</v>
      </c>
      <c r="P54" s="40" t="s">
        <v>348</v>
      </c>
      <c r="Q54" s="44">
        <v>0</v>
      </c>
      <c r="R54" s="37">
        <v>100</v>
      </c>
      <c r="S54" s="37" t="s">
        <v>1489</v>
      </c>
      <c r="T54" s="48">
        <v>2</v>
      </c>
      <c r="U54" s="30">
        <v>333082.75</v>
      </c>
      <c r="V54" s="41">
        <v>666165.5</v>
      </c>
      <c r="W54" s="41">
        <v>866</v>
      </c>
      <c r="X54" s="41">
        <v>320</v>
      </c>
      <c r="Y54" s="41"/>
      <c r="Z54" s="41"/>
      <c r="AA54" s="41"/>
      <c r="AB54" s="41"/>
      <c r="AC54" s="41">
        <v>546</v>
      </c>
      <c r="AD54" s="41"/>
      <c r="AE54" s="41"/>
      <c r="AF54" s="41"/>
      <c r="AG54" s="41"/>
      <c r="AH54" s="41"/>
      <c r="AI54" s="41"/>
      <c r="AJ54" s="41"/>
      <c r="AK54" s="41"/>
      <c r="AL54" s="41"/>
      <c r="AM54" s="41"/>
      <c r="AN54" s="41">
        <v>433</v>
      </c>
      <c r="AO54" s="41">
        <v>433</v>
      </c>
      <c r="AP54" s="40" t="s">
        <v>1558</v>
      </c>
      <c r="AQ54" s="36">
        <v>44986</v>
      </c>
      <c r="AR54" s="36">
        <v>45047</v>
      </c>
      <c r="AS54" s="36"/>
      <c r="AT54" s="36">
        <v>45000</v>
      </c>
      <c r="AU54" s="36">
        <v>45061</v>
      </c>
      <c r="AV54" s="38"/>
      <c r="AW54" s="40" t="s">
        <v>87</v>
      </c>
    </row>
    <row r="55" spans="1:49" s="34" customFormat="1" ht="76.2" customHeight="1" x14ac:dyDescent="0.3">
      <c r="A55" s="39" t="s">
        <v>1559</v>
      </c>
      <c r="B55" s="36">
        <v>44896</v>
      </c>
      <c r="C55" s="37">
        <v>545</v>
      </c>
      <c r="D55" s="39" t="s">
        <v>1560</v>
      </c>
      <c r="E55" s="1" t="s">
        <v>1561</v>
      </c>
      <c r="F55" s="36">
        <v>44918</v>
      </c>
      <c r="G55" s="37" t="s">
        <v>1562</v>
      </c>
      <c r="H55" s="40" t="s">
        <v>878</v>
      </c>
      <c r="I55" s="40" t="s">
        <v>1486</v>
      </c>
      <c r="J55" s="41">
        <v>289781992.5</v>
      </c>
      <c r="K55" s="41">
        <v>289781992.5</v>
      </c>
      <c r="L55" s="30">
        <v>315096281.5</v>
      </c>
      <c r="M55" s="30">
        <v>315096281.5</v>
      </c>
      <c r="N55" s="40" t="s">
        <v>1487</v>
      </c>
      <c r="O55" s="40" t="s">
        <v>1488</v>
      </c>
      <c r="P55" s="40" t="s">
        <v>348</v>
      </c>
      <c r="Q55" s="44">
        <v>0</v>
      </c>
      <c r="R55" s="37">
        <v>100</v>
      </c>
      <c r="S55" s="37" t="s">
        <v>1489</v>
      </c>
      <c r="T55" s="48">
        <v>2</v>
      </c>
      <c r="U55" s="30">
        <v>333082.75</v>
      </c>
      <c r="V55" s="41">
        <v>666165.5</v>
      </c>
      <c r="W55" s="41">
        <v>946</v>
      </c>
      <c r="X55" s="41">
        <v>322</v>
      </c>
      <c r="Y55" s="41"/>
      <c r="Z55" s="41"/>
      <c r="AA55" s="41"/>
      <c r="AB55" s="41"/>
      <c r="AC55" s="41">
        <v>624</v>
      </c>
      <c r="AD55" s="41"/>
      <c r="AE55" s="41"/>
      <c r="AF55" s="41"/>
      <c r="AG55" s="41"/>
      <c r="AH55" s="41"/>
      <c r="AI55" s="41"/>
      <c r="AJ55" s="41"/>
      <c r="AK55" s="41"/>
      <c r="AL55" s="41"/>
      <c r="AM55" s="41"/>
      <c r="AN55" s="41">
        <v>473</v>
      </c>
      <c r="AO55" s="41">
        <v>473</v>
      </c>
      <c r="AP55" s="40" t="s">
        <v>1563</v>
      </c>
      <c r="AQ55" s="36">
        <v>44986</v>
      </c>
      <c r="AR55" s="36">
        <v>45047</v>
      </c>
      <c r="AS55" s="36"/>
      <c r="AT55" s="36">
        <v>45000</v>
      </c>
      <c r="AU55" s="36">
        <v>45061</v>
      </c>
      <c r="AV55" s="38"/>
      <c r="AW55" s="40" t="s">
        <v>87</v>
      </c>
    </row>
    <row r="56" spans="1:49" s="34" customFormat="1" ht="78" x14ac:dyDescent="0.3">
      <c r="A56" s="39" t="s">
        <v>1564</v>
      </c>
      <c r="B56" s="36">
        <v>44896</v>
      </c>
      <c r="C56" s="37">
        <v>545</v>
      </c>
      <c r="D56" s="39" t="s">
        <v>1565</v>
      </c>
      <c r="E56" s="1" t="s">
        <v>1566</v>
      </c>
      <c r="F56" s="36">
        <v>44918</v>
      </c>
      <c r="G56" s="37" t="s">
        <v>1567</v>
      </c>
      <c r="H56" s="40" t="s">
        <v>878</v>
      </c>
      <c r="I56" s="40" t="s">
        <v>1486</v>
      </c>
      <c r="J56" s="41">
        <v>237154918</v>
      </c>
      <c r="K56" s="41">
        <v>237154918</v>
      </c>
      <c r="L56" s="30">
        <v>267798531</v>
      </c>
      <c r="M56" s="30">
        <v>267798531</v>
      </c>
      <c r="N56" s="40" t="s">
        <v>1487</v>
      </c>
      <c r="O56" s="40" t="s">
        <v>1488</v>
      </c>
      <c r="P56" s="40" t="s">
        <v>348</v>
      </c>
      <c r="Q56" s="44">
        <v>0</v>
      </c>
      <c r="R56" s="37">
        <v>100</v>
      </c>
      <c r="S56" s="37" t="s">
        <v>1489</v>
      </c>
      <c r="T56" s="48">
        <v>2</v>
      </c>
      <c r="U56" s="30">
        <v>333082.75</v>
      </c>
      <c r="V56" s="41">
        <v>666165.5</v>
      </c>
      <c r="W56" s="41">
        <v>804</v>
      </c>
      <c r="X56" s="41">
        <v>264</v>
      </c>
      <c r="Y56" s="41"/>
      <c r="Z56" s="41"/>
      <c r="AA56" s="41"/>
      <c r="AB56" s="41"/>
      <c r="AC56" s="41">
        <v>540</v>
      </c>
      <c r="AD56" s="41"/>
      <c r="AE56" s="41"/>
      <c r="AF56" s="41"/>
      <c r="AG56" s="41"/>
      <c r="AH56" s="41"/>
      <c r="AI56" s="41"/>
      <c r="AJ56" s="41"/>
      <c r="AK56" s="41"/>
      <c r="AL56" s="41"/>
      <c r="AM56" s="41"/>
      <c r="AN56" s="41">
        <v>402</v>
      </c>
      <c r="AO56" s="41">
        <v>402</v>
      </c>
      <c r="AP56" s="40" t="s">
        <v>1568</v>
      </c>
      <c r="AQ56" s="36">
        <v>44986</v>
      </c>
      <c r="AR56" s="36">
        <v>45047</v>
      </c>
      <c r="AS56" s="36"/>
      <c r="AT56" s="36">
        <v>45000</v>
      </c>
      <c r="AU56" s="36">
        <v>45061</v>
      </c>
      <c r="AV56" s="38"/>
      <c r="AW56" s="40" t="s">
        <v>87</v>
      </c>
    </row>
    <row r="57" spans="1:49" s="34" customFormat="1" ht="78" x14ac:dyDescent="0.3">
      <c r="A57" s="39" t="s">
        <v>1569</v>
      </c>
      <c r="B57" s="36">
        <v>44896</v>
      </c>
      <c r="C57" s="37">
        <v>545</v>
      </c>
      <c r="D57" s="39" t="s">
        <v>1570</v>
      </c>
      <c r="E57" s="1" t="s">
        <v>1571</v>
      </c>
      <c r="F57" s="36">
        <v>44918</v>
      </c>
      <c r="G57" s="37" t="s">
        <v>1572</v>
      </c>
      <c r="H57" s="40" t="s">
        <v>878</v>
      </c>
      <c r="I57" s="40" t="s">
        <v>1486</v>
      </c>
      <c r="J57" s="41">
        <v>289115827</v>
      </c>
      <c r="K57" s="41">
        <v>289115827</v>
      </c>
      <c r="L57" s="30">
        <v>289115827</v>
      </c>
      <c r="M57" s="30">
        <v>289115827</v>
      </c>
      <c r="N57" s="40" t="s">
        <v>1487</v>
      </c>
      <c r="O57" s="40" t="s">
        <v>1488</v>
      </c>
      <c r="P57" s="40" t="s">
        <v>348</v>
      </c>
      <c r="Q57" s="44">
        <v>0</v>
      </c>
      <c r="R57" s="37">
        <v>100</v>
      </c>
      <c r="S57" s="37" t="s">
        <v>1489</v>
      </c>
      <c r="T57" s="48">
        <v>2</v>
      </c>
      <c r="U57" s="30">
        <v>333082.75</v>
      </c>
      <c r="V57" s="41">
        <v>666165.5</v>
      </c>
      <c r="W57" s="41">
        <v>868</v>
      </c>
      <c r="X57" s="41">
        <v>868</v>
      </c>
      <c r="Y57" s="41"/>
      <c r="Z57" s="41"/>
      <c r="AA57" s="41"/>
      <c r="AB57" s="41"/>
      <c r="AC57" s="41"/>
      <c r="AD57" s="41"/>
      <c r="AE57" s="41"/>
      <c r="AF57" s="41"/>
      <c r="AG57" s="41"/>
      <c r="AH57" s="41"/>
      <c r="AI57" s="41"/>
      <c r="AJ57" s="41"/>
      <c r="AK57" s="41"/>
      <c r="AL57" s="41"/>
      <c r="AM57" s="41"/>
      <c r="AN57" s="41">
        <v>434</v>
      </c>
      <c r="AO57" s="41">
        <v>434</v>
      </c>
      <c r="AP57" s="40" t="s">
        <v>1573</v>
      </c>
      <c r="AQ57" s="36">
        <v>44986</v>
      </c>
      <c r="AR57" s="36"/>
      <c r="AS57" s="36"/>
      <c r="AT57" s="36">
        <v>45000</v>
      </c>
      <c r="AU57" s="36"/>
      <c r="AV57" s="38"/>
      <c r="AW57" s="40" t="s">
        <v>87</v>
      </c>
    </row>
    <row r="58" spans="1:49" s="34" customFormat="1" ht="78" x14ac:dyDescent="0.3">
      <c r="A58" s="39" t="s">
        <v>1574</v>
      </c>
      <c r="B58" s="36">
        <v>44896</v>
      </c>
      <c r="C58" s="37">
        <v>545</v>
      </c>
      <c r="D58" s="39" t="s">
        <v>1575</v>
      </c>
      <c r="E58" s="1" t="s">
        <v>1576</v>
      </c>
      <c r="F58" s="36">
        <v>44921</v>
      </c>
      <c r="G58" s="37" t="s">
        <v>1577</v>
      </c>
      <c r="H58" s="40" t="s">
        <v>878</v>
      </c>
      <c r="I58" s="40" t="s">
        <v>1486</v>
      </c>
      <c r="J58" s="41">
        <v>269130862</v>
      </c>
      <c r="K58" s="41">
        <v>269130862</v>
      </c>
      <c r="L58" s="30">
        <v>269130862</v>
      </c>
      <c r="M58" s="30">
        <v>269130862</v>
      </c>
      <c r="N58" s="40" t="s">
        <v>1487</v>
      </c>
      <c r="O58" s="40" t="s">
        <v>1488</v>
      </c>
      <c r="P58" s="40" t="s">
        <v>348</v>
      </c>
      <c r="Q58" s="44">
        <v>0</v>
      </c>
      <c r="R58" s="37">
        <v>100</v>
      </c>
      <c r="S58" s="37" t="s">
        <v>1489</v>
      </c>
      <c r="T58" s="48">
        <v>2</v>
      </c>
      <c r="U58" s="30">
        <v>333082.75</v>
      </c>
      <c r="V58" s="41">
        <v>666165.5</v>
      </c>
      <c r="W58" s="41">
        <v>808</v>
      </c>
      <c r="X58" s="41">
        <v>808</v>
      </c>
      <c r="Y58" s="41"/>
      <c r="Z58" s="41"/>
      <c r="AA58" s="41"/>
      <c r="AB58" s="41"/>
      <c r="AC58" s="41"/>
      <c r="AD58" s="41"/>
      <c r="AE58" s="41"/>
      <c r="AF58" s="41"/>
      <c r="AG58" s="41"/>
      <c r="AH58" s="41"/>
      <c r="AI58" s="41"/>
      <c r="AJ58" s="41"/>
      <c r="AK58" s="41"/>
      <c r="AL58" s="41"/>
      <c r="AM58" s="41"/>
      <c r="AN58" s="41">
        <v>404</v>
      </c>
      <c r="AO58" s="41">
        <v>404</v>
      </c>
      <c r="AP58" s="40" t="s">
        <v>1578</v>
      </c>
      <c r="AQ58" s="36">
        <v>45047</v>
      </c>
      <c r="AR58" s="36"/>
      <c r="AS58" s="36"/>
      <c r="AT58" s="36">
        <v>45061</v>
      </c>
      <c r="AU58" s="36"/>
      <c r="AV58" s="38"/>
      <c r="AW58" s="40" t="s">
        <v>87</v>
      </c>
    </row>
    <row r="59" spans="1:49" s="34" customFormat="1" ht="79.2" customHeight="1" x14ac:dyDescent="0.3">
      <c r="A59" s="39" t="s">
        <v>1579</v>
      </c>
      <c r="B59" s="36">
        <v>44896</v>
      </c>
      <c r="C59" s="37">
        <v>545</v>
      </c>
      <c r="D59" s="39" t="s">
        <v>1580</v>
      </c>
      <c r="E59" s="1" t="s">
        <v>1581</v>
      </c>
      <c r="F59" s="36">
        <v>44921</v>
      </c>
      <c r="G59" s="37" t="s">
        <v>1582</v>
      </c>
      <c r="H59" s="40" t="s">
        <v>878</v>
      </c>
      <c r="I59" s="40" t="s">
        <v>1486</v>
      </c>
      <c r="J59" s="41">
        <v>293112820</v>
      </c>
      <c r="K59" s="41">
        <v>293112820</v>
      </c>
      <c r="L59" s="30">
        <v>293112820</v>
      </c>
      <c r="M59" s="30">
        <v>293112820</v>
      </c>
      <c r="N59" s="40" t="s">
        <v>1487</v>
      </c>
      <c r="O59" s="40" t="s">
        <v>1488</v>
      </c>
      <c r="P59" s="40" t="s">
        <v>348</v>
      </c>
      <c r="Q59" s="44">
        <v>0</v>
      </c>
      <c r="R59" s="37">
        <v>100</v>
      </c>
      <c r="S59" s="37" t="s">
        <v>1489</v>
      </c>
      <c r="T59" s="48">
        <v>2</v>
      </c>
      <c r="U59" s="30">
        <v>333082.75</v>
      </c>
      <c r="V59" s="41">
        <v>666165.5</v>
      </c>
      <c r="W59" s="41">
        <v>880</v>
      </c>
      <c r="X59" s="41">
        <v>326</v>
      </c>
      <c r="Y59" s="41"/>
      <c r="Z59" s="41"/>
      <c r="AA59" s="41"/>
      <c r="AB59" s="41"/>
      <c r="AC59" s="41">
        <v>554</v>
      </c>
      <c r="AD59" s="41"/>
      <c r="AE59" s="41"/>
      <c r="AF59" s="41"/>
      <c r="AG59" s="41"/>
      <c r="AH59" s="41"/>
      <c r="AI59" s="41"/>
      <c r="AJ59" s="41"/>
      <c r="AK59" s="41"/>
      <c r="AL59" s="41"/>
      <c r="AM59" s="41"/>
      <c r="AN59" s="41">
        <v>440</v>
      </c>
      <c r="AO59" s="41">
        <v>440</v>
      </c>
      <c r="AP59" s="40" t="s">
        <v>1583</v>
      </c>
      <c r="AQ59" s="36">
        <v>44986</v>
      </c>
      <c r="AR59" s="36">
        <v>45047</v>
      </c>
      <c r="AS59" s="36"/>
      <c r="AT59" s="36">
        <v>45000</v>
      </c>
      <c r="AU59" s="36">
        <v>45061</v>
      </c>
      <c r="AV59" s="38"/>
      <c r="AW59" s="40" t="s">
        <v>87</v>
      </c>
    </row>
    <row r="60" spans="1:49" s="34" customFormat="1" ht="111.6" customHeight="1" x14ac:dyDescent="0.3">
      <c r="A60" s="39" t="s">
        <v>1584</v>
      </c>
      <c r="B60" s="36">
        <v>44897</v>
      </c>
      <c r="C60" s="37">
        <v>545</v>
      </c>
      <c r="D60" s="39" t="s">
        <v>1585</v>
      </c>
      <c r="E60" s="1" t="s">
        <v>1586</v>
      </c>
      <c r="F60" s="36">
        <v>44921</v>
      </c>
      <c r="G60" s="37" t="s">
        <v>1587</v>
      </c>
      <c r="H60" s="40" t="s">
        <v>224</v>
      </c>
      <c r="I60" s="40" t="s">
        <v>1588</v>
      </c>
      <c r="J60" s="41">
        <v>233330000</v>
      </c>
      <c r="K60" s="41">
        <v>233330000</v>
      </c>
      <c r="L60" s="30">
        <v>243316524</v>
      </c>
      <c r="M60" s="30">
        <v>243316524</v>
      </c>
      <c r="N60" s="40" t="s">
        <v>1589</v>
      </c>
      <c r="O60" s="40" t="s">
        <v>1590</v>
      </c>
      <c r="P60" s="40" t="s">
        <v>218</v>
      </c>
      <c r="Q60" s="44">
        <v>0</v>
      </c>
      <c r="R60" s="37">
        <v>100</v>
      </c>
      <c r="S60" s="37" t="s">
        <v>219</v>
      </c>
      <c r="T60" s="48">
        <v>5</v>
      </c>
      <c r="U60" s="30">
        <v>18666.400000000001</v>
      </c>
      <c r="V60" s="41">
        <v>93332</v>
      </c>
      <c r="W60" s="41">
        <v>13035</v>
      </c>
      <c r="X60" s="41">
        <v>4715</v>
      </c>
      <c r="Y60" s="41"/>
      <c r="Z60" s="41"/>
      <c r="AA60" s="41"/>
      <c r="AB60" s="41"/>
      <c r="AC60" s="41">
        <v>1770</v>
      </c>
      <c r="AD60" s="41"/>
      <c r="AE60" s="41"/>
      <c r="AF60" s="41"/>
      <c r="AG60" s="41"/>
      <c r="AH60" s="41">
        <v>6550</v>
      </c>
      <c r="AI60" s="41"/>
      <c r="AJ60" s="41"/>
      <c r="AK60" s="41"/>
      <c r="AL60" s="41"/>
      <c r="AM60" s="41"/>
      <c r="AN60" s="41">
        <v>2607</v>
      </c>
      <c r="AO60" s="41">
        <v>2607</v>
      </c>
      <c r="AP60" s="40" t="s">
        <v>1414</v>
      </c>
      <c r="AQ60" s="36">
        <v>44972</v>
      </c>
      <c r="AR60" s="36">
        <v>45031</v>
      </c>
      <c r="AS60" s="36">
        <v>45184</v>
      </c>
      <c r="AT60" s="36">
        <v>44986</v>
      </c>
      <c r="AU60" s="36">
        <v>45046</v>
      </c>
      <c r="AV60" s="38">
        <v>45199</v>
      </c>
      <c r="AW60" s="40" t="s">
        <v>68</v>
      </c>
    </row>
    <row r="61" spans="1:49" s="34" customFormat="1" ht="78" x14ac:dyDescent="0.3">
      <c r="A61" s="39" t="s">
        <v>1591</v>
      </c>
      <c r="B61" s="36">
        <v>44897</v>
      </c>
      <c r="C61" s="37">
        <v>545</v>
      </c>
      <c r="D61" s="39" t="s">
        <v>1592</v>
      </c>
      <c r="E61" s="1" t="s">
        <v>1593</v>
      </c>
      <c r="F61" s="36">
        <v>44921</v>
      </c>
      <c r="G61" s="37" t="s">
        <v>1594</v>
      </c>
      <c r="H61" s="40" t="s">
        <v>878</v>
      </c>
      <c r="I61" s="40" t="s">
        <v>1486</v>
      </c>
      <c r="J61" s="41">
        <v>259138379.5</v>
      </c>
      <c r="K61" s="41">
        <v>259138379.5</v>
      </c>
      <c r="L61" s="30">
        <v>259138379.5</v>
      </c>
      <c r="M61" s="30">
        <v>259138379.5</v>
      </c>
      <c r="N61" s="40" t="s">
        <v>1487</v>
      </c>
      <c r="O61" s="40" t="s">
        <v>1488</v>
      </c>
      <c r="P61" s="40" t="s">
        <v>348</v>
      </c>
      <c r="Q61" s="44">
        <v>0</v>
      </c>
      <c r="R61" s="37">
        <v>100</v>
      </c>
      <c r="S61" s="37" t="s">
        <v>1489</v>
      </c>
      <c r="T61" s="48">
        <v>2</v>
      </c>
      <c r="U61" s="30">
        <v>333082.75</v>
      </c>
      <c r="V61" s="41">
        <v>666165.5</v>
      </c>
      <c r="W61" s="41">
        <v>778</v>
      </c>
      <c r="X61" s="41">
        <v>288</v>
      </c>
      <c r="Y61" s="41"/>
      <c r="Z61" s="41"/>
      <c r="AA61" s="41"/>
      <c r="AB61" s="41"/>
      <c r="AC61" s="41">
        <v>490</v>
      </c>
      <c r="AD61" s="41"/>
      <c r="AE61" s="41"/>
      <c r="AF61" s="41"/>
      <c r="AG61" s="41"/>
      <c r="AH61" s="41"/>
      <c r="AI61" s="41"/>
      <c r="AJ61" s="41"/>
      <c r="AK61" s="41"/>
      <c r="AL61" s="41"/>
      <c r="AM61" s="41"/>
      <c r="AN61" s="41">
        <v>389</v>
      </c>
      <c r="AO61" s="41">
        <v>389</v>
      </c>
      <c r="AP61" s="40" t="s">
        <v>1595</v>
      </c>
      <c r="AQ61" s="36">
        <v>44986</v>
      </c>
      <c r="AR61" s="36">
        <v>45047</v>
      </c>
      <c r="AS61" s="36"/>
      <c r="AT61" s="36">
        <v>45000</v>
      </c>
      <c r="AU61" s="36">
        <v>45061</v>
      </c>
      <c r="AV61" s="38"/>
      <c r="AW61" s="40" t="s">
        <v>87</v>
      </c>
    </row>
    <row r="62" spans="1:49" s="34" customFormat="1" ht="78" x14ac:dyDescent="0.3">
      <c r="A62" s="39" t="s">
        <v>1596</v>
      </c>
      <c r="B62" s="36">
        <v>44897</v>
      </c>
      <c r="C62" s="37">
        <v>545</v>
      </c>
      <c r="D62" s="39" t="s">
        <v>1597</v>
      </c>
      <c r="E62" s="1" t="s">
        <v>1598</v>
      </c>
      <c r="F62" s="36">
        <v>44921</v>
      </c>
      <c r="G62" s="37" t="s">
        <v>1599</v>
      </c>
      <c r="H62" s="40" t="s">
        <v>878</v>
      </c>
      <c r="I62" s="40" t="s">
        <v>1486</v>
      </c>
      <c r="J62" s="41">
        <v>285784999.5</v>
      </c>
      <c r="K62" s="41">
        <v>285784999.5</v>
      </c>
      <c r="L62" s="30">
        <v>322424102</v>
      </c>
      <c r="M62" s="30">
        <v>322424102</v>
      </c>
      <c r="N62" s="40" t="s">
        <v>1487</v>
      </c>
      <c r="O62" s="40" t="s">
        <v>1488</v>
      </c>
      <c r="P62" s="40" t="s">
        <v>348</v>
      </c>
      <c r="Q62" s="44">
        <v>0</v>
      </c>
      <c r="R62" s="37">
        <v>100</v>
      </c>
      <c r="S62" s="37" t="s">
        <v>1489</v>
      </c>
      <c r="T62" s="48">
        <v>2</v>
      </c>
      <c r="U62" s="30">
        <v>333082.75</v>
      </c>
      <c r="V62" s="41">
        <v>666165.5</v>
      </c>
      <c r="W62" s="41">
        <v>968</v>
      </c>
      <c r="X62" s="41">
        <v>318</v>
      </c>
      <c r="Y62" s="41"/>
      <c r="Z62" s="41"/>
      <c r="AA62" s="41"/>
      <c r="AB62" s="41"/>
      <c r="AC62" s="41">
        <v>650</v>
      </c>
      <c r="AD62" s="41"/>
      <c r="AE62" s="41"/>
      <c r="AF62" s="41"/>
      <c r="AG62" s="41"/>
      <c r="AH62" s="41"/>
      <c r="AI62" s="41"/>
      <c r="AJ62" s="41"/>
      <c r="AK62" s="41"/>
      <c r="AL62" s="41"/>
      <c r="AM62" s="41"/>
      <c r="AN62" s="41">
        <v>484</v>
      </c>
      <c r="AO62" s="41">
        <v>484</v>
      </c>
      <c r="AP62" s="40" t="s">
        <v>1600</v>
      </c>
      <c r="AQ62" s="36">
        <v>44986</v>
      </c>
      <c r="AR62" s="36">
        <v>45047</v>
      </c>
      <c r="AS62" s="36"/>
      <c r="AT62" s="36">
        <v>45000</v>
      </c>
      <c r="AU62" s="36">
        <v>45061</v>
      </c>
      <c r="AV62" s="38"/>
      <c r="AW62" s="40" t="s">
        <v>87</v>
      </c>
    </row>
    <row r="63" spans="1:49" s="34" customFormat="1" ht="105.6" customHeight="1" x14ac:dyDescent="0.3">
      <c r="A63" s="39" t="s">
        <v>1601</v>
      </c>
      <c r="B63" s="36">
        <v>44897</v>
      </c>
      <c r="C63" s="37">
        <v>545</v>
      </c>
      <c r="D63" s="39" t="s">
        <v>1602</v>
      </c>
      <c r="E63" s="1" t="s">
        <v>1603</v>
      </c>
      <c r="F63" s="36">
        <v>44921</v>
      </c>
      <c r="G63" s="37" t="s">
        <v>1604</v>
      </c>
      <c r="H63" s="40" t="s">
        <v>224</v>
      </c>
      <c r="I63" s="40" t="s">
        <v>1588</v>
      </c>
      <c r="J63" s="41">
        <v>169864240</v>
      </c>
      <c r="K63" s="41">
        <v>169864240</v>
      </c>
      <c r="L63" s="30">
        <v>169864240</v>
      </c>
      <c r="M63" s="30">
        <v>169864240</v>
      </c>
      <c r="N63" s="40" t="s">
        <v>1589</v>
      </c>
      <c r="O63" s="40" t="s">
        <v>1590</v>
      </c>
      <c r="P63" s="40" t="s">
        <v>218</v>
      </c>
      <c r="Q63" s="44">
        <v>0</v>
      </c>
      <c r="R63" s="37">
        <v>100</v>
      </c>
      <c r="S63" s="37" t="s">
        <v>219</v>
      </c>
      <c r="T63" s="48">
        <v>5</v>
      </c>
      <c r="U63" s="30">
        <v>18666.400000000001</v>
      </c>
      <c r="V63" s="41">
        <v>93332</v>
      </c>
      <c r="W63" s="41">
        <v>9100</v>
      </c>
      <c r="X63" s="41">
        <v>3435</v>
      </c>
      <c r="Y63" s="41"/>
      <c r="Z63" s="41"/>
      <c r="AA63" s="41"/>
      <c r="AB63" s="41"/>
      <c r="AC63" s="41">
        <v>1290</v>
      </c>
      <c r="AD63" s="41"/>
      <c r="AE63" s="41"/>
      <c r="AF63" s="41"/>
      <c r="AG63" s="41"/>
      <c r="AH63" s="41">
        <v>4375</v>
      </c>
      <c r="AI63" s="41"/>
      <c r="AJ63" s="41"/>
      <c r="AK63" s="41"/>
      <c r="AL63" s="41"/>
      <c r="AM63" s="41"/>
      <c r="AN63" s="41">
        <v>1820</v>
      </c>
      <c r="AO63" s="41">
        <v>1820</v>
      </c>
      <c r="AP63" s="40" t="s">
        <v>1605</v>
      </c>
      <c r="AQ63" s="36">
        <v>44972</v>
      </c>
      <c r="AR63" s="36">
        <v>45031</v>
      </c>
      <c r="AS63" s="36">
        <v>45184</v>
      </c>
      <c r="AT63" s="36">
        <v>44986</v>
      </c>
      <c r="AU63" s="36">
        <v>45046</v>
      </c>
      <c r="AV63" s="38">
        <v>45199</v>
      </c>
      <c r="AW63" s="40" t="s">
        <v>68</v>
      </c>
    </row>
    <row r="64" spans="1:49" s="34" customFormat="1" ht="139.94999999999999" customHeight="1" x14ac:dyDescent="0.3">
      <c r="A64" s="39" t="s">
        <v>1606</v>
      </c>
      <c r="B64" s="36">
        <v>44897</v>
      </c>
      <c r="C64" s="37">
        <v>545</v>
      </c>
      <c r="D64" s="39" t="s">
        <v>1607</v>
      </c>
      <c r="E64" s="1" t="s">
        <v>1608</v>
      </c>
      <c r="F64" s="36">
        <v>44921</v>
      </c>
      <c r="G64" s="37" t="s">
        <v>1609</v>
      </c>
      <c r="H64" s="40" t="s">
        <v>224</v>
      </c>
      <c r="I64" s="40" t="s">
        <v>1588</v>
      </c>
      <c r="J64" s="41">
        <v>217090232</v>
      </c>
      <c r="K64" s="41">
        <v>217090232</v>
      </c>
      <c r="L64" s="30">
        <v>239489912</v>
      </c>
      <c r="M64" s="30">
        <v>239489912</v>
      </c>
      <c r="N64" s="40" t="s">
        <v>1589</v>
      </c>
      <c r="O64" s="40" t="s">
        <v>1590</v>
      </c>
      <c r="P64" s="40" t="s">
        <v>218</v>
      </c>
      <c r="Q64" s="44">
        <v>0</v>
      </c>
      <c r="R64" s="37">
        <v>100</v>
      </c>
      <c r="S64" s="37" t="s">
        <v>219</v>
      </c>
      <c r="T64" s="48">
        <v>5</v>
      </c>
      <c r="U64" s="30">
        <v>18666.400000000001</v>
      </c>
      <c r="V64" s="41">
        <v>93332</v>
      </c>
      <c r="W64" s="41">
        <v>12830</v>
      </c>
      <c r="X64" s="41">
        <v>4390</v>
      </c>
      <c r="Y64" s="41"/>
      <c r="Z64" s="41"/>
      <c r="AA64" s="41"/>
      <c r="AB64" s="41"/>
      <c r="AC64" s="41">
        <v>1650</v>
      </c>
      <c r="AD64" s="41"/>
      <c r="AE64" s="41"/>
      <c r="AF64" s="41"/>
      <c r="AG64" s="41"/>
      <c r="AH64" s="41">
        <v>6790</v>
      </c>
      <c r="AI64" s="41"/>
      <c r="AJ64" s="41"/>
      <c r="AK64" s="41"/>
      <c r="AL64" s="41"/>
      <c r="AM64" s="41"/>
      <c r="AN64" s="41">
        <v>2566</v>
      </c>
      <c r="AO64" s="41">
        <v>2566</v>
      </c>
      <c r="AP64" s="40" t="s">
        <v>1610</v>
      </c>
      <c r="AQ64" s="36">
        <v>44972</v>
      </c>
      <c r="AR64" s="36">
        <v>45031</v>
      </c>
      <c r="AS64" s="36">
        <v>45184</v>
      </c>
      <c r="AT64" s="36">
        <v>44986</v>
      </c>
      <c r="AU64" s="36">
        <v>45046</v>
      </c>
      <c r="AV64" s="38">
        <v>45199</v>
      </c>
      <c r="AW64" s="40" t="s">
        <v>87</v>
      </c>
    </row>
    <row r="65" spans="1:49" s="34" customFormat="1" ht="78" x14ac:dyDescent="0.3">
      <c r="A65" s="39" t="s">
        <v>1611</v>
      </c>
      <c r="B65" s="36">
        <v>44897</v>
      </c>
      <c r="C65" s="37">
        <v>545</v>
      </c>
      <c r="D65" s="39" t="s">
        <v>1612</v>
      </c>
      <c r="E65" s="1" t="s">
        <v>1613</v>
      </c>
      <c r="F65" s="36">
        <v>44921</v>
      </c>
      <c r="G65" s="37" t="s">
        <v>1614</v>
      </c>
      <c r="H65" s="40" t="s">
        <v>878</v>
      </c>
      <c r="I65" s="40" t="s">
        <v>1486</v>
      </c>
      <c r="J65" s="41">
        <v>294445151</v>
      </c>
      <c r="K65" s="41">
        <v>294445151</v>
      </c>
      <c r="L65" s="30">
        <v>294445151</v>
      </c>
      <c r="M65" s="30">
        <v>294445151</v>
      </c>
      <c r="N65" s="40" t="s">
        <v>1487</v>
      </c>
      <c r="O65" s="40" t="s">
        <v>1488</v>
      </c>
      <c r="P65" s="40" t="s">
        <v>348</v>
      </c>
      <c r="Q65" s="44">
        <v>0</v>
      </c>
      <c r="R65" s="37">
        <v>100</v>
      </c>
      <c r="S65" s="37" t="s">
        <v>1489</v>
      </c>
      <c r="T65" s="48">
        <v>2</v>
      </c>
      <c r="U65" s="30">
        <v>333082.75</v>
      </c>
      <c r="V65" s="41">
        <v>666165.5</v>
      </c>
      <c r="W65" s="41">
        <v>884</v>
      </c>
      <c r="X65" s="41">
        <v>328</v>
      </c>
      <c r="Y65" s="41"/>
      <c r="Z65" s="41"/>
      <c r="AA65" s="41"/>
      <c r="AB65" s="41"/>
      <c r="AC65" s="41">
        <v>556</v>
      </c>
      <c r="AD65" s="41"/>
      <c r="AE65" s="41"/>
      <c r="AF65" s="41"/>
      <c r="AG65" s="41"/>
      <c r="AH65" s="41"/>
      <c r="AI65" s="41"/>
      <c r="AJ65" s="41"/>
      <c r="AK65" s="41"/>
      <c r="AL65" s="41"/>
      <c r="AM65" s="41"/>
      <c r="AN65" s="41">
        <v>442</v>
      </c>
      <c r="AO65" s="41">
        <v>442</v>
      </c>
      <c r="AP65" s="40" t="s">
        <v>1615</v>
      </c>
      <c r="AQ65" s="36">
        <v>44986</v>
      </c>
      <c r="AR65" s="36">
        <v>45047</v>
      </c>
      <c r="AS65" s="36"/>
      <c r="AT65" s="36">
        <v>45000</v>
      </c>
      <c r="AU65" s="36">
        <v>45061</v>
      </c>
      <c r="AV65" s="38"/>
      <c r="AW65" s="40" t="s">
        <v>87</v>
      </c>
    </row>
    <row r="66" spans="1:49" s="34" customFormat="1" ht="111.6" customHeight="1" x14ac:dyDescent="0.3">
      <c r="A66" s="39" t="s">
        <v>1616</v>
      </c>
      <c r="B66" s="36">
        <v>44897</v>
      </c>
      <c r="C66" s="37">
        <v>545</v>
      </c>
      <c r="D66" s="39" t="s">
        <v>1617</v>
      </c>
      <c r="E66" s="1" t="s">
        <v>1618</v>
      </c>
      <c r="F66" s="36">
        <v>44921</v>
      </c>
      <c r="G66" s="37" t="s">
        <v>1619</v>
      </c>
      <c r="H66" s="40" t="s">
        <v>224</v>
      </c>
      <c r="I66" s="40" t="s">
        <v>1588</v>
      </c>
      <c r="J66" s="41">
        <v>184424032</v>
      </c>
      <c r="K66" s="41">
        <v>184424032</v>
      </c>
      <c r="L66" s="30">
        <v>184424032</v>
      </c>
      <c r="M66" s="30">
        <v>184424032</v>
      </c>
      <c r="N66" s="40" t="s">
        <v>1589</v>
      </c>
      <c r="O66" s="40" t="s">
        <v>1590</v>
      </c>
      <c r="P66" s="40" t="s">
        <v>218</v>
      </c>
      <c r="Q66" s="44">
        <v>0</v>
      </c>
      <c r="R66" s="37">
        <v>100</v>
      </c>
      <c r="S66" s="37" t="s">
        <v>219</v>
      </c>
      <c r="T66" s="48">
        <v>5</v>
      </c>
      <c r="U66" s="30">
        <v>18666.400000000001</v>
      </c>
      <c r="V66" s="41">
        <v>93332</v>
      </c>
      <c r="W66" s="41">
        <v>9880</v>
      </c>
      <c r="X66" s="41">
        <v>3730</v>
      </c>
      <c r="Y66" s="41"/>
      <c r="Z66" s="41"/>
      <c r="AA66" s="41"/>
      <c r="AB66" s="41"/>
      <c r="AC66" s="41">
        <v>1400</v>
      </c>
      <c r="AD66" s="41"/>
      <c r="AE66" s="41"/>
      <c r="AF66" s="41"/>
      <c r="AG66" s="41"/>
      <c r="AH66" s="41">
        <v>4750</v>
      </c>
      <c r="AI66" s="41"/>
      <c r="AJ66" s="41"/>
      <c r="AK66" s="41"/>
      <c r="AL66" s="41"/>
      <c r="AM66" s="41"/>
      <c r="AN66" s="41">
        <v>1976</v>
      </c>
      <c r="AO66" s="41">
        <v>1976</v>
      </c>
      <c r="AP66" s="40" t="s">
        <v>1578</v>
      </c>
      <c r="AQ66" s="36">
        <v>44972</v>
      </c>
      <c r="AR66" s="36">
        <v>45031</v>
      </c>
      <c r="AS66" s="36">
        <v>45184</v>
      </c>
      <c r="AT66" s="36">
        <v>44986</v>
      </c>
      <c r="AU66" s="36">
        <v>45046</v>
      </c>
      <c r="AV66" s="38">
        <v>45199</v>
      </c>
      <c r="AW66" s="40" t="s">
        <v>68</v>
      </c>
    </row>
    <row r="67" spans="1:49" s="34" customFormat="1" ht="109.5" customHeight="1" x14ac:dyDescent="0.3">
      <c r="A67" s="39" t="s">
        <v>1620</v>
      </c>
      <c r="B67" s="36">
        <v>44897</v>
      </c>
      <c r="C67" s="37">
        <v>545</v>
      </c>
      <c r="D67" s="39" t="s">
        <v>1621</v>
      </c>
      <c r="E67" s="1" t="s">
        <v>1622</v>
      </c>
      <c r="F67" s="36">
        <v>44921</v>
      </c>
      <c r="G67" s="37" t="s">
        <v>1623</v>
      </c>
      <c r="H67" s="40" t="s">
        <v>224</v>
      </c>
      <c r="I67" s="40" t="s">
        <v>1588</v>
      </c>
      <c r="J67" s="41">
        <v>193757232</v>
      </c>
      <c r="K67" s="41">
        <v>193757232</v>
      </c>
      <c r="L67" s="30">
        <v>193757232</v>
      </c>
      <c r="M67" s="30">
        <v>193757232</v>
      </c>
      <c r="N67" s="40" t="s">
        <v>1589</v>
      </c>
      <c r="O67" s="40" t="s">
        <v>1590</v>
      </c>
      <c r="P67" s="40" t="s">
        <v>218</v>
      </c>
      <c r="Q67" s="44">
        <v>0</v>
      </c>
      <c r="R67" s="37">
        <v>100</v>
      </c>
      <c r="S67" s="37" t="s">
        <v>219</v>
      </c>
      <c r="T67" s="48">
        <v>5</v>
      </c>
      <c r="U67" s="30">
        <v>18666.400000000001</v>
      </c>
      <c r="V67" s="41">
        <v>93332</v>
      </c>
      <c r="W67" s="41">
        <v>10380</v>
      </c>
      <c r="X67" s="41">
        <v>10380</v>
      </c>
      <c r="Y67" s="41"/>
      <c r="Z67" s="41"/>
      <c r="AA67" s="41"/>
      <c r="AB67" s="41"/>
      <c r="AC67" s="41"/>
      <c r="AD67" s="41"/>
      <c r="AE67" s="41"/>
      <c r="AF67" s="41"/>
      <c r="AG67" s="41"/>
      <c r="AH67" s="41"/>
      <c r="AI67" s="41"/>
      <c r="AJ67" s="41"/>
      <c r="AK67" s="41"/>
      <c r="AL67" s="41"/>
      <c r="AM67" s="41"/>
      <c r="AN67" s="41">
        <v>2076</v>
      </c>
      <c r="AO67" s="41">
        <v>2076</v>
      </c>
      <c r="AP67" s="40" t="s">
        <v>1624</v>
      </c>
      <c r="AQ67" s="36">
        <v>45184</v>
      </c>
      <c r="AR67" s="36"/>
      <c r="AS67" s="36"/>
      <c r="AT67" s="38">
        <v>45199</v>
      </c>
      <c r="AU67" s="36"/>
      <c r="AV67" s="38"/>
      <c r="AW67" s="40" t="s">
        <v>49</v>
      </c>
    </row>
    <row r="68" spans="1:49" s="34" customFormat="1" ht="78" x14ac:dyDescent="0.3">
      <c r="A68" s="39" t="s">
        <v>1625</v>
      </c>
      <c r="B68" s="36">
        <v>44897</v>
      </c>
      <c r="C68" s="37">
        <v>545</v>
      </c>
      <c r="D68" s="39" t="s">
        <v>1626</v>
      </c>
      <c r="E68" s="1" t="s">
        <v>1627</v>
      </c>
      <c r="F68" s="36">
        <v>44925</v>
      </c>
      <c r="G68" s="37" t="s">
        <v>1628</v>
      </c>
      <c r="H68" s="40" t="s">
        <v>878</v>
      </c>
      <c r="I68" s="40" t="s">
        <v>1486</v>
      </c>
      <c r="J68" s="41">
        <v>333082750</v>
      </c>
      <c r="K68" s="41">
        <v>333082750</v>
      </c>
      <c r="L68" s="30">
        <v>333082750</v>
      </c>
      <c r="M68" s="30">
        <v>333082750</v>
      </c>
      <c r="N68" s="40" t="s">
        <v>1487</v>
      </c>
      <c r="O68" s="40" t="s">
        <v>1488</v>
      </c>
      <c r="P68" s="40" t="s">
        <v>348</v>
      </c>
      <c r="Q68" s="44">
        <v>0</v>
      </c>
      <c r="R68" s="37">
        <v>100</v>
      </c>
      <c r="S68" s="37" t="s">
        <v>1489</v>
      </c>
      <c r="T68" s="48">
        <v>2</v>
      </c>
      <c r="U68" s="30">
        <v>333082.75</v>
      </c>
      <c r="V68" s="41">
        <v>666165.5</v>
      </c>
      <c r="W68" s="41">
        <v>1000</v>
      </c>
      <c r="X68" s="41">
        <v>1000</v>
      </c>
      <c r="Y68" s="41"/>
      <c r="Z68" s="41"/>
      <c r="AA68" s="41"/>
      <c r="AB68" s="41"/>
      <c r="AC68" s="41"/>
      <c r="AD68" s="41"/>
      <c r="AE68" s="41"/>
      <c r="AF68" s="41"/>
      <c r="AG68" s="41"/>
      <c r="AH68" s="41"/>
      <c r="AI68" s="41"/>
      <c r="AJ68" s="41"/>
      <c r="AK68" s="41"/>
      <c r="AL68" s="41"/>
      <c r="AM68" s="41"/>
      <c r="AN68" s="41">
        <v>500</v>
      </c>
      <c r="AO68" s="41">
        <v>500</v>
      </c>
      <c r="AP68" s="40" t="s">
        <v>1265</v>
      </c>
      <c r="AQ68" s="36">
        <v>45047</v>
      </c>
      <c r="AR68" s="36"/>
      <c r="AS68" s="36"/>
      <c r="AT68" s="36">
        <v>45061</v>
      </c>
      <c r="AU68" s="36"/>
      <c r="AV68" s="38"/>
      <c r="AW68" s="40" t="s">
        <v>87</v>
      </c>
    </row>
    <row r="69" spans="1:49" s="34" customFormat="1" ht="78" x14ac:dyDescent="0.3">
      <c r="A69" s="39" t="s">
        <v>1629</v>
      </c>
      <c r="B69" s="36">
        <v>44897</v>
      </c>
      <c r="C69" s="37">
        <v>545</v>
      </c>
      <c r="D69" s="39" t="s">
        <v>1630</v>
      </c>
      <c r="E69" s="1" t="s">
        <v>1631</v>
      </c>
      <c r="F69" s="36">
        <v>44925</v>
      </c>
      <c r="G69" s="37" t="s">
        <v>1632</v>
      </c>
      <c r="H69" s="40" t="s">
        <v>878</v>
      </c>
      <c r="I69" s="40" t="s">
        <v>1486</v>
      </c>
      <c r="J69" s="41">
        <v>442333892</v>
      </c>
      <c r="K69" s="41">
        <v>442333892</v>
      </c>
      <c r="L69" s="30">
        <v>442333892</v>
      </c>
      <c r="M69" s="30">
        <v>442333892</v>
      </c>
      <c r="N69" s="40" t="s">
        <v>1487</v>
      </c>
      <c r="O69" s="40" t="s">
        <v>1488</v>
      </c>
      <c r="P69" s="40" t="s">
        <v>348</v>
      </c>
      <c r="Q69" s="44">
        <v>0</v>
      </c>
      <c r="R69" s="37">
        <v>100</v>
      </c>
      <c r="S69" s="37" t="s">
        <v>1489</v>
      </c>
      <c r="T69" s="48">
        <v>2</v>
      </c>
      <c r="U69" s="30">
        <v>333082.75</v>
      </c>
      <c r="V69" s="41">
        <v>666165.5</v>
      </c>
      <c r="W69" s="41">
        <v>1328</v>
      </c>
      <c r="X69" s="41">
        <v>1328</v>
      </c>
      <c r="Y69" s="41"/>
      <c r="Z69" s="41"/>
      <c r="AA69" s="41"/>
      <c r="AB69" s="41"/>
      <c r="AC69" s="41"/>
      <c r="AD69" s="41"/>
      <c r="AE69" s="41"/>
      <c r="AF69" s="41"/>
      <c r="AG69" s="41"/>
      <c r="AH69" s="41"/>
      <c r="AI69" s="41"/>
      <c r="AJ69" s="41"/>
      <c r="AK69" s="41"/>
      <c r="AL69" s="41"/>
      <c r="AM69" s="41"/>
      <c r="AN69" s="41">
        <v>664</v>
      </c>
      <c r="AO69" s="41">
        <v>664</v>
      </c>
      <c r="AP69" s="40" t="s">
        <v>1265</v>
      </c>
      <c r="AQ69" s="36">
        <v>44986</v>
      </c>
      <c r="AR69" s="36"/>
      <c r="AS69" s="36"/>
      <c r="AT69" s="36">
        <v>45000</v>
      </c>
      <c r="AU69" s="36"/>
      <c r="AV69" s="38"/>
      <c r="AW69" s="40" t="s">
        <v>87</v>
      </c>
    </row>
    <row r="70" spans="1:49" s="34" customFormat="1" ht="78" x14ac:dyDescent="0.3">
      <c r="A70" s="39" t="s">
        <v>1633</v>
      </c>
      <c r="B70" s="36">
        <v>44897</v>
      </c>
      <c r="C70" s="37">
        <v>545</v>
      </c>
      <c r="D70" s="39" t="s">
        <v>1634</v>
      </c>
      <c r="E70" s="1" t="s">
        <v>1635</v>
      </c>
      <c r="F70" s="36">
        <v>44925</v>
      </c>
      <c r="G70" s="37" t="s">
        <v>1636</v>
      </c>
      <c r="H70" s="40" t="s">
        <v>878</v>
      </c>
      <c r="I70" s="40" t="s">
        <v>1486</v>
      </c>
      <c r="J70" s="41">
        <v>399699300</v>
      </c>
      <c r="K70" s="41">
        <v>399699300</v>
      </c>
      <c r="L70" s="30">
        <v>399699300</v>
      </c>
      <c r="M70" s="30">
        <v>399699300</v>
      </c>
      <c r="N70" s="40" t="s">
        <v>1487</v>
      </c>
      <c r="O70" s="40" t="s">
        <v>1488</v>
      </c>
      <c r="P70" s="40" t="s">
        <v>348</v>
      </c>
      <c r="Q70" s="44">
        <v>0</v>
      </c>
      <c r="R70" s="37">
        <v>100</v>
      </c>
      <c r="S70" s="37" t="s">
        <v>1489</v>
      </c>
      <c r="T70" s="48">
        <v>2</v>
      </c>
      <c r="U70" s="30">
        <v>333082.75</v>
      </c>
      <c r="V70" s="41">
        <v>666165.5</v>
      </c>
      <c r="W70" s="41">
        <v>1200</v>
      </c>
      <c r="X70" s="41">
        <v>1200</v>
      </c>
      <c r="Y70" s="41"/>
      <c r="Z70" s="41"/>
      <c r="AA70" s="41"/>
      <c r="AB70" s="41"/>
      <c r="AC70" s="41"/>
      <c r="AD70" s="41"/>
      <c r="AE70" s="41"/>
      <c r="AF70" s="41"/>
      <c r="AG70" s="41"/>
      <c r="AH70" s="41"/>
      <c r="AI70" s="41"/>
      <c r="AJ70" s="41"/>
      <c r="AK70" s="41"/>
      <c r="AL70" s="41"/>
      <c r="AM70" s="41"/>
      <c r="AN70" s="41">
        <v>600</v>
      </c>
      <c r="AO70" s="41">
        <v>600</v>
      </c>
      <c r="AP70" s="40" t="s">
        <v>1578</v>
      </c>
      <c r="AQ70" s="36">
        <v>44986</v>
      </c>
      <c r="AR70" s="36"/>
      <c r="AS70" s="36"/>
      <c r="AT70" s="36">
        <v>45000</v>
      </c>
      <c r="AU70" s="36"/>
      <c r="AV70" s="38"/>
      <c r="AW70" s="40" t="s">
        <v>87</v>
      </c>
    </row>
    <row r="71" spans="1:49" s="34" customFormat="1" ht="121.95" customHeight="1" x14ac:dyDescent="0.3">
      <c r="A71" s="39" t="s">
        <v>1637</v>
      </c>
      <c r="B71" s="36">
        <v>44897</v>
      </c>
      <c r="C71" s="37">
        <v>545</v>
      </c>
      <c r="D71" s="39" t="s">
        <v>1638</v>
      </c>
      <c r="E71" s="1" t="s">
        <v>1639</v>
      </c>
      <c r="F71" s="36">
        <v>44921</v>
      </c>
      <c r="G71" s="37" t="s">
        <v>1640</v>
      </c>
      <c r="H71" s="40" t="s">
        <v>224</v>
      </c>
      <c r="I71" s="40" t="s">
        <v>1588</v>
      </c>
      <c r="J71" s="41">
        <v>144291272</v>
      </c>
      <c r="K71" s="41">
        <v>144291272</v>
      </c>
      <c r="L71" s="30">
        <v>144291272</v>
      </c>
      <c r="M71" s="30">
        <v>144291272</v>
      </c>
      <c r="N71" s="40" t="s">
        <v>1589</v>
      </c>
      <c r="O71" s="40" t="s">
        <v>1590</v>
      </c>
      <c r="P71" s="40" t="s">
        <v>218</v>
      </c>
      <c r="Q71" s="44">
        <v>0</v>
      </c>
      <c r="R71" s="37">
        <v>100</v>
      </c>
      <c r="S71" s="37" t="s">
        <v>219</v>
      </c>
      <c r="T71" s="48">
        <v>5</v>
      </c>
      <c r="U71" s="30">
        <v>18666.400000000001</v>
      </c>
      <c r="V71" s="41">
        <v>93332</v>
      </c>
      <c r="W71" s="41">
        <v>7730</v>
      </c>
      <c r="X71" s="41">
        <v>2915</v>
      </c>
      <c r="Y71" s="41"/>
      <c r="Z71" s="41"/>
      <c r="AA71" s="41"/>
      <c r="AB71" s="41"/>
      <c r="AC71" s="41">
        <v>1095</v>
      </c>
      <c r="AD71" s="41"/>
      <c r="AE71" s="41"/>
      <c r="AF71" s="41"/>
      <c r="AG71" s="41"/>
      <c r="AH71" s="41">
        <v>3720</v>
      </c>
      <c r="AI71" s="41"/>
      <c r="AJ71" s="41"/>
      <c r="AK71" s="41"/>
      <c r="AL71" s="41"/>
      <c r="AM71" s="41"/>
      <c r="AN71" s="41">
        <v>1546</v>
      </c>
      <c r="AO71" s="41">
        <v>1546</v>
      </c>
      <c r="AP71" s="40" t="s">
        <v>1641</v>
      </c>
      <c r="AQ71" s="36">
        <v>44972</v>
      </c>
      <c r="AR71" s="36">
        <v>45031</v>
      </c>
      <c r="AS71" s="36">
        <v>45184</v>
      </c>
      <c r="AT71" s="36">
        <v>44986</v>
      </c>
      <c r="AU71" s="36">
        <v>45046</v>
      </c>
      <c r="AV71" s="38">
        <v>45199</v>
      </c>
      <c r="AW71" s="40" t="s">
        <v>68</v>
      </c>
    </row>
    <row r="72" spans="1:49" s="34" customFormat="1" ht="78" x14ac:dyDescent="0.3">
      <c r="A72" s="39" t="s">
        <v>1642</v>
      </c>
      <c r="B72" s="36">
        <v>44900</v>
      </c>
      <c r="C72" s="37">
        <v>545</v>
      </c>
      <c r="D72" s="39" t="s">
        <v>1643</v>
      </c>
      <c r="E72" s="1" t="s">
        <v>1644</v>
      </c>
      <c r="F72" s="36">
        <v>44922</v>
      </c>
      <c r="G72" s="37" t="s">
        <v>1645</v>
      </c>
      <c r="H72" s="40" t="s">
        <v>878</v>
      </c>
      <c r="I72" s="40" t="s">
        <v>1486</v>
      </c>
      <c r="J72" s="41">
        <v>283786503</v>
      </c>
      <c r="K72" s="41">
        <v>283786503</v>
      </c>
      <c r="L72" s="30">
        <v>283786503</v>
      </c>
      <c r="M72" s="30">
        <v>283786503</v>
      </c>
      <c r="N72" s="40" t="s">
        <v>1487</v>
      </c>
      <c r="O72" s="40" t="s">
        <v>1488</v>
      </c>
      <c r="P72" s="40" t="s">
        <v>348</v>
      </c>
      <c r="Q72" s="44">
        <v>0</v>
      </c>
      <c r="R72" s="37">
        <v>100</v>
      </c>
      <c r="S72" s="37" t="s">
        <v>1489</v>
      </c>
      <c r="T72" s="48">
        <v>2</v>
      </c>
      <c r="U72" s="30">
        <v>333082.75</v>
      </c>
      <c r="V72" s="41">
        <v>666165.5</v>
      </c>
      <c r="W72" s="41">
        <v>852</v>
      </c>
      <c r="X72" s="41">
        <v>316</v>
      </c>
      <c r="Y72" s="41"/>
      <c r="Z72" s="41"/>
      <c r="AA72" s="41"/>
      <c r="AB72" s="41"/>
      <c r="AC72" s="41">
        <v>536</v>
      </c>
      <c r="AD72" s="41"/>
      <c r="AE72" s="41"/>
      <c r="AF72" s="41"/>
      <c r="AG72" s="41"/>
      <c r="AH72" s="41"/>
      <c r="AI72" s="41"/>
      <c r="AJ72" s="41"/>
      <c r="AK72" s="41"/>
      <c r="AL72" s="41"/>
      <c r="AM72" s="41"/>
      <c r="AN72" s="41">
        <v>426</v>
      </c>
      <c r="AO72" s="41">
        <v>426</v>
      </c>
      <c r="AP72" s="40" t="s">
        <v>1646</v>
      </c>
      <c r="AQ72" s="36">
        <v>44986</v>
      </c>
      <c r="AR72" s="36">
        <v>45047</v>
      </c>
      <c r="AS72" s="36"/>
      <c r="AT72" s="36">
        <v>45000</v>
      </c>
      <c r="AU72" s="36">
        <v>45061</v>
      </c>
      <c r="AV72" s="38"/>
      <c r="AW72" s="40" t="s">
        <v>87</v>
      </c>
    </row>
    <row r="73" spans="1:49" s="34" customFormat="1" ht="78" x14ac:dyDescent="0.3">
      <c r="A73" s="39" t="s">
        <v>1647</v>
      </c>
      <c r="B73" s="36">
        <v>44900</v>
      </c>
      <c r="C73" s="37">
        <v>545</v>
      </c>
      <c r="D73" s="39" t="s">
        <v>1648</v>
      </c>
      <c r="E73" s="1" t="s">
        <v>1649</v>
      </c>
      <c r="F73" s="36">
        <v>44922</v>
      </c>
      <c r="G73" s="37" t="s">
        <v>1650</v>
      </c>
      <c r="H73" s="40" t="s">
        <v>878</v>
      </c>
      <c r="I73" s="40" t="s">
        <v>1486</v>
      </c>
      <c r="J73" s="41">
        <v>279789510</v>
      </c>
      <c r="K73" s="41">
        <v>279789510</v>
      </c>
      <c r="L73" s="30">
        <v>279789510</v>
      </c>
      <c r="M73" s="30">
        <v>279789510</v>
      </c>
      <c r="N73" s="40" t="s">
        <v>1487</v>
      </c>
      <c r="O73" s="40" t="s">
        <v>1488</v>
      </c>
      <c r="P73" s="40" t="s">
        <v>348</v>
      </c>
      <c r="Q73" s="44">
        <v>0</v>
      </c>
      <c r="R73" s="37">
        <v>100</v>
      </c>
      <c r="S73" s="37" t="s">
        <v>1489</v>
      </c>
      <c r="T73" s="48">
        <v>2</v>
      </c>
      <c r="U73" s="30">
        <v>333082.75</v>
      </c>
      <c r="V73" s="41">
        <v>666165.5</v>
      </c>
      <c r="W73" s="41">
        <v>840</v>
      </c>
      <c r="X73" s="41">
        <v>840</v>
      </c>
      <c r="Y73" s="41">
        <v>0</v>
      </c>
      <c r="Z73" s="41">
        <v>0</v>
      </c>
      <c r="AA73" s="41">
        <v>0</v>
      </c>
      <c r="AB73" s="41">
        <v>0</v>
      </c>
      <c r="AC73" s="41">
        <v>0</v>
      </c>
      <c r="AD73" s="41">
        <v>0</v>
      </c>
      <c r="AE73" s="41">
        <v>0</v>
      </c>
      <c r="AF73" s="41">
        <v>0</v>
      </c>
      <c r="AG73" s="41">
        <v>0</v>
      </c>
      <c r="AH73" s="41">
        <v>0</v>
      </c>
      <c r="AI73" s="41">
        <v>0</v>
      </c>
      <c r="AJ73" s="41">
        <v>0</v>
      </c>
      <c r="AK73" s="41">
        <v>0</v>
      </c>
      <c r="AL73" s="41">
        <v>0</v>
      </c>
      <c r="AM73" s="41"/>
      <c r="AN73" s="41">
        <v>420</v>
      </c>
      <c r="AO73" s="41">
        <v>420</v>
      </c>
      <c r="AP73" s="40" t="s">
        <v>1573</v>
      </c>
      <c r="AQ73" s="36">
        <v>45047</v>
      </c>
      <c r="AR73" s="36"/>
      <c r="AS73" s="36"/>
      <c r="AT73" s="36">
        <v>45061</v>
      </c>
      <c r="AU73" s="36"/>
      <c r="AV73" s="38"/>
      <c r="AW73" s="40" t="s">
        <v>87</v>
      </c>
    </row>
    <row r="74" spans="1:49" s="34" customFormat="1" ht="78" x14ac:dyDescent="0.3">
      <c r="A74" s="39" t="s">
        <v>1651</v>
      </c>
      <c r="B74" s="36">
        <v>44900</v>
      </c>
      <c r="C74" s="37">
        <v>545</v>
      </c>
      <c r="D74" s="39" t="s">
        <v>1652</v>
      </c>
      <c r="E74" s="1" t="s">
        <v>1653</v>
      </c>
      <c r="F74" s="36">
        <v>44922</v>
      </c>
      <c r="G74" s="37" t="s">
        <v>1654</v>
      </c>
      <c r="H74" s="40" t="s">
        <v>878</v>
      </c>
      <c r="I74" s="40" t="s">
        <v>1655</v>
      </c>
      <c r="J74" s="41">
        <v>266466200</v>
      </c>
      <c r="K74" s="41">
        <v>266466200</v>
      </c>
      <c r="L74" s="30">
        <v>266466200</v>
      </c>
      <c r="M74" s="30">
        <v>266466200</v>
      </c>
      <c r="N74" s="40" t="s">
        <v>1487</v>
      </c>
      <c r="O74" s="40" t="s">
        <v>1488</v>
      </c>
      <c r="P74" s="40" t="s">
        <v>348</v>
      </c>
      <c r="Q74" s="44">
        <v>0</v>
      </c>
      <c r="R74" s="37">
        <v>100</v>
      </c>
      <c r="S74" s="37" t="s">
        <v>1489</v>
      </c>
      <c r="T74" s="48">
        <v>2</v>
      </c>
      <c r="U74" s="30">
        <v>333082.75</v>
      </c>
      <c r="V74" s="41">
        <v>666165.5</v>
      </c>
      <c r="W74" s="41">
        <v>800</v>
      </c>
      <c r="X74" s="41">
        <v>800</v>
      </c>
      <c r="Y74" s="41">
        <v>0</v>
      </c>
      <c r="Z74" s="41">
        <v>0</v>
      </c>
      <c r="AA74" s="41">
        <v>0</v>
      </c>
      <c r="AB74" s="41">
        <v>0</v>
      </c>
      <c r="AC74" s="41">
        <v>0</v>
      </c>
      <c r="AD74" s="41">
        <v>0</v>
      </c>
      <c r="AE74" s="41">
        <v>0</v>
      </c>
      <c r="AF74" s="41">
        <v>0</v>
      </c>
      <c r="AG74" s="41">
        <v>0</v>
      </c>
      <c r="AH74" s="41">
        <v>0</v>
      </c>
      <c r="AI74" s="41">
        <v>0</v>
      </c>
      <c r="AJ74" s="41">
        <v>0</v>
      </c>
      <c r="AK74" s="41">
        <v>0</v>
      </c>
      <c r="AL74" s="41">
        <v>0</v>
      </c>
      <c r="AM74" s="41"/>
      <c r="AN74" s="41">
        <v>400</v>
      </c>
      <c r="AO74" s="41">
        <v>400</v>
      </c>
      <c r="AP74" s="40" t="s">
        <v>1377</v>
      </c>
      <c r="AQ74" s="36">
        <v>44986</v>
      </c>
      <c r="AR74" s="36"/>
      <c r="AS74" s="36"/>
      <c r="AT74" s="36">
        <v>45000</v>
      </c>
      <c r="AU74" s="36"/>
      <c r="AV74" s="38"/>
      <c r="AW74" s="40" t="s">
        <v>87</v>
      </c>
    </row>
    <row r="75" spans="1:49" s="34" customFormat="1" ht="93.6" x14ac:dyDescent="0.3">
      <c r="A75" s="39" t="s">
        <v>1656</v>
      </c>
      <c r="B75" s="36">
        <v>44900</v>
      </c>
      <c r="C75" s="37">
        <v>545</v>
      </c>
      <c r="D75" s="39" t="s">
        <v>1657</v>
      </c>
      <c r="E75" s="1" t="s">
        <v>1658</v>
      </c>
      <c r="F75" s="36">
        <v>44922</v>
      </c>
      <c r="G75" s="37" t="s">
        <v>1659</v>
      </c>
      <c r="H75" s="40" t="s">
        <v>224</v>
      </c>
      <c r="I75" s="40" t="s">
        <v>1660</v>
      </c>
      <c r="J75" s="41">
        <v>164173033.19999999</v>
      </c>
      <c r="K75" s="41">
        <v>164173033.19999999</v>
      </c>
      <c r="L75" s="30">
        <v>164173033.19999999</v>
      </c>
      <c r="M75" s="30">
        <v>164173033.19999999</v>
      </c>
      <c r="N75" s="40" t="s">
        <v>1661</v>
      </c>
      <c r="O75" s="40" t="s">
        <v>1662</v>
      </c>
      <c r="P75" s="40" t="s">
        <v>1032</v>
      </c>
      <c r="Q75" s="44">
        <v>0</v>
      </c>
      <c r="R75" s="37">
        <v>100</v>
      </c>
      <c r="S75" s="37" t="s">
        <v>1489</v>
      </c>
      <c r="T75" s="48">
        <v>15</v>
      </c>
      <c r="U75" s="30">
        <v>25813.37</v>
      </c>
      <c r="V75" s="41">
        <v>387200.55</v>
      </c>
      <c r="W75" s="41">
        <v>6360</v>
      </c>
      <c r="X75" s="41">
        <v>6360</v>
      </c>
      <c r="Y75" s="41">
        <v>0</v>
      </c>
      <c r="Z75" s="41">
        <v>0</v>
      </c>
      <c r="AA75" s="41">
        <v>0</v>
      </c>
      <c r="AB75" s="41">
        <v>0</v>
      </c>
      <c r="AC75" s="41">
        <v>0</v>
      </c>
      <c r="AD75" s="41">
        <v>0</v>
      </c>
      <c r="AE75" s="41">
        <v>0</v>
      </c>
      <c r="AF75" s="41">
        <v>0</v>
      </c>
      <c r="AG75" s="41">
        <v>0</v>
      </c>
      <c r="AH75" s="41">
        <v>0</v>
      </c>
      <c r="AI75" s="41">
        <v>0</v>
      </c>
      <c r="AJ75" s="41">
        <v>0</v>
      </c>
      <c r="AK75" s="41">
        <v>0</v>
      </c>
      <c r="AL75" s="41">
        <v>0</v>
      </c>
      <c r="AM75" s="41"/>
      <c r="AN75" s="41">
        <v>424</v>
      </c>
      <c r="AO75" s="41">
        <v>424</v>
      </c>
      <c r="AP75" s="40" t="s">
        <v>1409</v>
      </c>
      <c r="AQ75" s="36">
        <v>44972</v>
      </c>
      <c r="AR75" s="36"/>
      <c r="AS75" s="36"/>
      <c r="AT75" s="36">
        <v>44986</v>
      </c>
      <c r="AU75" s="36"/>
      <c r="AV75" s="38"/>
      <c r="AW75" s="40" t="s">
        <v>87</v>
      </c>
    </row>
    <row r="76" spans="1:49" s="34" customFormat="1" ht="78" x14ac:dyDescent="0.3">
      <c r="A76" s="39" t="s">
        <v>1663</v>
      </c>
      <c r="B76" s="36">
        <v>44900</v>
      </c>
      <c r="C76" s="37">
        <v>545</v>
      </c>
      <c r="D76" s="39" t="s">
        <v>1664</v>
      </c>
      <c r="E76" s="1" t="s">
        <v>1665</v>
      </c>
      <c r="F76" s="36">
        <v>44922</v>
      </c>
      <c r="G76" s="37" t="s">
        <v>1666</v>
      </c>
      <c r="H76" s="40" t="s">
        <v>878</v>
      </c>
      <c r="I76" s="40" t="s">
        <v>1486</v>
      </c>
      <c r="J76" s="41">
        <v>145224079</v>
      </c>
      <c r="K76" s="41">
        <v>145224079</v>
      </c>
      <c r="L76" s="30">
        <v>145224079</v>
      </c>
      <c r="M76" s="30">
        <v>145224079</v>
      </c>
      <c r="N76" s="40" t="s">
        <v>1487</v>
      </c>
      <c r="O76" s="40" t="s">
        <v>1488</v>
      </c>
      <c r="P76" s="40" t="s">
        <v>348</v>
      </c>
      <c r="Q76" s="44">
        <v>0</v>
      </c>
      <c r="R76" s="37">
        <v>100</v>
      </c>
      <c r="S76" s="37" t="s">
        <v>1489</v>
      </c>
      <c r="T76" s="48">
        <v>2</v>
      </c>
      <c r="U76" s="30">
        <v>333082.75</v>
      </c>
      <c r="V76" s="41">
        <v>666165.5</v>
      </c>
      <c r="W76" s="41">
        <v>436</v>
      </c>
      <c r="X76" s="41">
        <v>436</v>
      </c>
      <c r="Y76" s="41">
        <v>0</v>
      </c>
      <c r="Z76" s="41">
        <v>0</v>
      </c>
      <c r="AA76" s="41">
        <v>0</v>
      </c>
      <c r="AB76" s="41">
        <v>0</v>
      </c>
      <c r="AC76" s="41">
        <v>0</v>
      </c>
      <c r="AD76" s="41">
        <v>0</v>
      </c>
      <c r="AE76" s="41">
        <v>0</v>
      </c>
      <c r="AF76" s="41">
        <v>0</v>
      </c>
      <c r="AG76" s="41">
        <v>0</v>
      </c>
      <c r="AH76" s="41">
        <v>0</v>
      </c>
      <c r="AI76" s="41">
        <v>0</v>
      </c>
      <c r="AJ76" s="41">
        <v>0</v>
      </c>
      <c r="AK76" s="41">
        <v>0</v>
      </c>
      <c r="AL76" s="41">
        <v>0</v>
      </c>
      <c r="AM76" s="41"/>
      <c r="AN76" s="41">
        <v>218</v>
      </c>
      <c r="AO76" s="41">
        <v>218</v>
      </c>
      <c r="AP76" s="40" t="s">
        <v>1377</v>
      </c>
      <c r="AQ76" s="36">
        <v>45047</v>
      </c>
      <c r="AR76" s="36"/>
      <c r="AS76" s="36"/>
      <c r="AT76" s="36">
        <v>45061</v>
      </c>
      <c r="AU76" s="36"/>
      <c r="AV76" s="38"/>
      <c r="AW76" s="40" t="s">
        <v>87</v>
      </c>
    </row>
    <row r="77" spans="1:49" s="34" customFormat="1" ht="103.5" customHeight="1" x14ac:dyDescent="0.3">
      <c r="A77" s="39" t="s">
        <v>1667</v>
      </c>
      <c r="B77" s="36">
        <v>44900</v>
      </c>
      <c r="C77" s="37">
        <v>545</v>
      </c>
      <c r="D77" s="39" t="s">
        <v>1668</v>
      </c>
      <c r="E77" s="1" t="s">
        <v>1669</v>
      </c>
      <c r="F77" s="36">
        <v>44922</v>
      </c>
      <c r="G77" s="37" t="s">
        <v>1670</v>
      </c>
      <c r="H77" s="40" t="s">
        <v>224</v>
      </c>
      <c r="I77" s="40" t="s">
        <v>1588</v>
      </c>
      <c r="J77" s="41">
        <v>203837088</v>
      </c>
      <c r="K77" s="41">
        <v>203837088</v>
      </c>
      <c r="L77" s="30">
        <v>215503588</v>
      </c>
      <c r="M77" s="30">
        <v>215503588</v>
      </c>
      <c r="N77" s="40" t="s">
        <v>1589</v>
      </c>
      <c r="O77" s="40" t="s">
        <v>1671</v>
      </c>
      <c r="P77" s="40" t="s">
        <v>218</v>
      </c>
      <c r="Q77" s="44">
        <v>0</v>
      </c>
      <c r="R77" s="37">
        <v>100</v>
      </c>
      <c r="S77" s="37" t="s">
        <v>219</v>
      </c>
      <c r="T77" s="48">
        <v>5</v>
      </c>
      <c r="U77" s="30">
        <v>18666.400000000001</v>
      </c>
      <c r="V77" s="41">
        <v>93332</v>
      </c>
      <c r="W77" s="41">
        <v>11545</v>
      </c>
      <c r="X77" s="41">
        <v>4120</v>
      </c>
      <c r="Y77" s="41">
        <v>0</v>
      </c>
      <c r="Z77" s="41">
        <v>0</v>
      </c>
      <c r="AA77" s="41">
        <v>0</v>
      </c>
      <c r="AB77" s="41">
        <v>0</v>
      </c>
      <c r="AC77" s="41">
        <v>1550</v>
      </c>
      <c r="AD77" s="41">
        <v>0</v>
      </c>
      <c r="AE77" s="41">
        <v>0</v>
      </c>
      <c r="AF77" s="41">
        <v>0</v>
      </c>
      <c r="AG77" s="41">
        <v>0</v>
      </c>
      <c r="AH77" s="41">
        <v>5875</v>
      </c>
      <c r="AI77" s="41">
        <v>0</v>
      </c>
      <c r="AJ77" s="41">
        <v>0</v>
      </c>
      <c r="AK77" s="41">
        <v>0</v>
      </c>
      <c r="AL77" s="41">
        <v>0</v>
      </c>
      <c r="AM77" s="41"/>
      <c r="AN77" s="41">
        <v>2309</v>
      </c>
      <c r="AO77" s="41">
        <v>2309</v>
      </c>
      <c r="AP77" s="40" t="s">
        <v>1672</v>
      </c>
      <c r="AQ77" s="36">
        <v>44972</v>
      </c>
      <c r="AR77" s="36">
        <v>45031</v>
      </c>
      <c r="AS77" s="36">
        <v>45184</v>
      </c>
      <c r="AT77" s="36">
        <v>44986</v>
      </c>
      <c r="AU77" s="36">
        <v>45046</v>
      </c>
      <c r="AV77" s="38">
        <v>45199</v>
      </c>
      <c r="AW77" s="40" t="s">
        <v>68</v>
      </c>
    </row>
    <row r="78" spans="1:49" s="34" customFormat="1" ht="123.75" customHeight="1" x14ac:dyDescent="0.3">
      <c r="A78" s="39" t="s">
        <v>1673</v>
      </c>
      <c r="B78" s="36">
        <v>44900</v>
      </c>
      <c r="C78" s="37">
        <v>545</v>
      </c>
      <c r="D78" s="39" t="s">
        <v>1674</v>
      </c>
      <c r="E78" s="1" t="s">
        <v>1675</v>
      </c>
      <c r="F78" s="36">
        <v>44922</v>
      </c>
      <c r="G78" s="37" t="s">
        <v>1676</v>
      </c>
      <c r="H78" s="40" t="s">
        <v>224</v>
      </c>
      <c r="I78" s="40" t="s">
        <v>1588</v>
      </c>
      <c r="J78" s="41">
        <v>209063680</v>
      </c>
      <c r="K78" s="41">
        <v>209063680</v>
      </c>
      <c r="L78" s="30">
        <v>209063680</v>
      </c>
      <c r="M78" s="30">
        <v>209063680</v>
      </c>
      <c r="N78" s="40" t="s">
        <v>1589</v>
      </c>
      <c r="O78" s="40" t="s">
        <v>1671</v>
      </c>
      <c r="P78" s="40" t="s">
        <v>218</v>
      </c>
      <c r="Q78" s="44">
        <v>0</v>
      </c>
      <c r="R78" s="37">
        <v>100</v>
      </c>
      <c r="S78" s="37" t="s">
        <v>219</v>
      </c>
      <c r="T78" s="48">
        <v>5</v>
      </c>
      <c r="U78" s="30">
        <v>18666.400000000001</v>
      </c>
      <c r="V78" s="41">
        <v>93332</v>
      </c>
      <c r="W78" s="41">
        <v>11200</v>
      </c>
      <c r="X78" s="41">
        <v>8160</v>
      </c>
      <c r="Y78" s="41">
        <v>0</v>
      </c>
      <c r="Z78" s="41">
        <v>0</v>
      </c>
      <c r="AA78" s="41">
        <v>0</v>
      </c>
      <c r="AB78" s="41">
        <v>0</v>
      </c>
      <c r="AC78" s="41">
        <v>3040</v>
      </c>
      <c r="AD78" s="41">
        <v>0</v>
      </c>
      <c r="AE78" s="41">
        <v>0</v>
      </c>
      <c r="AF78" s="41">
        <v>0</v>
      </c>
      <c r="AG78" s="41">
        <v>0</v>
      </c>
      <c r="AH78" s="41">
        <v>0</v>
      </c>
      <c r="AI78" s="41">
        <v>0</v>
      </c>
      <c r="AJ78" s="41">
        <v>0</v>
      </c>
      <c r="AK78" s="41">
        <v>0</v>
      </c>
      <c r="AL78" s="41">
        <v>0</v>
      </c>
      <c r="AM78" s="41"/>
      <c r="AN78" s="41">
        <v>2240</v>
      </c>
      <c r="AO78" s="41">
        <v>2240</v>
      </c>
      <c r="AP78" s="40" t="s">
        <v>1624</v>
      </c>
      <c r="AQ78" s="36">
        <v>44972</v>
      </c>
      <c r="AR78" s="36">
        <v>45031</v>
      </c>
      <c r="AS78" s="36"/>
      <c r="AT78" s="36">
        <v>44986</v>
      </c>
      <c r="AU78" s="36">
        <v>45046</v>
      </c>
      <c r="AV78" s="38"/>
      <c r="AW78" s="40" t="s">
        <v>87</v>
      </c>
    </row>
    <row r="79" spans="1:49" s="34" customFormat="1" ht="61.5" customHeight="1" x14ac:dyDescent="0.3">
      <c r="A79" s="39" t="s">
        <v>1677</v>
      </c>
      <c r="B79" s="36">
        <v>44900</v>
      </c>
      <c r="C79" s="37">
        <v>545</v>
      </c>
      <c r="D79" s="39" t="s">
        <v>1678</v>
      </c>
      <c r="E79" s="1" t="s">
        <v>1679</v>
      </c>
      <c r="F79" s="36">
        <v>44922</v>
      </c>
      <c r="G79" s="37" t="s">
        <v>1680</v>
      </c>
      <c r="H79" s="40" t="s">
        <v>224</v>
      </c>
      <c r="I79" s="40" t="s">
        <v>1588</v>
      </c>
      <c r="J79" s="41">
        <v>223250144</v>
      </c>
      <c r="K79" s="41">
        <v>223250144</v>
      </c>
      <c r="L79" s="30">
        <v>223250144</v>
      </c>
      <c r="M79" s="30">
        <v>223250144</v>
      </c>
      <c r="N79" s="40" t="s">
        <v>1589</v>
      </c>
      <c r="O79" s="40" t="s">
        <v>1671</v>
      </c>
      <c r="P79" s="40" t="s">
        <v>218</v>
      </c>
      <c r="Q79" s="44">
        <v>0</v>
      </c>
      <c r="R79" s="37">
        <v>100</v>
      </c>
      <c r="S79" s="37" t="s">
        <v>219</v>
      </c>
      <c r="T79" s="48">
        <v>5</v>
      </c>
      <c r="U79" s="30">
        <v>18666.400000000001</v>
      </c>
      <c r="V79" s="41">
        <v>93332</v>
      </c>
      <c r="W79" s="41">
        <v>11960</v>
      </c>
      <c r="X79" s="41">
        <v>4510</v>
      </c>
      <c r="Y79" s="41">
        <v>0</v>
      </c>
      <c r="Z79" s="41">
        <v>0</v>
      </c>
      <c r="AA79" s="41">
        <v>0</v>
      </c>
      <c r="AB79" s="41">
        <v>0</v>
      </c>
      <c r="AC79" s="41">
        <v>1695</v>
      </c>
      <c r="AD79" s="41">
        <v>0</v>
      </c>
      <c r="AE79" s="41">
        <v>0</v>
      </c>
      <c r="AF79" s="41">
        <v>0</v>
      </c>
      <c r="AG79" s="41">
        <v>0</v>
      </c>
      <c r="AH79" s="41">
        <v>5755</v>
      </c>
      <c r="AI79" s="41">
        <v>0</v>
      </c>
      <c r="AJ79" s="41">
        <v>0</v>
      </c>
      <c r="AK79" s="41">
        <v>0</v>
      </c>
      <c r="AL79" s="41">
        <v>0</v>
      </c>
      <c r="AM79" s="41"/>
      <c r="AN79" s="41">
        <v>2392</v>
      </c>
      <c r="AO79" s="41">
        <v>2392</v>
      </c>
      <c r="AP79" s="40" t="s">
        <v>1681</v>
      </c>
      <c r="AQ79" s="36">
        <v>44972</v>
      </c>
      <c r="AR79" s="36">
        <v>45031</v>
      </c>
      <c r="AS79" s="36">
        <v>45184</v>
      </c>
      <c r="AT79" s="36">
        <v>44986</v>
      </c>
      <c r="AU79" s="36">
        <v>45046</v>
      </c>
      <c r="AV79" s="38">
        <v>45199</v>
      </c>
      <c r="AW79" s="40" t="s">
        <v>68</v>
      </c>
    </row>
    <row r="80" spans="1:49" s="34" customFormat="1" ht="78" x14ac:dyDescent="0.3">
      <c r="A80" s="39" t="s">
        <v>1682</v>
      </c>
      <c r="B80" s="36">
        <v>44900</v>
      </c>
      <c r="C80" s="37">
        <v>545</v>
      </c>
      <c r="D80" s="39" t="s">
        <v>1683</v>
      </c>
      <c r="E80" s="1" t="s">
        <v>1684</v>
      </c>
      <c r="F80" s="36">
        <v>44922</v>
      </c>
      <c r="G80" s="37" t="s">
        <v>1685</v>
      </c>
      <c r="H80" s="40" t="s">
        <v>878</v>
      </c>
      <c r="I80" s="40" t="s">
        <v>1486</v>
      </c>
      <c r="J80" s="41">
        <v>287783496</v>
      </c>
      <c r="K80" s="41">
        <v>287783496</v>
      </c>
      <c r="L80" s="30">
        <v>297775978.5</v>
      </c>
      <c r="M80" s="30">
        <v>297775978.5</v>
      </c>
      <c r="N80" s="40" t="s">
        <v>1487</v>
      </c>
      <c r="O80" s="40" t="s">
        <v>1488</v>
      </c>
      <c r="P80" s="40" t="s">
        <v>348</v>
      </c>
      <c r="Q80" s="44">
        <v>0</v>
      </c>
      <c r="R80" s="37">
        <v>100</v>
      </c>
      <c r="S80" s="37" t="s">
        <v>1489</v>
      </c>
      <c r="T80" s="48">
        <v>2</v>
      </c>
      <c r="U80" s="30">
        <v>333082.75</v>
      </c>
      <c r="V80" s="41">
        <v>666165.5</v>
      </c>
      <c r="W80" s="41">
        <v>894</v>
      </c>
      <c r="X80" s="41">
        <v>318</v>
      </c>
      <c r="Y80" s="41">
        <v>0</v>
      </c>
      <c r="Z80" s="41">
        <v>0</v>
      </c>
      <c r="AA80" s="41">
        <v>0</v>
      </c>
      <c r="AB80" s="41">
        <v>0</v>
      </c>
      <c r="AC80" s="41">
        <v>576</v>
      </c>
      <c r="AD80" s="41">
        <v>0</v>
      </c>
      <c r="AE80" s="41">
        <v>0</v>
      </c>
      <c r="AF80" s="41">
        <v>0</v>
      </c>
      <c r="AG80" s="41">
        <v>0</v>
      </c>
      <c r="AH80" s="41">
        <v>0</v>
      </c>
      <c r="AI80" s="41">
        <v>0</v>
      </c>
      <c r="AJ80" s="41">
        <v>0</v>
      </c>
      <c r="AK80" s="41">
        <v>0</v>
      </c>
      <c r="AL80" s="41">
        <v>0</v>
      </c>
      <c r="AM80" s="41"/>
      <c r="AN80" s="41">
        <v>447</v>
      </c>
      <c r="AO80" s="41">
        <v>447</v>
      </c>
      <c r="AP80" s="40" t="s">
        <v>1686</v>
      </c>
      <c r="AQ80" s="36">
        <v>44986</v>
      </c>
      <c r="AR80" s="36">
        <v>45047</v>
      </c>
      <c r="AS80" s="36"/>
      <c r="AT80" s="36">
        <v>45000</v>
      </c>
      <c r="AU80" s="36">
        <v>45061</v>
      </c>
      <c r="AV80" s="38"/>
      <c r="AW80" s="40" t="s">
        <v>87</v>
      </c>
    </row>
    <row r="81" spans="1:49" s="34" customFormat="1" ht="99.75" customHeight="1" x14ac:dyDescent="0.3">
      <c r="A81" s="39" t="s">
        <v>1687</v>
      </c>
      <c r="B81" s="36">
        <v>44900</v>
      </c>
      <c r="C81" s="37">
        <v>545</v>
      </c>
      <c r="D81" s="39" t="s">
        <v>1688</v>
      </c>
      <c r="E81" s="1" t="s">
        <v>1689</v>
      </c>
      <c r="F81" s="36">
        <v>44922</v>
      </c>
      <c r="G81" s="37" t="s">
        <v>1690</v>
      </c>
      <c r="H81" s="40" t="s">
        <v>878</v>
      </c>
      <c r="I81" s="40" t="s">
        <v>1486</v>
      </c>
      <c r="J81" s="41">
        <v>250478228</v>
      </c>
      <c r="K81" s="41">
        <v>250478228</v>
      </c>
      <c r="L81" s="30">
        <v>287783496</v>
      </c>
      <c r="M81" s="30">
        <v>287783496</v>
      </c>
      <c r="N81" s="40" t="s">
        <v>1487</v>
      </c>
      <c r="O81" s="40" t="s">
        <v>1488</v>
      </c>
      <c r="P81" s="40" t="s">
        <v>348</v>
      </c>
      <c r="Q81" s="44">
        <v>0</v>
      </c>
      <c r="R81" s="37">
        <v>100</v>
      </c>
      <c r="S81" s="37" t="s">
        <v>1489</v>
      </c>
      <c r="T81" s="48">
        <v>2</v>
      </c>
      <c r="U81" s="30">
        <v>333082.75</v>
      </c>
      <c r="V81" s="41">
        <v>666165.5</v>
      </c>
      <c r="W81" s="41">
        <v>864</v>
      </c>
      <c r="X81" s="41">
        <v>278</v>
      </c>
      <c r="Y81" s="41">
        <v>0</v>
      </c>
      <c r="Z81" s="41">
        <v>0</v>
      </c>
      <c r="AA81" s="41">
        <v>0</v>
      </c>
      <c r="AB81" s="41">
        <v>0</v>
      </c>
      <c r="AC81" s="41">
        <v>586</v>
      </c>
      <c r="AD81" s="41">
        <v>0</v>
      </c>
      <c r="AE81" s="41">
        <v>0</v>
      </c>
      <c r="AF81" s="41">
        <v>0</v>
      </c>
      <c r="AG81" s="41">
        <v>0</v>
      </c>
      <c r="AH81" s="41">
        <v>0</v>
      </c>
      <c r="AI81" s="41">
        <v>0</v>
      </c>
      <c r="AJ81" s="41">
        <v>0</v>
      </c>
      <c r="AK81" s="41">
        <v>0</v>
      </c>
      <c r="AL81" s="41">
        <v>0</v>
      </c>
      <c r="AM81" s="41"/>
      <c r="AN81" s="41">
        <v>432</v>
      </c>
      <c r="AO81" s="41">
        <v>432</v>
      </c>
      <c r="AP81" s="40" t="s">
        <v>1691</v>
      </c>
      <c r="AQ81" s="36">
        <v>44986</v>
      </c>
      <c r="AR81" s="36">
        <v>45047</v>
      </c>
      <c r="AS81" s="36"/>
      <c r="AT81" s="36">
        <v>45000</v>
      </c>
      <c r="AU81" s="36">
        <v>45061</v>
      </c>
      <c r="AV81" s="38"/>
      <c r="AW81" s="40" t="s">
        <v>87</v>
      </c>
    </row>
    <row r="82" spans="1:49" s="34" customFormat="1" ht="93.6" x14ac:dyDescent="0.3">
      <c r="A82" s="39" t="s">
        <v>1692</v>
      </c>
      <c r="B82" s="36">
        <v>44900</v>
      </c>
      <c r="C82" s="37">
        <v>545</v>
      </c>
      <c r="D82" s="39" t="s">
        <v>1693</v>
      </c>
      <c r="E82" s="1" t="s">
        <v>1694</v>
      </c>
      <c r="F82" s="36">
        <v>44922</v>
      </c>
      <c r="G82" s="37" t="s">
        <v>1695</v>
      </c>
      <c r="H82" s="40" t="s">
        <v>878</v>
      </c>
      <c r="I82" s="40" t="s">
        <v>1486</v>
      </c>
      <c r="J82" s="41">
        <v>289781992.5</v>
      </c>
      <c r="K82" s="41">
        <v>289781992.5</v>
      </c>
      <c r="L82" s="30">
        <v>289781992.5</v>
      </c>
      <c r="M82" s="30">
        <v>289781992.5</v>
      </c>
      <c r="N82" s="40" t="s">
        <v>1487</v>
      </c>
      <c r="O82" s="40" t="s">
        <v>1488</v>
      </c>
      <c r="P82" s="40" t="s">
        <v>348</v>
      </c>
      <c r="Q82" s="44">
        <v>0</v>
      </c>
      <c r="R82" s="37">
        <v>100</v>
      </c>
      <c r="S82" s="37" t="s">
        <v>1489</v>
      </c>
      <c r="T82" s="48">
        <v>2</v>
      </c>
      <c r="U82" s="30">
        <v>333082.75</v>
      </c>
      <c r="V82" s="41">
        <v>666165.5</v>
      </c>
      <c r="W82" s="41">
        <v>870</v>
      </c>
      <c r="X82" s="41">
        <v>322</v>
      </c>
      <c r="Y82" s="41">
        <v>0</v>
      </c>
      <c r="Z82" s="41">
        <v>0</v>
      </c>
      <c r="AA82" s="41">
        <v>0</v>
      </c>
      <c r="AB82" s="41">
        <v>0</v>
      </c>
      <c r="AC82" s="41">
        <v>548</v>
      </c>
      <c r="AD82" s="41">
        <v>0</v>
      </c>
      <c r="AE82" s="41">
        <v>0</v>
      </c>
      <c r="AF82" s="41">
        <v>0</v>
      </c>
      <c r="AG82" s="41">
        <v>0</v>
      </c>
      <c r="AH82" s="41">
        <v>0</v>
      </c>
      <c r="AI82" s="41">
        <v>0</v>
      </c>
      <c r="AJ82" s="41">
        <v>0</v>
      </c>
      <c r="AK82" s="41">
        <v>0</v>
      </c>
      <c r="AL82" s="41">
        <v>0</v>
      </c>
      <c r="AM82" s="41"/>
      <c r="AN82" s="41">
        <v>435</v>
      </c>
      <c r="AO82" s="41">
        <v>435</v>
      </c>
      <c r="AP82" s="40" t="s">
        <v>1696</v>
      </c>
      <c r="AQ82" s="36">
        <v>44986</v>
      </c>
      <c r="AR82" s="36">
        <v>45047</v>
      </c>
      <c r="AS82" s="36"/>
      <c r="AT82" s="36">
        <v>45000</v>
      </c>
      <c r="AU82" s="36">
        <v>45061</v>
      </c>
      <c r="AV82" s="38"/>
      <c r="AW82" s="40" t="s">
        <v>87</v>
      </c>
    </row>
    <row r="83" spans="1:49" s="34" customFormat="1" ht="78" x14ac:dyDescent="0.3">
      <c r="A83" s="39" t="s">
        <v>1697</v>
      </c>
      <c r="B83" s="36">
        <v>44900</v>
      </c>
      <c r="C83" s="37">
        <v>545</v>
      </c>
      <c r="D83" s="39" t="s">
        <v>1698</v>
      </c>
      <c r="E83" s="1" t="s">
        <v>1699</v>
      </c>
      <c r="F83" s="36">
        <v>44922</v>
      </c>
      <c r="G83" s="37" t="s">
        <v>1700</v>
      </c>
      <c r="H83" s="40" t="s">
        <v>878</v>
      </c>
      <c r="I83" s="40" t="s">
        <v>1486</v>
      </c>
      <c r="J83" s="41">
        <v>249145897</v>
      </c>
      <c r="K83" s="41">
        <v>249145897</v>
      </c>
      <c r="L83" s="30">
        <v>249145897</v>
      </c>
      <c r="M83" s="30">
        <v>249145897</v>
      </c>
      <c r="N83" s="40" t="s">
        <v>1487</v>
      </c>
      <c r="O83" s="40" t="s">
        <v>1488</v>
      </c>
      <c r="P83" s="40" t="s">
        <v>348</v>
      </c>
      <c r="Q83" s="44">
        <v>0</v>
      </c>
      <c r="R83" s="37">
        <v>100</v>
      </c>
      <c r="S83" s="37" t="s">
        <v>1489</v>
      </c>
      <c r="T83" s="48">
        <v>2</v>
      </c>
      <c r="U83" s="30">
        <v>333082.75</v>
      </c>
      <c r="V83" s="41">
        <v>666165.5</v>
      </c>
      <c r="W83" s="41">
        <v>748</v>
      </c>
      <c r="X83" s="41">
        <v>276</v>
      </c>
      <c r="Y83" s="41">
        <v>0</v>
      </c>
      <c r="Z83" s="41">
        <v>0</v>
      </c>
      <c r="AA83" s="41">
        <v>0</v>
      </c>
      <c r="AB83" s="41">
        <v>0</v>
      </c>
      <c r="AC83" s="41">
        <v>472</v>
      </c>
      <c r="AD83" s="41">
        <v>0</v>
      </c>
      <c r="AE83" s="41">
        <v>0</v>
      </c>
      <c r="AF83" s="41">
        <v>0</v>
      </c>
      <c r="AG83" s="41">
        <v>0</v>
      </c>
      <c r="AH83" s="41">
        <v>0</v>
      </c>
      <c r="AI83" s="41">
        <v>0</v>
      </c>
      <c r="AJ83" s="41">
        <v>0</v>
      </c>
      <c r="AK83" s="41">
        <v>0</v>
      </c>
      <c r="AL83" s="41">
        <v>0</v>
      </c>
      <c r="AM83" s="41"/>
      <c r="AN83" s="41">
        <v>374</v>
      </c>
      <c r="AO83" s="41">
        <v>374</v>
      </c>
      <c r="AP83" s="40" t="s">
        <v>1701</v>
      </c>
      <c r="AQ83" s="36">
        <v>44986</v>
      </c>
      <c r="AR83" s="36">
        <v>45047</v>
      </c>
      <c r="AS83" s="36"/>
      <c r="AT83" s="36">
        <v>45000</v>
      </c>
      <c r="AU83" s="36">
        <v>45061</v>
      </c>
      <c r="AV83" s="38"/>
      <c r="AW83" s="40" t="s">
        <v>87</v>
      </c>
    </row>
    <row r="84" spans="1:49" s="34" customFormat="1" ht="93.6" x14ac:dyDescent="0.3">
      <c r="A84" s="39" t="s">
        <v>1702</v>
      </c>
      <c r="B84" s="36">
        <v>44901</v>
      </c>
      <c r="C84" s="37">
        <v>545</v>
      </c>
      <c r="D84" s="39" t="s">
        <v>1703</v>
      </c>
      <c r="E84" s="1" t="s">
        <v>1704</v>
      </c>
      <c r="F84" s="36">
        <v>44925</v>
      </c>
      <c r="G84" s="37" t="s">
        <v>1705</v>
      </c>
      <c r="H84" s="40" t="s">
        <v>224</v>
      </c>
      <c r="I84" s="40" t="s">
        <v>1706</v>
      </c>
      <c r="J84" s="41">
        <v>298918361.39999998</v>
      </c>
      <c r="K84" s="41">
        <v>298918361.39999998</v>
      </c>
      <c r="L84" s="30">
        <v>298918361.39999998</v>
      </c>
      <c r="M84" s="82">
        <v>298918361.39999998</v>
      </c>
      <c r="N84" s="40" t="s">
        <v>1661</v>
      </c>
      <c r="O84" s="40" t="s">
        <v>1707</v>
      </c>
      <c r="P84" s="40" t="s">
        <v>1032</v>
      </c>
      <c r="Q84" s="44">
        <v>0</v>
      </c>
      <c r="R84" s="37">
        <v>100</v>
      </c>
      <c r="S84" s="37" t="s">
        <v>1489</v>
      </c>
      <c r="T84" s="48">
        <v>30</v>
      </c>
      <c r="U84" s="30">
        <v>25813.329999999998</v>
      </c>
      <c r="V84" s="41">
        <v>774399.89999999991</v>
      </c>
      <c r="W84" s="41">
        <v>11580</v>
      </c>
      <c r="X84" s="41">
        <v>11580</v>
      </c>
      <c r="Y84" s="41">
        <v>0</v>
      </c>
      <c r="Z84" s="41">
        <v>0</v>
      </c>
      <c r="AA84" s="41">
        <v>0</v>
      </c>
      <c r="AB84" s="41">
        <v>0</v>
      </c>
      <c r="AC84" s="41">
        <v>0</v>
      </c>
      <c r="AD84" s="41">
        <v>0</v>
      </c>
      <c r="AE84" s="41">
        <v>0</v>
      </c>
      <c r="AF84" s="41">
        <v>0</v>
      </c>
      <c r="AG84" s="41">
        <v>0</v>
      </c>
      <c r="AH84" s="41">
        <v>0</v>
      </c>
      <c r="AI84" s="41">
        <v>0</v>
      </c>
      <c r="AJ84" s="41">
        <v>0</v>
      </c>
      <c r="AK84" s="41">
        <v>0</v>
      </c>
      <c r="AL84" s="41">
        <v>0</v>
      </c>
      <c r="AM84" s="41"/>
      <c r="AN84" s="41">
        <v>386</v>
      </c>
      <c r="AO84" s="41">
        <v>386</v>
      </c>
      <c r="AP84" s="40" t="s">
        <v>1708</v>
      </c>
      <c r="AQ84" s="36">
        <v>44972</v>
      </c>
      <c r="AR84" s="36"/>
      <c r="AS84" s="36"/>
      <c r="AT84" s="36">
        <v>44986</v>
      </c>
      <c r="AU84" s="36"/>
      <c r="AV84" s="38"/>
      <c r="AW84" s="40" t="s">
        <v>87</v>
      </c>
    </row>
    <row r="85" spans="1:49" s="34" customFormat="1" ht="93.6" x14ac:dyDescent="0.3">
      <c r="A85" s="39" t="s">
        <v>1709</v>
      </c>
      <c r="B85" s="36">
        <v>44901</v>
      </c>
      <c r="C85" s="37">
        <v>545</v>
      </c>
      <c r="D85" s="39" t="s">
        <v>1710</v>
      </c>
      <c r="E85" s="1" t="s">
        <v>1711</v>
      </c>
      <c r="F85" s="36">
        <v>44925</v>
      </c>
      <c r="G85" s="37" t="s">
        <v>1712</v>
      </c>
      <c r="H85" s="40" t="s">
        <v>224</v>
      </c>
      <c r="I85" s="40" t="s">
        <v>1706</v>
      </c>
      <c r="J85" s="41">
        <v>293497562.10000002</v>
      </c>
      <c r="K85" s="41">
        <v>293497562.10000002</v>
      </c>
      <c r="L85" s="30">
        <v>293497562.10000002</v>
      </c>
      <c r="M85" s="30">
        <v>293497562.10000002</v>
      </c>
      <c r="N85" s="40" t="s">
        <v>1661</v>
      </c>
      <c r="O85" s="40" t="s">
        <v>1707</v>
      </c>
      <c r="P85" s="40" t="s">
        <v>1032</v>
      </c>
      <c r="Q85" s="44">
        <v>0</v>
      </c>
      <c r="R85" s="37">
        <v>100</v>
      </c>
      <c r="S85" s="37" t="s">
        <v>1489</v>
      </c>
      <c r="T85" s="48">
        <v>30</v>
      </c>
      <c r="U85" s="30">
        <v>25813.33</v>
      </c>
      <c r="V85" s="41">
        <v>774399.9</v>
      </c>
      <c r="W85" s="41">
        <v>11370</v>
      </c>
      <c r="X85" s="41">
        <v>11370</v>
      </c>
      <c r="Y85" s="41">
        <v>0</v>
      </c>
      <c r="Z85" s="41">
        <v>0</v>
      </c>
      <c r="AA85" s="41">
        <v>0</v>
      </c>
      <c r="AB85" s="41">
        <v>0</v>
      </c>
      <c r="AC85" s="41">
        <v>0</v>
      </c>
      <c r="AD85" s="41">
        <v>0</v>
      </c>
      <c r="AE85" s="41">
        <v>0</v>
      </c>
      <c r="AF85" s="41">
        <v>0</v>
      </c>
      <c r="AG85" s="41">
        <v>0</v>
      </c>
      <c r="AH85" s="41">
        <v>0</v>
      </c>
      <c r="AI85" s="41">
        <v>0</v>
      </c>
      <c r="AJ85" s="41">
        <v>0</v>
      </c>
      <c r="AK85" s="41">
        <v>0</v>
      </c>
      <c r="AL85" s="41">
        <v>0</v>
      </c>
      <c r="AM85" s="41"/>
      <c r="AN85" s="41">
        <v>379</v>
      </c>
      <c r="AO85" s="41">
        <v>379</v>
      </c>
      <c r="AP85" s="40" t="s">
        <v>1713</v>
      </c>
      <c r="AQ85" s="36">
        <v>44972</v>
      </c>
      <c r="AR85" s="36"/>
      <c r="AS85" s="36"/>
      <c r="AT85" s="36">
        <v>44986</v>
      </c>
      <c r="AU85" s="36"/>
      <c r="AV85" s="38"/>
      <c r="AW85" s="40" t="s">
        <v>87</v>
      </c>
    </row>
    <row r="86" spans="1:49" s="34" customFormat="1" ht="93.6" x14ac:dyDescent="0.3">
      <c r="A86" s="39" t="s">
        <v>1714</v>
      </c>
      <c r="B86" s="36">
        <v>44901</v>
      </c>
      <c r="C86" s="37">
        <v>545</v>
      </c>
      <c r="D86" s="39" t="s">
        <v>1715</v>
      </c>
      <c r="E86" s="1" t="s">
        <v>1716</v>
      </c>
      <c r="F86" s="36">
        <v>44925</v>
      </c>
      <c r="G86" s="37" t="s">
        <v>1717</v>
      </c>
      <c r="H86" s="40" t="s">
        <v>224</v>
      </c>
      <c r="I86" s="40" t="s">
        <v>1706</v>
      </c>
      <c r="J86" s="41">
        <v>285753563.10000002</v>
      </c>
      <c r="K86" s="41">
        <v>285753563.10000002</v>
      </c>
      <c r="L86" s="30">
        <v>285753563.10000002</v>
      </c>
      <c r="M86" s="30">
        <v>285753563.10000002</v>
      </c>
      <c r="N86" s="40" t="s">
        <v>1661</v>
      </c>
      <c r="O86" s="40" t="s">
        <v>1707</v>
      </c>
      <c r="P86" s="40" t="s">
        <v>1032</v>
      </c>
      <c r="Q86" s="44">
        <v>0</v>
      </c>
      <c r="R86" s="37">
        <v>100</v>
      </c>
      <c r="S86" s="37" t="s">
        <v>1489</v>
      </c>
      <c r="T86" s="48">
        <v>30</v>
      </c>
      <c r="U86" s="30">
        <v>25813.33</v>
      </c>
      <c r="V86" s="41">
        <v>774399.9</v>
      </c>
      <c r="W86" s="41">
        <v>11070</v>
      </c>
      <c r="X86" s="41">
        <v>11070</v>
      </c>
      <c r="Y86" s="41">
        <v>0</v>
      </c>
      <c r="Z86" s="41">
        <v>0</v>
      </c>
      <c r="AA86" s="41">
        <v>0</v>
      </c>
      <c r="AB86" s="41">
        <v>0</v>
      </c>
      <c r="AC86" s="41">
        <v>0</v>
      </c>
      <c r="AD86" s="41">
        <v>0</v>
      </c>
      <c r="AE86" s="41">
        <v>0</v>
      </c>
      <c r="AF86" s="41">
        <v>0</v>
      </c>
      <c r="AG86" s="41">
        <v>0</v>
      </c>
      <c r="AH86" s="41">
        <v>0</v>
      </c>
      <c r="AI86" s="41">
        <v>0</v>
      </c>
      <c r="AJ86" s="41">
        <v>0</v>
      </c>
      <c r="AK86" s="41">
        <v>0</v>
      </c>
      <c r="AL86" s="41">
        <v>0</v>
      </c>
      <c r="AM86" s="41"/>
      <c r="AN86" s="41">
        <v>369</v>
      </c>
      <c r="AO86" s="41">
        <v>369</v>
      </c>
      <c r="AP86" s="40" t="s">
        <v>1718</v>
      </c>
      <c r="AQ86" s="36">
        <v>44972</v>
      </c>
      <c r="AR86" s="36"/>
      <c r="AS86" s="36"/>
      <c r="AT86" s="36">
        <v>44986</v>
      </c>
      <c r="AU86" s="36"/>
      <c r="AV86" s="38"/>
      <c r="AW86" s="40" t="s">
        <v>87</v>
      </c>
    </row>
    <row r="87" spans="1:49" s="34" customFormat="1" ht="96.75" customHeight="1" x14ac:dyDescent="0.3">
      <c r="A87" s="39" t="s">
        <v>1719</v>
      </c>
      <c r="B87" s="36">
        <v>44901</v>
      </c>
      <c r="C87" s="37">
        <v>545</v>
      </c>
      <c r="D87" s="39" t="s">
        <v>1720</v>
      </c>
      <c r="E87" s="1" t="s">
        <v>1721</v>
      </c>
      <c r="F87" s="36">
        <v>44925</v>
      </c>
      <c r="G87" s="37" t="s">
        <v>1722</v>
      </c>
      <c r="H87" s="40" t="s">
        <v>224</v>
      </c>
      <c r="I87" s="40" t="s">
        <v>1706</v>
      </c>
      <c r="J87" s="41">
        <v>104543986.5</v>
      </c>
      <c r="K87" s="41">
        <v>104543986.5</v>
      </c>
      <c r="L87" s="30">
        <v>104543986.5</v>
      </c>
      <c r="M87" s="30">
        <v>104543986.5</v>
      </c>
      <c r="N87" s="40" t="s">
        <v>1661</v>
      </c>
      <c r="O87" s="40" t="s">
        <v>1707</v>
      </c>
      <c r="P87" s="40" t="s">
        <v>1032</v>
      </c>
      <c r="Q87" s="44">
        <v>0</v>
      </c>
      <c r="R87" s="37">
        <v>100</v>
      </c>
      <c r="S87" s="37" t="s">
        <v>1489</v>
      </c>
      <c r="T87" s="48">
        <v>30</v>
      </c>
      <c r="U87" s="30">
        <v>25813.33</v>
      </c>
      <c r="V87" s="41">
        <v>774399.9</v>
      </c>
      <c r="W87" s="41">
        <v>4050</v>
      </c>
      <c r="X87" s="41">
        <v>4050</v>
      </c>
      <c r="Y87" s="41">
        <v>0</v>
      </c>
      <c r="Z87" s="41">
        <v>0</v>
      </c>
      <c r="AA87" s="41">
        <v>0</v>
      </c>
      <c r="AB87" s="41">
        <v>0</v>
      </c>
      <c r="AC87" s="41">
        <v>0</v>
      </c>
      <c r="AD87" s="41">
        <v>0</v>
      </c>
      <c r="AE87" s="41">
        <v>0</v>
      </c>
      <c r="AF87" s="41">
        <v>0</v>
      </c>
      <c r="AG87" s="41">
        <v>0</v>
      </c>
      <c r="AH87" s="41">
        <v>0</v>
      </c>
      <c r="AI87" s="41">
        <v>0</v>
      </c>
      <c r="AJ87" s="41">
        <v>0</v>
      </c>
      <c r="AK87" s="41">
        <v>0</v>
      </c>
      <c r="AL87" s="41">
        <v>0</v>
      </c>
      <c r="AM87" s="41"/>
      <c r="AN87" s="41">
        <v>135</v>
      </c>
      <c r="AO87" s="41">
        <v>135</v>
      </c>
      <c r="AP87" s="40" t="s">
        <v>1723</v>
      </c>
      <c r="AQ87" s="36">
        <v>44972</v>
      </c>
      <c r="AR87" s="36"/>
      <c r="AS87" s="36"/>
      <c r="AT87" s="36">
        <v>44986</v>
      </c>
      <c r="AU87" s="36"/>
      <c r="AV87" s="38"/>
      <c r="AW87" s="40" t="s">
        <v>87</v>
      </c>
    </row>
    <row r="88" spans="1:49" s="34" customFormat="1" ht="108" customHeight="1" x14ac:dyDescent="0.3">
      <c r="A88" s="39" t="s">
        <v>1724</v>
      </c>
      <c r="B88" s="36">
        <v>44901</v>
      </c>
      <c r="C88" s="37">
        <v>545</v>
      </c>
      <c r="D88" s="39" t="s">
        <v>1725</v>
      </c>
      <c r="E88" s="1" t="s">
        <v>1726</v>
      </c>
      <c r="F88" s="36">
        <v>44925</v>
      </c>
      <c r="G88" s="37" t="s">
        <v>1727</v>
      </c>
      <c r="H88" s="40" t="s">
        <v>224</v>
      </c>
      <c r="I88" s="40" t="s">
        <v>1706</v>
      </c>
      <c r="J88" s="41">
        <v>128550383.40000001</v>
      </c>
      <c r="K88" s="41">
        <v>128550383.40000001</v>
      </c>
      <c r="L88" s="30">
        <v>128550383.40000001</v>
      </c>
      <c r="M88" s="30">
        <v>128550383.40000001</v>
      </c>
      <c r="N88" s="40" t="s">
        <v>1661</v>
      </c>
      <c r="O88" s="40" t="s">
        <v>1707</v>
      </c>
      <c r="P88" s="40" t="s">
        <v>1032</v>
      </c>
      <c r="Q88" s="44">
        <v>0</v>
      </c>
      <c r="R88" s="37">
        <v>100</v>
      </c>
      <c r="S88" s="37" t="s">
        <v>1489</v>
      </c>
      <c r="T88" s="48">
        <v>30</v>
      </c>
      <c r="U88" s="30">
        <v>25813.33</v>
      </c>
      <c r="V88" s="41">
        <v>774399.9</v>
      </c>
      <c r="W88" s="41">
        <v>4980</v>
      </c>
      <c r="X88" s="41">
        <v>4980</v>
      </c>
      <c r="Y88" s="41">
        <v>0</v>
      </c>
      <c r="Z88" s="41">
        <v>0</v>
      </c>
      <c r="AA88" s="41">
        <v>0</v>
      </c>
      <c r="AB88" s="41">
        <v>0</v>
      </c>
      <c r="AC88" s="41">
        <v>0</v>
      </c>
      <c r="AD88" s="41">
        <v>0</v>
      </c>
      <c r="AE88" s="41">
        <v>0</v>
      </c>
      <c r="AF88" s="41">
        <v>0</v>
      </c>
      <c r="AG88" s="41">
        <v>0</v>
      </c>
      <c r="AH88" s="41">
        <v>0</v>
      </c>
      <c r="AI88" s="41">
        <v>0</v>
      </c>
      <c r="AJ88" s="41">
        <v>0</v>
      </c>
      <c r="AK88" s="41">
        <v>0</v>
      </c>
      <c r="AL88" s="41">
        <v>0</v>
      </c>
      <c r="AM88" s="41"/>
      <c r="AN88" s="41">
        <v>166</v>
      </c>
      <c r="AO88" s="41">
        <v>166</v>
      </c>
      <c r="AP88" s="40" t="s">
        <v>1728</v>
      </c>
      <c r="AQ88" s="36">
        <v>44972</v>
      </c>
      <c r="AR88" s="36"/>
      <c r="AS88" s="36"/>
      <c r="AT88" s="36">
        <v>44986</v>
      </c>
      <c r="AU88" s="36"/>
      <c r="AV88" s="38"/>
      <c r="AW88" s="40" t="s">
        <v>87</v>
      </c>
    </row>
    <row r="89" spans="1:49" s="34" customFormat="1" ht="72.75" customHeight="1" x14ac:dyDescent="0.3">
      <c r="A89" s="39" t="s">
        <v>1729</v>
      </c>
      <c r="B89" s="36">
        <v>44901</v>
      </c>
      <c r="C89" s="37">
        <v>545</v>
      </c>
      <c r="D89" s="39" t="s">
        <v>1730</v>
      </c>
      <c r="E89" s="1" t="s">
        <v>1731</v>
      </c>
      <c r="F89" s="36">
        <v>44925</v>
      </c>
      <c r="G89" s="37" t="s">
        <v>1732</v>
      </c>
      <c r="H89" s="40" t="s">
        <v>224</v>
      </c>
      <c r="I89" s="40" t="s">
        <v>1706</v>
      </c>
      <c r="J89" s="41">
        <v>219929571.59999999</v>
      </c>
      <c r="K89" s="41">
        <v>219929571.59999999</v>
      </c>
      <c r="L89" s="30">
        <v>219929571.59999999</v>
      </c>
      <c r="M89" s="30">
        <v>219929571.59999999</v>
      </c>
      <c r="N89" s="40" t="s">
        <v>1661</v>
      </c>
      <c r="O89" s="40" t="s">
        <v>1707</v>
      </c>
      <c r="P89" s="40" t="s">
        <v>1032</v>
      </c>
      <c r="Q89" s="44">
        <v>0</v>
      </c>
      <c r="R89" s="37">
        <v>100</v>
      </c>
      <c r="S89" s="37" t="s">
        <v>1489</v>
      </c>
      <c r="T89" s="48">
        <v>30</v>
      </c>
      <c r="U89" s="30">
        <v>25813.329999999998</v>
      </c>
      <c r="V89" s="41">
        <v>774399.89999999991</v>
      </c>
      <c r="W89" s="41">
        <v>8520</v>
      </c>
      <c r="X89" s="41">
        <v>8520</v>
      </c>
      <c r="Y89" s="41">
        <v>0</v>
      </c>
      <c r="Z89" s="41">
        <v>0</v>
      </c>
      <c r="AA89" s="41">
        <v>0</v>
      </c>
      <c r="AB89" s="41">
        <v>0</v>
      </c>
      <c r="AC89" s="41">
        <v>0</v>
      </c>
      <c r="AD89" s="41">
        <v>0</v>
      </c>
      <c r="AE89" s="41">
        <v>0</v>
      </c>
      <c r="AF89" s="41">
        <v>0</v>
      </c>
      <c r="AG89" s="41">
        <v>0</v>
      </c>
      <c r="AH89" s="41">
        <v>0</v>
      </c>
      <c r="AI89" s="41">
        <v>0</v>
      </c>
      <c r="AJ89" s="41">
        <v>0</v>
      </c>
      <c r="AK89" s="41">
        <v>0</v>
      </c>
      <c r="AL89" s="41">
        <v>0</v>
      </c>
      <c r="AM89" s="41"/>
      <c r="AN89" s="41">
        <v>284</v>
      </c>
      <c r="AO89" s="41">
        <v>284</v>
      </c>
      <c r="AP89" s="40" t="s">
        <v>1578</v>
      </c>
      <c r="AQ89" s="36">
        <v>45005</v>
      </c>
      <c r="AR89" s="36"/>
      <c r="AS89" s="36"/>
      <c r="AT89" s="36">
        <v>45021</v>
      </c>
      <c r="AU89" s="36"/>
      <c r="AV89" s="38"/>
      <c r="AW89" s="40" t="s">
        <v>87</v>
      </c>
    </row>
    <row r="90" spans="1:49" s="34" customFormat="1" ht="135.75" customHeight="1" x14ac:dyDescent="0.3">
      <c r="A90" s="39" t="s">
        <v>1733</v>
      </c>
      <c r="B90" s="36">
        <v>44901</v>
      </c>
      <c r="C90" s="37">
        <v>545</v>
      </c>
      <c r="D90" s="39" t="s">
        <v>1734</v>
      </c>
      <c r="E90" s="1" t="s">
        <v>1735</v>
      </c>
      <c r="F90" s="36">
        <v>44925</v>
      </c>
      <c r="G90" s="37" t="s">
        <v>1736</v>
      </c>
      <c r="H90" s="40" t="s">
        <v>224</v>
      </c>
      <c r="I90" s="40" t="s">
        <v>1588</v>
      </c>
      <c r="J90" s="41">
        <v>198983824</v>
      </c>
      <c r="K90" s="41">
        <v>198983824</v>
      </c>
      <c r="L90" s="30">
        <v>198983824</v>
      </c>
      <c r="M90" s="30">
        <v>198983824</v>
      </c>
      <c r="N90" s="40" t="s">
        <v>1589</v>
      </c>
      <c r="O90" s="40" t="s">
        <v>1590</v>
      </c>
      <c r="P90" s="40" t="s">
        <v>218</v>
      </c>
      <c r="Q90" s="44">
        <v>0</v>
      </c>
      <c r="R90" s="37">
        <v>100</v>
      </c>
      <c r="S90" s="37" t="s">
        <v>219</v>
      </c>
      <c r="T90" s="48">
        <v>5</v>
      </c>
      <c r="U90" s="30">
        <v>18666.400000000001</v>
      </c>
      <c r="V90" s="41">
        <v>93332</v>
      </c>
      <c r="W90" s="41">
        <v>10660</v>
      </c>
      <c r="X90" s="41">
        <v>5535</v>
      </c>
      <c r="Y90" s="41">
        <v>0</v>
      </c>
      <c r="Z90" s="41">
        <v>0</v>
      </c>
      <c r="AA90" s="41">
        <v>0</v>
      </c>
      <c r="AB90" s="41">
        <v>0</v>
      </c>
      <c r="AC90" s="41">
        <v>5125</v>
      </c>
      <c r="AD90" s="41">
        <v>0</v>
      </c>
      <c r="AE90" s="41">
        <v>0</v>
      </c>
      <c r="AF90" s="41">
        <v>0</v>
      </c>
      <c r="AG90" s="41">
        <v>0</v>
      </c>
      <c r="AH90" s="41">
        <v>0</v>
      </c>
      <c r="AI90" s="41">
        <v>0</v>
      </c>
      <c r="AJ90" s="41">
        <v>0</v>
      </c>
      <c r="AK90" s="41">
        <v>0</v>
      </c>
      <c r="AL90" s="41">
        <v>0</v>
      </c>
      <c r="AM90" s="41"/>
      <c r="AN90" s="41">
        <v>2132</v>
      </c>
      <c r="AO90" s="41">
        <v>2132</v>
      </c>
      <c r="AP90" s="40" t="s">
        <v>1737</v>
      </c>
      <c r="AQ90" s="36">
        <v>45031</v>
      </c>
      <c r="AR90" s="36">
        <v>45184</v>
      </c>
      <c r="AS90" s="36"/>
      <c r="AT90" s="36">
        <v>45046</v>
      </c>
      <c r="AU90" s="36">
        <v>45199</v>
      </c>
      <c r="AV90" s="38"/>
      <c r="AW90" s="40" t="s">
        <v>87</v>
      </c>
    </row>
    <row r="91" spans="1:49" s="34" customFormat="1" ht="93.6" x14ac:dyDescent="0.3">
      <c r="A91" s="39" t="s">
        <v>1738</v>
      </c>
      <c r="B91" s="36">
        <v>44901</v>
      </c>
      <c r="C91" s="37">
        <v>545</v>
      </c>
      <c r="D91" s="39" t="s">
        <v>1739</v>
      </c>
      <c r="E91" s="1" t="s">
        <v>1740</v>
      </c>
      <c r="F91" s="36">
        <v>44925</v>
      </c>
      <c r="G91" s="37" t="s">
        <v>1741</v>
      </c>
      <c r="H91" s="40" t="s">
        <v>878</v>
      </c>
      <c r="I91" s="40" t="s">
        <v>1486</v>
      </c>
      <c r="J91" s="41">
        <v>294445151</v>
      </c>
      <c r="K91" s="41">
        <v>294445151</v>
      </c>
      <c r="L91" s="30">
        <v>294445151</v>
      </c>
      <c r="M91" s="30">
        <v>294445151</v>
      </c>
      <c r="N91" s="40" t="s">
        <v>1487</v>
      </c>
      <c r="O91" s="40" t="s">
        <v>1488</v>
      </c>
      <c r="P91" s="40" t="s">
        <v>348</v>
      </c>
      <c r="Q91" s="44">
        <v>0</v>
      </c>
      <c r="R91" s="37">
        <v>100</v>
      </c>
      <c r="S91" s="37" t="s">
        <v>1489</v>
      </c>
      <c r="T91" s="48">
        <v>2</v>
      </c>
      <c r="U91" s="30">
        <v>333082.75</v>
      </c>
      <c r="V91" s="41">
        <v>666165.5</v>
      </c>
      <c r="W91" s="41">
        <v>884</v>
      </c>
      <c r="X91" s="41">
        <v>328</v>
      </c>
      <c r="Y91" s="41">
        <v>0</v>
      </c>
      <c r="Z91" s="41">
        <v>0</v>
      </c>
      <c r="AA91" s="41">
        <v>0</v>
      </c>
      <c r="AB91" s="41">
        <v>0</v>
      </c>
      <c r="AC91" s="41">
        <v>556</v>
      </c>
      <c r="AD91" s="41">
        <v>0</v>
      </c>
      <c r="AE91" s="41">
        <v>0</v>
      </c>
      <c r="AF91" s="41">
        <v>0</v>
      </c>
      <c r="AG91" s="41">
        <v>0</v>
      </c>
      <c r="AH91" s="41">
        <v>0</v>
      </c>
      <c r="AI91" s="41">
        <v>0</v>
      </c>
      <c r="AJ91" s="41">
        <v>0</v>
      </c>
      <c r="AK91" s="41">
        <v>0</v>
      </c>
      <c r="AL91" s="41">
        <v>0</v>
      </c>
      <c r="AM91" s="41"/>
      <c r="AN91" s="41">
        <v>442</v>
      </c>
      <c r="AO91" s="41">
        <v>442</v>
      </c>
      <c r="AP91" s="40" t="s">
        <v>1742</v>
      </c>
      <c r="AQ91" s="36">
        <v>44958</v>
      </c>
      <c r="AR91" s="36">
        <v>45047</v>
      </c>
      <c r="AS91" s="36"/>
      <c r="AT91" s="36">
        <v>44972</v>
      </c>
      <c r="AU91" s="36">
        <v>45061</v>
      </c>
      <c r="AV91" s="38"/>
      <c r="AW91" s="40" t="s">
        <v>87</v>
      </c>
    </row>
    <row r="92" spans="1:49" s="34" customFormat="1" ht="72" x14ac:dyDescent="0.3">
      <c r="A92" s="39" t="s">
        <v>1743</v>
      </c>
      <c r="B92" s="36">
        <v>44901</v>
      </c>
      <c r="C92" s="37">
        <v>545</v>
      </c>
      <c r="D92" s="39" t="s">
        <v>1744</v>
      </c>
      <c r="E92" s="1" t="s">
        <v>1745</v>
      </c>
      <c r="F92" s="36">
        <v>44925</v>
      </c>
      <c r="G92" s="37" t="s">
        <v>1746</v>
      </c>
      <c r="H92" s="40" t="s">
        <v>186</v>
      </c>
      <c r="I92" s="40" t="s">
        <v>1747</v>
      </c>
      <c r="J92" s="41">
        <v>257756727.44999999</v>
      </c>
      <c r="K92" s="41">
        <v>257756727.44999999</v>
      </c>
      <c r="L92" s="30">
        <v>257756727.44999999</v>
      </c>
      <c r="M92" s="30">
        <v>257756727.44999999</v>
      </c>
      <c r="N92" s="40" t="s">
        <v>1748</v>
      </c>
      <c r="O92" s="40" t="s">
        <v>1749</v>
      </c>
      <c r="P92" s="40" t="s">
        <v>190</v>
      </c>
      <c r="Q92" s="44">
        <v>0</v>
      </c>
      <c r="R92" s="37">
        <v>100</v>
      </c>
      <c r="S92" s="37" t="s">
        <v>219</v>
      </c>
      <c r="T92" s="48">
        <v>5</v>
      </c>
      <c r="U92" s="30">
        <v>904409.57</v>
      </c>
      <c r="V92" s="41">
        <v>4522047.8499999996</v>
      </c>
      <c r="W92" s="41">
        <v>285</v>
      </c>
      <c r="X92" s="41">
        <v>200</v>
      </c>
      <c r="Y92" s="41">
        <v>0</v>
      </c>
      <c r="Z92" s="41">
        <v>0</v>
      </c>
      <c r="AA92" s="41">
        <v>0</v>
      </c>
      <c r="AB92" s="41">
        <v>0</v>
      </c>
      <c r="AC92" s="41">
        <v>85</v>
      </c>
      <c r="AD92" s="41">
        <v>0</v>
      </c>
      <c r="AE92" s="41">
        <v>0</v>
      </c>
      <c r="AF92" s="41">
        <v>0</v>
      </c>
      <c r="AG92" s="41">
        <v>0</v>
      </c>
      <c r="AH92" s="41">
        <v>0</v>
      </c>
      <c r="AI92" s="41">
        <v>0</v>
      </c>
      <c r="AJ92" s="41">
        <v>0</v>
      </c>
      <c r="AK92" s="41">
        <v>0</v>
      </c>
      <c r="AL92" s="41">
        <v>0</v>
      </c>
      <c r="AM92" s="41"/>
      <c r="AN92" s="41">
        <v>57</v>
      </c>
      <c r="AO92" s="41">
        <v>57</v>
      </c>
      <c r="AP92" s="40" t="s">
        <v>1750</v>
      </c>
      <c r="AQ92" s="36">
        <v>44946</v>
      </c>
      <c r="AR92" s="36">
        <v>45108</v>
      </c>
      <c r="AS92" s="36"/>
      <c r="AT92" s="36">
        <v>44962</v>
      </c>
      <c r="AU92" s="36">
        <v>45122</v>
      </c>
      <c r="AV92" s="38"/>
      <c r="AW92" s="40" t="s">
        <v>87</v>
      </c>
    </row>
    <row r="93" spans="1:49" s="34" customFormat="1" ht="72" x14ac:dyDescent="0.3">
      <c r="A93" s="39" t="s">
        <v>1751</v>
      </c>
      <c r="B93" s="36">
        <v>44901</v>
      </c>
      <c r="C93" s="37">
        <v>545</v>
      </c>
      <c r="D93" s="39" t="s">
        <v>1752</v>
      </c>
      <c r="E93" s="1" t="s">
        <v>1753</v>
      </c>
      <c r="F93" s="36">
        <v>44925</v>
      </c>
      <c r="G93" s="37" t="s">
        <v>1754</v>
      </c>
      <c r="H93" s="40" t="s">
        <v>186</v>
      </c>
      <c r="I93" s="40" t="s">
        <v>1747</v>
      </c>
      <c r="J93" s="41">
        <v>117573244.09999999</v>
      </c>
      <c r="K93" s="41">
        <v>117573244.09999999</v>
      </c>
      <c r="L93" s="30">
        <v>117573244.09999999</v>
      </c>
      <c r="M93" s="30">
        <v>117573244.09999999</v>
      </c>
      <c r="N93" s="40" t="s">
        <v>1748</v>
      </c>
      <c r="O93" s="40" t="s">
        <v>1749</v>
      </c>
      <c r="P93" s="40" t="s">
        <v>190</v>
      </c>
      <c r="Q93" s="44">
        <v>0</v>
      </c>
      <c r="R93" s="37">
        <v>100</v>
      </c>
      <c r="S93" s="37" t="s">
        <v>219</v>
      </c>
      <c r="T93" s="48">
        <v>5</v>
      </c>
      <c r="U93" s="30">
        <v>904409.57</v>
      </c>
      <c r="V93" s="41">
        <v>4522047.8499999996</v>
      </c>
      <c r="W93" s="41">
        <v>130</v>
      </c>
      <c r="X93" s="41">
        <v>90</v>
      </c>
      <c r="Y93" s="41">
        <v>0</v>
      </c>
      <c r="Z93" s="41">
        <v>0</v>
      </c>
      <c r="AA93" s="41">
        <v>0</v>
      </c>
      <c r="AB93" s="41">
        <v>0</v>
      </c>
      <c r="AC93" s="41">
        <v>40</v>
      </c>
      <c r="AD93" s="41">
        <v>0</v>
      </c>
      <c r="AE93" s="41">
        <v>0</v>
      </c>
      <c r="AF93" s="41">
        <v>0</v>
      </c>
      <c r="AG93" s="41">
        <v>0</v>
      </c>
      <c r="AH93" s="41">
        <v>0</v>
      </c>
      <c r="AI93" s="41">
        <v>0</v>
      </c>
      <c r="AJ93" s="41">
        <v>0</v>
      </c>
      <c r="AK93" s="41">
        <v>0</v>
      </c>
      <c r="AL93" s="41">
        <v>0</v>
      </c>
      <c r="AM93" s="41"/>
      <c r="AN93" s="41">
        <v>26</v>
      </c>
      <c r="AO93" s="41">
        <v>26</v>
      </c>
      <c r="AP93" s="40" t="s">
        <v>1755</v>
      </c>
      <c r="AQ93" s="36">
        <v>44946</v>
      </c>
      <c r="AR93" s="36">
        <v>45108</v>
      </c>
      <c r="AS93" s="36"/>
      <c r="AT93" s="36">
        <v>44962</v>
      </c>
      <c r="AU93" s="36">
        <v>45122</v>
      </c>
      <c r="AV93" s="38"/>
      <c r="AW93" s="40" t="s">
        <v>87</v>
      </c>
    </row>
    <row r="94" spans="1:49" s="34" customFormat="1" ht="72" x14ac:dyDescent="0.3">
      <c r="A94" s="39" t="s">
        <v>1756</v>
      </c>
      <c r="B94" s="36">
        <v>44902</v>
      </c>
      <c r="C94" s="37">
        <v>545</v>
      </c>
      <c r="D94" s="39" t="s">
        <v>1757</v>
      </c>
      <c r="E94" s="1" t="s">
        <v>1758</v>
      </c>
      <c r="F94" s="36">
        <v>44935</v>
      </c>
      <c r="G94" s="37" t="s">
        <v>1759</v>
      </c>
      <c r="H94" s="40" t="s">
        <v>186</v>
      </c>
      <c r="I94" s="40" t="s">
        <v>1747</v>
      </c>
      <c r="J94" s="41">
        <v>284889014.55000001</v>
      </c>
      <c r="K94" s="41">
        <v>284889014.55000001</v>
      </c>
      <c r="L94" s="30">
        <v>339153588.75</v>
      </c>
      <c r="M94" s="30">
        <v>339153588.75</v>
      </c>
      <c r="N94" s="40" t="s">
        <v>1748</v>
      </c>
      <c r="O94" s="40" t="s">
        <v>1749</v>
      </c>
      <c r="P94" s="40" t="s">
        <v>190</v>
      </c>
      <c r="Q94" s="44">
        <v>0</v>
      </c>
      <c r="R94" s="37">
        <v>100</v>
      </c>
      <c r="S94" s="37" t="s">
        <v>219</v>
      </c>
      <c r="T94" s="48">
        <v>5</v>
      </c>
      <c r="U94" s="30">
        <v>904409.57</v>
      </c>
      <c r="V94" s="41">
        <v>4522047.8499999996</v>
      </c>
      <c r="W94" s="41">
        <v>375</v>
      </c>
      <c r="X94" s="41">
        <v>210</v>
      </c>
      <c r="Y94" s="41">
        <v>0</v>
      </c>
      <c r="Z94" s="41">
        <v>0</v>
      </c>
      <c r="AA94" s="41">
        <v>0</v>
      </c>
      <c r="AB94" s="41">
        <v>0</v>
      </c>
      <c r="AC94" s="41">
        <v>165</v>
      </c>
      <c r="AD94" s="41">
        <v>0</v>
      </c>
      <c r="AE94" s="41">
        <v>0</v>
      </c>
      <c r="AF94" s="41">
        <v>0</v>
      </c>
      <c r="AG94" s="41">
        <v>0</v>
      </c>
      <c r="AH94" s="41">
        <v>0</v>
      </c>
      <c r="AI94" s="41">
        <v>0</v>
      </c>
      <c r="AJ94" s="41">
        <v>0</v>
      </c>
      <c r="AK94" s="41">
        <v>0</v>
      </c>
      <c r="AL94" s="41">
        <v>0</v>
      </c>
      <c r="AM94" s="41"/>
      <c r="AN94" s="41">
        <v>75</v>
      </c>
      <c r="AO94" s="41">
        <v>75</v>
      </c>
      <c r="AP94" s="40" t="s">
        <v>1760</v>
      </c>
      <c r="AQ94" s="36">
        <v>44946</v>
      </c>
      <c r="AR94" s="36">
        <v>45108</v>
      </c>
      <c r="AS94" s="36"/>
      <c r="AT94" s="36">
        <v>44962</v>
      </c>
      <c r="AU94" s="36">
        <v>45122</v>
      </c>
      <c r="AV94" s="38"/>
      <c r="AW94" s="40" t="s">
        <v>87</v>
      </c>
    </row>
    <row r="95" spans="1:49" ht="72" x14ac:dyDescent="0.3">
      <c r="A95" s="39" t="s">
        <v>1761</v>
      </c>
      <c r="B95" s="36">
        <v>44902</v>
      </c>
      <c r="C95" s="37">
        <v>545</v>
      </c>
      <c r="D95" s="39" t="s">
        <v>1762</v>
      </c>
      <c r="E95" s="1" t="s">
        <v>1763</v>
      </c>
      <c r="F95" s="36">
        <v>44935</v>
      </c>
      <c r="G95" s="37" t="s">
        <v>1764</v>
      </c>
      <c r="H95" s="40" t="s">
        <v>186</v>
      </c>
      <c r="I95" s="40" t="s">
        <v>1747</v>
      </c>
      <c r="J95" s="41">
        <v>171837818.30000001</v>
      </c>
      <c r="K95" s="41">
        <v>171837818.30000001</v>
      </c>
      <c r="L95" s="30">
        <v>185403961.84999999</v>
      </c>
      <c r="M95" s="30">
        <v>185403961.84999999</v>
      </c>
      <c r="N95" s="40" t="s">
        <v>1748</v>
      </c>
      <c r="O95" s="40" t="s">
        <v>1749</v>
      </c>
      <c r="P95" s="40" t="s">
        <v>190</v>
      </c>
      <c r="Q95" s="44">
        <v>0</v>
      </c>
      <c r="R95" s="37">
        <v>100</v>
      </c>
      <c r="S95" s="37" t="s">
        <v>219</v>
      </c>
      <c r="T95" s="48">
        <v>5</v>
      </c>
      <c r="U95" s="30">
        <v>904409.57</v>
      </c>
      <c r="V95" s="41">
        <v>4522047.8499999996</v>
      </c>
      <c r="W95" s="41">
        <v>205</v>
      </c>
      <c r="X95" s="41">
        <v>135</v>
      </c>
      <c r="Y95" s="41">
        <v>0</v>
      </c>
      <c r="Z95" s="41">
        <v>0</v>
      </c>
      <c r="AA95" s="41">
        <v>0</v>
      </c>
      <c r="AB95" s="41">
        <v>0</v>
      </c>
      <c r="AC95" s="41">
        <v>70</v>
      </c>
      <c r="AD95" s="41">
        <v>0</v>
      </c>
      <c r="AE95" s="41">
        <v>0</v>
      </c>
      <c r="AF95" s="41">
        <v>0</v>
      </c>
      <c r="AG95" s="41">
        <v>0</v>
      </c>
      <c r="AH95" s="41">
        <v>0</v>
      </c>
      <c r="AI95" s="41">
        <v>0</v>
      </c>
      <c r="AJ95" s="41">
        <v>0</v>
      </c>
      <c r="AK95" s="41">
        <v>0</v>
      </c>
      <c r="AL95" s="41">
        <v>0</v>
      </c>
      <c r="AM95" s="41"/>
      <c r="AN95" s="41">
        <v>41</v>
      </c>
      <c r="AO95" s="41">
        <v>41</v>
      </c>
      <c r="AP95" s="40" t="s">
        <v>1765</v>
      </c>
      <c r="AQ95" s="36">
        <v>44946</v>
      </c>
      <c r="AR95" s="36">
        <v>45108</v>
      </c>
      <c r="AS95" s="36"/>
      <c r="AT95" s="36">
        <v>44962</v>
      </c>
      <c r="AU95" s="36">
        <v>45122</v>
      </c>
      <c r="AV95" s="38"/>
      <c r="AW95" s="40" t="s">
        <v>87</v>
      </c>
    </row>
    <row r="96" spans="1:49" ht="72" x14ac:dyDescent="0.3">
      <c r="A96" s="39" t="s">
        <v>1766</v>
      </c>
      <c r="B96" s="36">
        <v>44902</v>
      </c>
      <c r="C96" s="37">
        <v>545</v>
      </c>
      <c r="D96" s="39" t="s">
        <v>1767</v>
      </c>
      <c r="E96" s="1" t="s">
        <v>1768</v>
      </c>
      <c r="F96" s="36">
        <v>44935</v>
      </c>
      <c r="G96" s="37" t="s">
        <v>1769</v>
      </c>
      <c r="H96" s="40" t="s">
        <v>186</v>
      </c>
      <c r="I96" s="40" t="s">
        <v>1747</v>
      </c>
      <c r="J96" s="41">
        <v>293933110.25</v>
      </c>
      <c r="K96" s="41">
        <v>293933110.25</v>
      </c>
      <c r="L96" s="30">
        <v>339153588.75</v>
      </c>
      <c r="M96" s="30">
        <v>339153588.75</v>
      </c>
      <c r="N96" s="40" t="s">
        <v>1748</v>
      </c>
      <c r="O96" s="40" t="s">
        <v>1749</v>
      </c>
      <c r="P96" s="40" t="s">
        <v>190</v>
      </c>
      <c r="Q96" s="44">
        <v>0</v>
      </c>
      <c r="R96" s="37">
        <v>100</v>
      </c>
      <c r="S96" s="37" t="s">
        <v>219</v>
      </c>
      <c r="T96" s="48">
        <v>5</v>
      </c>
      <c r="U96" s="30">
        <v>904409.57</v>
      </c>
      <c r="V96" s="41">
        <v>4522047.8499999996</v>
      </c>
      <c r="W96" s="41">
        <v>375</v>
      </c>
      <c r="X96" s="41">
        <v>225</v>
      </c>
      <c r="Y96" s="41">
        <v>0</v>
      </c>
      <c r="Z96" s="41">
        <v>0</v>
      </c>
      <c r="AA96" s="41">
        <v>0</v>
      </c>
      <c r="AB96" s="41">
        <v>0</v>
      </c>
      <c r="AC96" s="41">
        <v>150</v>
      </c>
      <c r="AD96" s="41">
        <v>0</v>
      </c>
      <c r="AE96" s="41">
        <v>0</v>
      </c>
      <c r="AF96" s="41">
        <v>0</v>
      </c>
      <c r="AG96" s="41">
        <v>0</v>
      </c>
      <c r="AH96" s="41">
        <v>0</v>
      </c>
      <c r="AI96" s="41">
        <v>0</v>
      </c>
      <c r="AJ96" s="41">
        <v>0</v>
      </c>
      <c r="AK96" s="41">
        <v>0</v>
      </c>
      <c r="AL96" s="41">
        <v>0</v>
      </c>
      <c r="AM96" s="41"/>
      <c r="AN96" s="41">
        <v>75</v>
      </c>
      <c r="AO96" s="41">
        <v>75</v>
      </c>
      <c r="AP96" s="40" t="s">
        <v>1770</v>
      </c>
      <c r="AQ96" s="36">
        <v>44946</v>
      </c>
      <c r="AR96" s="36">
        <v>45108</v>
      </c>
      <c r="AS96" s="36"/>
      <c r="AT96" s="36">
        <v>44962</v>
      </c>
      <c r="AU96" s="36">
        <v>45122</v>
      </c>
      <c r="AV96" s="38"/>
      <c r="AW96" s="40" t="s">
        <v>87</v>
      </c>
    </row>
    <row r="97" spans="1:49" ht="72" x14ac:dyDescent="0.3">
      <c r="A97" s="39" t="s">
        <v>1771</v>
      </c>
      <c r="B97" s="36">
        <v>44902</v>
      </c>
      <c r="C97" s="37">
        <v>545</v>
      </c>
      <c r="D97" s="39" t="s">
        <v>1772</v>
      </c>
      <c r="E97" s="1" t="s">
        <v>1773</v>
      </c>
      <c r="F97" s="36">
        <v>44935</v>
      </c>
      <c r="G97" s="37" t="s">
        <v>1774</v>
      </c>
      <c r="H97" s="40" t="s">
        <v>186</v>
      </c>
      <c r="I97" s="40" t="s">
        <v>1747</v>
      </c>
      <c r="J97" s="41">
        <v>284889014.55000001</v>
      </c>
      <c r="K97" s="41">
        <v>284889014.55000001</v>
      </c>
      <c r="L97" s="30">
        <v>289411062.39999998</v>
      </c>
      <c r="M97" s="30">
        <v>289411062.39999998</v>
      </c>
      <c r="N97" s="40" t="s">
        <v>1748</v>
      </c>
      <c r="O97" s="40" t="s">
        <v>1749</v>
      </c>
      <c r="P97" s="40" t="s">
        <v>190</v>
      </c>
      <c r="Q97" s="44">
        <v>0</v>
      </c>
      <c r="R97" s="37">
        <v>100</v>
      </c>
      <c r="S97" s="37" t="s">
        <v>219</v>
      </c>
      <c r="T97" s="48">
        <v>5</v>
      </c>
      <c r="U97" s="30">
        <v>904409.57</v>
      </c>
      <c r="V97" s="41">
        <v>4522047.8499999996</v>
      </c>
      <c r="W97" s="41">
        <v>320</v>
      </c>
      <c r="X97" s="41">
        <v>210</v>
      </c>
      <c r="Y97" s="41">
        <v>0</v>
      </c>
      <c r="Z97" s="41">
        <v>0</v>
      </c>
      <c r="AA97" s="41">
        <v>0</v>
      </c>
      <c r="AB97" s="41">
        <v>0</v>
      </c>
      <c r="AC97" s="41">
        <v>110</v>
      </c>
      <c r="AD97" s="41">
        <v>0</v>
      </c>
      <c r="AE97" s="41">
        <v>0</v>
      </c>
      <c r="AF97" s="41">
        <v>0</v>
      </c>
      <c r="AG97" s="41">
        <v>0</v>
      </c>
      <c r="AH97" s="41">
        <v>0</v>
      </c>
      <c r="AI97" s="41">
        <v>0</v>
      </c>
      <c r="AJ97" s="41">
        <v>0</v>
      </c>
      <c r="AK97" s="41">
        <v>0</v>
      </c>
      <c r="AL97" s="41">
        <v>0</v>
      </c>
      <c r="AM97" s="41"/>
      <c r="AN97" s="41">
        <v>64</v>
      </c>
      <c r="AO97" s="41">
        <v>64</v>
      </c>
      <c r="AP97" s="40" t="s">
        <v>1775</v>
      </c>
      <c r="AQ97" s="36">
        <v>44946</v>
      </c>
      <c r="AR97" s="36">
        <v>45108</v>
      </c>
      <c r="AS97" s="36"/>
      <c r="AT97" s="36">
        <v>44962</v>
      </c>
      <c r="AU97" s="36">
        <v>45122</v>
      </c>
      <c r="AV97" s="38"/>
      <c r="AW97" s="40" t="s">
        <v>87</v>
      </c>
    </row>
    <row r="98" spans="1:49" ht="72" x14ac:dyDescent="0.3">
      <c r="A98" s="39" t="s">
        <v>1776</v>
      </c>
      <c r="B98" s="36">
        <v>44902</v>
      </c>
      <c r="C98" s="37">
        <v>545</v>
      </c>
      <c r="D98" s="39" t="s">
        <v>1777</v>
      </c>
      <c r="E98" s="1" t="s">
        <v>1778</v>
      </c>
      <c r="F98" s="36">
        <v>44935</v>
      </c>
      <c r="G98" s="37" t="s">
        <v>1779</v>
      </c>
      <c r="H98" s="40" t="s">
        <v>186</v>
      </c>
      <c r="I98" s="40" t="s">
        <v>1747</v>
      </c>
      <c r="J98" s="41">
        <v>244190583.90000001</v>
      </c>
      <c r="K98" s="41">
        <v>244190583.90000001</v>
      </c>
      <c r="L98" s="30">
        <v>298455158.10000002</v>
      </c>
      <c r="M98" s="30">
        <v>298455158.10000002</v>
      </c>
      <c r="N98" s="40" t="s">
        <v>1748</v>
      </c>
      <c r="O98" s="40" t="s">
        <v>1749</v>
      </c>
      <c r="P98" s="40" t="s">
        <v>190</v>
      </c>
      <c r="Q98" s="44">
        <v>0</v>
      </c>
      <c r="R98" s="37">
        <v>100</v>
      </c>
      <c r="S98" s="37" t="s">
        <v>219</v>
      </c>
      <c r="T98" s="48">
        <v>5</v>
      </c>
      <c r="U98" s="30">
        <v>904409.57000000007</v>
      </c>
      <c r="V98" s="41">
        <v>4522047.8500000006</v>
      </c>
      <c r="W98" s="41">
        <v>330</v>
      </c>
      <c r="X98" s="41">
        <v>330</v>
      </c>
      <c r="Y98" s="41">
        <v>0</v>
      </c>
      <c r="Z98" s="41">
        <v>0</v>
      </c>
      <c r="AA98" s="41">
        <v>0</v>
      </c>
      <c r="AB98" s="41">
        <v>0</v>
      </c>
      <c r="AC98" s="41">
        <v>0</v>
      </c>
      <c r="AD98" s="41">
        <v>0</v>
      </c>
      <c r="AE98" s="41">
        <v>0</v>
      </c>
      <c r="AF98" s="41">
        <v>0</v>
      </c>
      <c r="AG98" s="41">
        <v>0</v>
      </c>
      <c r="AH98" s="41">
        <v>0</v>
      </c>
      <c r="AI98" s="41">
        <v>0</v>
      </c>
      <c r="AJ98" s="41">
        <v>0</v>
      </c>
      <c r="AK98" s="41">
        <v>0</v>
      </c>
      <c r="AL98" s="41">
        <v>0</v>
      </c>
      <c r="AM98" s="41"/>
      <c r="AN98" s="41">
        <v>66</v>
      </c>
      <c r="AO98" s="41">
        <v>66</v>
      </c>
      <c r="AP98" s="40" t="s">
        <v>1265</v>
      </c>
      <c r="AQ98" s="36">
        <v>45108</v>
      </c>
      <c r="AR98" s="36"/>
      <c r="AS98" s="36"/>
      <c r="AT98" s="36">
        <v>45122</v>
      </c>
      <c r="AU98" s="36"/>
      <c r="AV98" s="38"/>
      <c r="AW98" s="40" t="s">
        <v>87</v>
      </c>
    </row>
    <row r="99" spans="1:49" ht="72" x14ac:dyDescent="0.3">
      <c r="A99" s="39" t="s">
        <v>1780</v>
      </c>
      <c r="B99" s="36">
        <v>44902</v>
      </c>
      <c r="C99" s="37">
        <v>545</v>
      </c>
      <c r="D99" s="39" t="s">
        <v>1781</v>
      </c>
      <c r="E99" s="1" t="s">
        <v>1782</v>
      </c>
      <c r="F99" s="36">
        <v>44935</v>
      </c>
      <c r="G99" s="37" t="s">
        <v>1783</v>
      </c>
      <c r="H99" s="40" t="s">
        <v>186</v>
      </c>
      <c r="I99" s="40" t="s">
        <v>1747</v>
      </c>
      <c r="J99" s="41">
        <v>298455158.10000002</v>
      </c>
      <c r="K99" s="41">
        <v>298455158.10000002</v>
      </c>
      <c r="L99" s="30">
        <v>298455158.10000002</v>
      </c>
      <c r="M99" s="30">
        <v>298455158.10000002</v>
      </c>
      <c r="N99" s="40" t="s">
        <v>1748</v>
      </c>
      <c r="O99" s="40" t="s">
        <v>1749</v>
      </c>
      <c r="P99" s="40" t="s">
        <v>190</v>
      </c>
      <c r="Q99" s="44">
        <v>0</v>
      </c>
      <c r="R99" s="37">
        <v>100</v>
      </c>
      <c r="S99" s="37" t="s">
        <v>219</v>
      </c>
      <c r="T99" s="48">
        <v>5</v>
      </c>
      <c r="U99" s="30">
        <v>904409.57000000007</v>
      </c>
      <c r="V99" s="41">
        <v>4522047.8500000006</v>
      </c>
      <c r="W99" s="41">
        <v>330</v>
      </c>
      <c r="X99" s="41">
        <v>330</v>
      </c>
      <c r="Y99" s="41">
        <v>0</v>
      </c>
      <c r="Z99" s="41">
        <v>0</v>
      </c>
      <c r="AA99" s="41">
        <v>0</v>
      </c>
      <c r="AB99" s="41">
        <v>0</v>
      </c>
      <c r="AC99" s="41">
        <v>0</v>
      </c>
      <c r="AD99" s="41">
        <v>0</v>
      </c>
      <c r="AE99" s="41">
        <v>0</v>
      </c>
      <c r="AF99" s="41">
        <v>0</v>
      </c>
      <c r="AG99" s="41">
        <v>0</v>
      </c>
      <c r="AH99" s="41">
        <v>0</v>
      </c>
      <c r="AI99" s="41">
        <v>0</v>
      </c>
      <c r="AJ99" s="41">
        <v>0</v>
      </c>
      <c r="AK99" s="41">
        <v>0</v>
      </c>
      <c r="AL99" s="41">
        <v>0</v>
      </c>
      <c r="AM99" s="41"/>
      <c r="AN99" s="41">
        <v>66</v>
      </c>
      <c r="AO99" s="41">
        <v>66</v>
      </c>
      <c r="AP99" s="40" t="s">
        <v>1265</v>
      </c>
      <c r="AQ99" s="36">
        <v>44946</v>
      </c>
      <c r="AR99" s="36"/>
      <c r="AS99" s="36"/>
      <c r="AT99" s="36">
        <v>44962</v>
      </c>
      <c r="AU99" s="36"/>
      <c r="AV99" s="38"/>
      <c r="AW99" s="40" t="s">
        <v>87</v>
      </c>
    </row>
    <row r="100" spans="1:49" ht="72" x14ac:dyDescent="0.3">
      <c r="A100" s="39" t="s">
        <v>1784</v>
      </c>
      <c r="B100" s="36">
        <v>44902</v>
      </c>
      <c r="C100" s="37">
        <v>545</v>
      </c>
      <c r="D100" s="39" t="s">
        <v>1785</v>
      </c>
      <c r="E100" s="1" t="s">
        <v>1786</v>
      </c>
      <c r="F100" s="36">
        <v>44935</v>
      </c>
      <c r="G100" s="37" t="s">
        <v>1787</v>
      </c>
      <c r="H100" s="40" t="s">
        <v>186</v>
      </c>
      <c r="I100" s="40" t="s">
        <v>1747</v>
      </c>
      <c r="J100" s="41">
        <v>221580344.65000001</v>
      </c>
      <c r="K100" s="41">
        <v>221580344.65000001</v>
      </c>
      <c r="L100" s="30">
        <v>221580344.65000001</v>
      </c>
      <c r="M100" s="30">
        <v>221580344.65000001</v>
      </c>
      <c r="N100" s="40" t="s">
        <v>1748</v>
      </c>
      <c r="O100" s="40" t="s">
        <v>1749</v>
      </c>
      <c r="P100" s="40" t="s">
        <v>190</v>
      </c>
      <c r="Q100" s="44">
        <v>0</v>
      </c>
      <c r="R100" s="37">
        <v>100</v>
      </c>
      <c r="S100" s="37" t="s">
        <v>219</v>
      </c>
      <c r="T100" s="48">
        <v>5</v>
      </c>
      <c r="U100" s="30">
        <v>904409.57000000007</v>
      </c>
      <c r="V100" s="41">
        <v>4522047.8500000006</v>
      </c>
      <c r="W100" s="41">
        <v>245</v>
      </c>
      <c r="X100" s="41">
        <v>170</v>
      </c>
      <c r="Y100" s="41">
        <v>0</v>
      </c>
      <c r="Z100" s="41">
        <v>0</v>
      </c>
      <c r="AA100" s="41">
        <v>0</v>
      </c>
      <c r="AB100" s="41">
        <v>0</v>
      </c>
      <c r="AC100" s="41">
        <v>75</v>
      </c>
      <c r="AD100" s="41">
        <v>0</v>
      </c>
      <c r="AE100" s="41">
        <v>0</v>
      </c>
      <c r="AF100" s="41">
        <v>0</v>
      </c>
      <c r="AG100" s="41">
        <v>0</v>
      </c>
      <c r="AH100" s="41">
        <v>0</v>
      </c>
      <c r="AI100" s="41">
        <v>0</v>
      </c>
      <c r="AJ100" s="41">
        <v>0</v>
      </c>
      <c r="AK100" s="41">
        <v>0</v>
      </c>
      <c r="AL100" s="41">
        <v>0</v>
      </c>
      <c r="AM100" s="41"/>
      <c r="AN100" s="41">
        <v>49</v>
      </c>
      <c r="AO100" s="41">
        <v>49</v>
      </c>
      <c r="AP100" s="40" t="s">
        <v>1788</v>
      </c>
      <c r="AQ100" s="36">
        <v>44946</v>
      </c>
      <c r="AR100" s="36">
        <v>45108</v>
      </c>
      <c r="AS100" s="36"/>
      <c r="AT100" s="36">
        <v>44962</v>
      </c>
      <c r="AU100" s="36">
        <v>45122</v>
      </c>
      <c r="AV100" s="38"/>
      <c r="AW100" s="40" t="s">
        <v>87</v>
      </c>
    </row>
    <row r="101" spans="1:49" ht="72" x14ac:dyDescent="0.3">
      <c r="A101" s="39" t="s">
        <v>1789</v>
      </c>
      <c r="B101" s="36">
        <v>44902</v>
      </c>
      <c r="C101" s="37">
        <v>545</v>
      </c>
      <c r="D101" s="39" t="s">
        <v>1790</v>
      </c>
      <c r="E101" s="1" t="s">
        <v>1791</v>
      </c>
      <c r="F101" s="36">
        <v>44935</v>
      </c>
      <c r="G101" s="37" t="s">
        <v>1792</v>
      </c>
      <c r="H101" s="40" t="s">
        <v>186</v>
      </c>
      <c r="I101" s="40" t="s">
        <v>1747</v>
      </c>
      <c r="J101" s="41">
        <v>293933110.25</v>
      </c>
      <c r="K101" s="41">
        <v>293933110.25</v>
      </c>
      <c r="L101" s="30">
        <v>321065397.35000002</v>
      </c>
      <c r="M101" s="30">
        <v>321065397.35000002</v>
      </c>
      <c r="N101" s="40" t="s">
        <v>1748</v>
      </c>
      <c r="O101" s="40" t="s">
        <v>1749</v>
      </c>
      <c r="P101" s="40" t="s">
        <v>190</v>
      </c>
      <c r="Q101" s="44">
        <v>0</v>
      </c>
      <c r="R101" s="37">
        <v>100</v>
      </c>
      <c r="S101" s="37" t="s">
        <v>219</v>
      </c>
      <c r="T101" s="48">
        <v>5</v>
      </c>
      <c r="U101" s="30">
        <v>904409.57000000007</v>
      </c>
      <c r="V101" s="41">
        <v>4522047.8500000006</v>
      </c>
      <c r="W101" s="41">
        <v>355</v>
      </c>
      <c r="X101" s="41">
        <v>225</v>
      </c>
      <c r="Y101" s="41">
        <v>0</v>
      </c>
      <c r="Z101" s="41">
        <v>0</v>
      </c>
      <c r="AA101" s="41">
        <v>0</v>
      </c>
      <c r="AB101" s="41">
        <v>0</v>
      </c>
      <c r="AC101" s="41">
        <v>130</v>
      </c>
      <c r="AD101" s="41">
        <v>0</v>
      </c>
      <c r="AE101" s="41">
        <v>0</v>
      </c>
      <c r="AF101" s="41">
        <v>0</v>
      </c>
      <c r="AG101" s="41">
        <v>0</v>
      </c>
      <c r="AH101" s="41">
        <v>0</v>
      </c>
      <c r="AI101" s="41">
        <v>0</v>
      </c>
      <c r="AJ101" s="41">
        <v>0</v>
      </c>
      <c r="AK101" s="41">
        <v>0</v>
      </c>
      <c r="AL101" s="41">
        <v>0</v>
      </c>
      <c r="AM101" s="41"/>
      <c r="AN101" s="41">
        <v>71</v>
      </c>
      <c r="AO101" s="41">
        <v>71</v>
      </c>
      <c r="AP101" s="40" t="s">
        <v>1793</v>
      </c>
      <c r="AQ101" s="36">
        <v>44946</v>
      </c>
      <c r="AR101" s="36">
        <v>45108</v>
      </c>
      <c r="AS101" s="36"/>
      <c r="AT101" s="36">
        <v>44962</v>
      </c>
      <c r="AU101" s="36">
        <v>45122</v>
      </c>
      <c r="AV101" s="38"/>
      <c r="AW101" s="40" t="s">
        <v>87</v>
      </c>
    </row>
    <row r="102" spans="1:49" ht="72" x14ac:dyDescent="0.3">
      <c r="A102" s="39" t="s">
        <v>1794</v>
      </c>
      <c r="B102" s="36">
        <v>44902</v>
      </c>
      <c r="C102" s="37">
        <v>545</v>
      </c>
      <c r="D102" s="39" t="s">
        <v>1795</v>
      </c>
      <c r="E102" s="1" t="s">
        <v>1796</v>
      </c>
      <c r="F102" s="36">
        <v>44935</v>
      </c>
      <c r="G102" s="37" t="s">
        <v>1797</v>
      </c>
      <c r="H102" s="40" t="s">
        <v>186</v>
      </c>
      <c r="I102" s="40" t="s">
        <v>1747</v>
      </c>
      <c r="J102" s="41">
        <v>167315770.44999999</v>
      </c>
      <c r="K102" s="41">
        <v>167315770.44999999</v>
      </c>
      <c r="L102" s="30">
        <v>167315770.44999999</v>
      </c>
      <c r="M102" s="30">
        <v>167315770.44999999</v>
      </c>
      <c r="N102" s="40" t="s">
        <v>1748</v>
      </c>
      <c r="O102" s="40" t="s">
        <v>1749</v>
      </c>
      <c r="P102" s="40" t="s">
        <v>190</v>
      </c>
      <c r="Q102" s="44">
        <v>0</v>
      </c>
      <c r="R102" s="37">
        <v>100</v>
      </c>
      <c r="S102" s="37" t="s">
        <v>219</v>
      </c>
      <c r="T102" s="48">
        <v>5</v>
      </c>
      <c r="U102" s="30">
        <v>904409.57</v>
      </c>
      <c r="V102" s="41">
        <v>4522047.8499999996</v>
      </c>
      <c r="W102" s="41">
        <v>185</v>
      </c>
      <c r="X102" s="41">
        <v>130</v>
      </c>
      <c r="Y102" s="41">
        <v>0</v>
      </c>
      <c r="Z102" s="41">
        <v>0</v>
      </c>
      <c r="AA102" s="41">
        <v>0</v>
      </c>
      <c r="AB102" s="41">
        <v>0</v>
      </c>
      <c r="AC102" s="41">
        <v>55</v>
      </c>
      <c r="AD102" s="41">
        <v>0</v>
      </c>
      <c r="AE102" s="41">
        <v>0</v>
      </c>
      <c r="AF102" s="41">
        <v>0</v>
      </c>
      <c r="AG102" s="41">
        <v>0</v>
      </c>
      <c r="AH102" s="41">
        <v>0</v>
      </c>
      <c r="AI102" s="41">
        <v>0</v>
      </c>
      <c r="AJ102" s="41">
        <v>0</v>
      </c>
      <c r="AK102" s="41">
        <v>0</v>
      </c>
      <c r="AL102" s="41">
        <v>0</v>
      </c>
      <c r="AM102" s="41"/>
      <c r="AN102" s="41">
        <v>37</v>
      </c>
      <c r="AO102" s="41">
        <v>37</v>
      </c>
      <c r="AP102" s="40" t="s">
        <v>1798</v>
      </c>
      <c r="AQ102" s="36">
        <v>44946</v>
      </c>
      <c r="AR102" s="36">
        <v>45108</v>
      </c>
      <c r="AS102" s="36"/>
      <c r="AT102" s="36">
        <v>44962</v>
      </c>
      <c r="AU102" s="36">
        <v>45122</v>
      </c>
      <c r="AV102" s="38"/>
      <c r="AW102" s="40" t="s">
        <v>87</v>
      </c>
    </row>
    <row r="103" spans="1:49" ht="72" x14ac:dyDescent="0.3">
      <c r="A103" s="39" t="s">
        <v>1799</v>
      </c>
      <c r="B103" s="36">
        <v>44902</v>
      </c>
      <c r="C103" s="37">
        <v>545</v>
      </c>
      <c r="D103" s="39" t="s">
        <v>1800</v>
      </c>
      <c r="E103" s="1" t="s">
        <v>1801</v>
      </c>
      <c r="F103" s="36">
        <v>44935</v>
      </c>
      <c r="G103" s="37" t="s">
        <v>1802</v>
      </c>
      <c r="H103" s="40" t="s">
        <v>1803</v>
      </c>
      <c r="I103" s="40" t="s">
        <v>1747</v>
      </c>
      <c r="J103" s="41">
        <v>230624440.34999999</v>
      </c>
      <c r="K103" s="41">
        <v>230624440.34999999</v>
      </c>
      <c r="L103" s="30">
        <v>257756727.44999999</v>
      </c>
      <c r="M103" s="30">
        <v>257756727.44999999</v>
      </c>
      <c r="N103" s="40" t="s">
        <v>1748</v>
      </c>
      <c r="O103" s="40" t="s">
        <v>1749</v>
      </c>
      <c r="P103" s="40" t="s">
        <v>190</v>
      </c>
      <c r="Q103" s="44">
        <v>0</v>
      </c>
      <c r="R103" s="37">
        <v>100</v>
      </c>
      <c r="S103" s="37" t="s">
        <v>219</v>
      </c>
      <c r="T103" s="48">
        <v>5</v>
      </c>
      <c r="U103" s="30">
        <v>904409.57</v>
      </c>
      <c r="V103" s="41">
        <v>4522047.8499999996</v>
      </c>
      <c r="W103" s="41">
        <v>285</v>
      </c>
      <c r="X103" s="41">
        <v>180</v>
      </c>
      <c r="Y103" s="41">
        <v>0</v>
      </c>
      <c r="Z103" s="41">
        <v>0</v>
      </c>
      <c r="AA103" s="41">
        <v>0</v>
      </c>
      <c r="AB103" s="41">
        <v>0</v>
      </c>
      <c r="AC103" s="41">
        <v>105</v>
      </c>
      <c r="AD103" s="41">
        <v>0</v>
      </c>
      <c r="AE103" s="41">
        <v>0</v>
      </c>
      <c r="AF103" s="41">
        <v>0</v>
      </c>
      <c r="AG103" s="41">
        <v>0</v>
      </c>
      <c r="AH103" s="41">
        <v>0</v>
      </c>
      <c r="AI103" s="41">
        <v>0</v>
      </c>
      <c r="AJ103" s="41">
        <v>0</v>
      </c>
      <c r="AK103" s="41">
        <v>0</v>
      </c>
      <c r="AL103" s="41">
        <v>0</v>
      </c>
      <c r="AM103" s="41"/>
      <c r="AN103" s="41">
        <v>57</v>
      </c>
      <c r="AO103" s="41">
        <v>57</v>
      </c>
      <c r="AP103" s="40" t="s">
        <v>1804</v>
      </c>
      <c r="AQ103" s="36">
        <v>44946</v>
      </c>
      <c r="AR103" s="36">
        <v>45108</v>
      </c>
      <c r="AS103" s="36"/>
      <c r="AT103" s="36">
        <v>44962</v>
      </c>
      <c r="AU103" s="36">
        <v>45122</v>
      </c>
      <c r="AV103" s="38"/>
      <c r="AW103" s="40" t="s">
        <v>87</v>
      </c>
    </row>
    <row r="104" spans="1:49" ht="63.6" customHeight="1" x14ac:dyDescent="0.3">
      <c r="A104" s="39" t="s">
        <v>1805</v>
      </c>
      <c r="B104" s="36">
        <v>44902</v>
      </c>
      <c r="C104" s="37">
        <v>545</v>
      </c>
      <c r="D104" s="39" t="s">
        <v>1806</v>
      </c>
      <c r="E104" s="1" t="s">
        <v>1807</v>
      </c>
      <c r="F104" s="36">
        <v>44935</v>
      </c>
      <c r="G104" s="37" t="s">
        <v>1808</v>
      </c>
      <c r="H104" s="40" t="s">
        <v>1803</v>
      </c>
      <c r="I104" s="40" t="s">
        <v>1747</v>
      </c>
      <c r="J104" s="41">
        <v>253234679.59999999</v>
      </c>
      <c r="K104" s="41">
        <v>253234679.59999999</v>
      </c>
      <c r="L104" s="30">
        <v>271322871</v>
      </c>
      <c r="M104" s="30">
        <v>271322871</v>
      </c>
      <c r="N104" s="40" t="s">
        <v>1748</v>
      </c>
      <c r="O104" s="40" t="s">
        <v>1749</v>
      </c>
      <c r="P104" s="40" t="s">
        <v>190</v>
      </c>
      <c r="Q104" s="44">
        <v>0</v>
      </c>
      <c r="R104" s="37">
        <v>100</v>
      </c>
      <c r="S104" s="37" t="s">
        <v>219</v>
      </c>
      <c r="T104" s="48">
        <v>5</v>
      </c>
      <c r="U104" s="30">
        <v>904409.57</v>
      </c>
      <c r="V104" s="41">
        <v>4522047.8499999996</v>
      </c>
      <c r="W104" s="41">
        <v>300</v>
      </c>
      <c r="X104" s="41">
        <v>180</v>
      </c>
      <c r="Y104" s="41">
        <v>0</v>
      </c>
      <c r="Z104" s="41">
        <v>0</v>
      </c>
      <c r="AA104" s="41">
        <v>0</v>
      </c>
      <c r="AB104" s="41">
        <v>0</v>
      </c>
      <c r="AC104" s="41">
        <v>120</v>
      </c>
      <c r="AD104" s="41">
        <v>0</v>
      </c>
      <c r="AE104" s="41">
        <v>0</v>
      </c>
      <c r="AF104" s="41">
        <v>0</v>
      </c>
      <c r="AG104" s="41">
        <v>0</v>
      </c>
      <c r="AH104" s="41">
        <v>0</v>
      </c>
      <c r="AI104" s="41">
        <v>0</v>
      </c>
      <c r="AJ104" s="41">
        <v>0</v>
      </c>
      <c r="AK104" s="41">
        <v>0</v>
      </c>
      <c r="AL104" s="41">
        <v>0</v>
      </c>
      <c r="AM104" s="41"/>
      <c r="AN104" s="41">
        <v>60</v>
      </c>
      <c r="AO104" s="41">
        <v>60</v>
      </c>
      <c r="AP104" s="40" t="s">
        <v>1809</v>
      </c>
      <c r="AQ104" s="36">
        <v>44946</v>
      </c>
      <c r="AR104" s="36">
        <v>45108</v>
      </c>
      <c r="AS104" s="36"/>
      <c r="AT104" s="36">
        <v>44962</v>
      </c>
      <c r="AU104" s="36">
        <v>45122</v>
      </c>
      <c r="AV104" s="38"/>
      <c r="AW104" s="40" t="s">
        <v>87</v>
      </c>
    </row>
    <row r="105" spans="1:49" ht="59.25" customHeight="1" x14ac:dyDescent="0.3">
      <c r="A105" s="39" t="s">
        <v>1810</v>
      </c>
      <c r="B105" s="36">
        <v>44903</v>
      </c>
      <c r="C105" s="37">
        <v>545</v>
      </c>
      <c r="D105" s="39" t="s">
        <v>1811</v>
      </c>
      <c r="E105" s="1" t="s">
        <v>1812</v>
      </c>
      <c r="F105" s="36">
        <v>44935</v>
      </c>
      <c r="G105" s="37" t="s">
        <v>1813</v>
      </c>
      <c r="H105" s="40" t="s">
        <v>186</v>
      </c>
      <c r="I105" s="40" t="s">
        <v>1747</v>
      </c>
      <c r="J105" s="41">
        <v>266800823.15000001</v>
      </c>
      <c r="K105" s="41">
        <v>266800823.15000001</v>
      </c>
      <c r="L105" s="30">
        <v>293933110.25</v>
      </c>
      <c r="M105" s="30">
        <v>293933110.25</v>
      </c>
      <c r="N105" s="40" t="s">
        <v>1748</v>
      </c>
      <c r="O105" s="40" t="s">
        <v>1749</v>
      </c>
      <c r="P105" s="40" t="s">
        <v>190</v>
      </c>
      <c r="Q105" s="44">
        <v>0</v>
      </c>
      <c r="R105" s="37">
        <v>100</v>
      </c>
      <c r="S105" s="37" t="s">
        <v>219</v>
      </c>
      <c r="T105" s="48">
        <v>5</v>
      </c>
      <c r="U105" s="30">
        <v>904409.57</v>
      </c>
      <c r="V105" s="41">
        <v>4522047.8499999996</v>
      </c>
      <c r="W105" s="41">
        <v>325</v>
      </c>
      <c r="X105" s="41">
        <v>205</v>
      </c>
      <c r="Y105" s="41">
        <v>0</v>
      </c>
      <c r="Z105" s="41">
        <v>0</v>
      </c>
      <c r="AA105" s="41">
        <v>0</v>
      </c>
      <c r="AB105" s="41">
        <v>0</v>
      </c>
      <c r="AC105" s="41">
        <v>120</v>
      </c>
      <c r="AD105" s="41">
        <v>0</v>
      </c>
      <c r="AE105" s="41">
        <v>0</v>
      </c>
      <c r="AF105" s="41">
        <v>0</v>
      </c>
      <c r="AG105" s="41">
        <v>0</v>
      </c>
      <c r="AH105" s="41">
        <v>0</v>
      </c>
      <c r="AI105" s="41">
        <v>0</v>
      </c>
      <c r="AJ105" s="41">
        <v>0</v>
      </c>
      <c r="AK105" s="41">
        <v>0</v>
      </c>
      <c r="AL105" s="41">
        <v>0</v>
      </c>
      <c r="AM105" s="41"/>
      <c r="AN105" s="41">
        <v>65</v>
      </c>
      <c r="AO105" s="41">
        <v>65</v>
      </c>
      <c r="AP105" s="40" t="s">
        <v>1814</v>
      </c>
      <c r="AQ105" s="36">
        <v>44946</v>
      </c>
      <c r="AR105" s="36">
        <v>45108</v>
      </c>
      <c r="AS105" s="36"/>
      <c r="AT105" s="36">
        <v>44962</v>
      </c>
      <c r="AU105" s="36">
        <v>45122</v>
      </c>
      <c r="AV105" s="38"/>
      <c r="AW105" s="40" t="s">
        <v>87</v>
      </c>
    </row>
    <row r="106" spans="1:49" ht="59.25" customHeight="1" x14ac:dyDescent="0.3">
      <c r="A106" s="39" t="s">
        <v>1815</v>
      </c>
      <c r="B106" s="36">
        <v>44903</v>
      </c>
      <c r="C106" s="37">
        <v>545</v>
      </c>
      <c r="D106" s="39" t="s">
        <v>1816</v>
      </c>
      <c r="E106" s="1" t="s">
        <v>1817</v>
      </c>
      <c r="F106" s="36">
        <v>44935</v>
      </c>
      <c r="G106" s="37" t="s">
        <v>1818</v>
      </c>
      <c r="H106" s="40" t="s">
        <v>186</v>
      </c>
      <c r="I106" s="40" t="s">
        <v>1747</v>
      </c>
      <c r="J106" s="37">
        <v>293933110.25</v>
      </c>
      <c r="K106" s="41">
        <v>293933110.25</v>
      </c>
      <c r="L106" s="30">
        <v>293933110.25</v>
      </c>
      <c r="M106" s="30">
        <v>293933110.25</v>
      </c>
      <c r="N106" s="40" t="s">
        <v>1748</v>
      </c>
      <c r="O106" s="40" t="s">
        <v>1749</v>
      </c>
      <c r="P106" s="40" t="s">
        <v>190</v>
      </c>
      <c r="Q106" s="44">
        <v>0</v>
      </c>
      <c r="R106" s="37">
        <v>100</v>
      </c>
      <c r="S106" s="37" t="s">
        <v>219</v>
      </c>
      <c r="T106" s="48">
        <v>5</v>
      </c>
      <c r="U106" s="30">
        <v>904409.57</v>
      </c>
      <c r="V106" s="41">
        <v>4522047.8499999996</v>
      </c>
      <c r="W106" s="41">
        <v>325</v>
      </c>
      <c r="X106" s="41">
        <v>225</v>
      </c>
      <c r="Y106" s="41">
        <v>0</v>
      </c>
      <c r="Z106" s="41">
        <v>0</v>
      </c>
      <c r="AA106" s="41">
        <v>0</v>
      </c>
      <c r="AB106" s="41">
        <v>0</v>
      </c>
      <c r="AC106" s="41">
        <v>100</v>
      </c>
      <c r="AD106" s="41">
        <v>0</v>
      </c>
      <c r="AE106" s="41">
        <v>0</v>
      </c>
      <c r="AF106" s="41">
        <v>0</v>
      </c>
      <c r="AG106" s="41">
        <v>0</v>
      </c>
      <c r="AH106" s="41">
        <v>0</v>
      </c>
      <c r="AI106" s="41">
        <v>0</v>
      </c>
      <c r="AJ106" s="41">
        <v>0</v>
      </c>
      <c r="AK106" s="41">
        <v>0</v>
      </c>
      <c r="AL106" s="41">
        <v>0</v>
      </c>
      <c r="AM106" s="41"/>
      <c r="AN106" s="41">
        <v>65</v>
      </c>
      <c r="AO106" s="41">
        <v>65</v>
      </c>
      <c r="AP106" s="40" t="s">
        <v>1819</v>
      </c>
      <c r="AQ106" s="36">
        <v>44946</v>
      </c>
      <c r="AR106" s="36">
        <v>45108</v>
      </c>
      <c r="AS106" s="36"/>
      <c r="AT106" s="36">
        <v>44962</v>
      </c>
      <c r="AU106" s="36">
        <v>45122</v>
      </c>
      <c r="AV106" s="38"/>
      <c r="AW106" s="40" t="s">
        <v>87</v>
      </c>
    </row>
    <row r="107" spans="1:49" ht="59.25" customHeight="1" x14ac:dyDescent="0.3">
      <c r="A107" s="39" t="s">
        <v>1820</v>
      </c>
      <c r="B107" s="36">
        <v>44903</v>
      </c>
      <c r="C107" s="37">
        <v>545</v>
      </c>
      <c r="D107" s="39" t="s">
        <v>1821</v>
      </c>
      <c r="E107" s="1" t="s">
        <v>1822</v>
      </c>
      <c r="F107" s="36">
        <v>44936</v>
      </c>
      <c r="G107" s="37" t="s">
        <v>1823</v>
      </c>
      <c r="H107" s="40" t="s">
        <v>186</v>
      </c>
      <c r="I107" s="40" t="s">
        <v>1747</v>
      </c>
      <c r="J107" s="41">
        <v>212536248.94999999</v>
      </c>
      <c r="K107" s="41">
        <v>212536248.94999999</v>
      </c>
      <c r="L107" s="30">
        <v>226102392.5</v>
      </c>
      <c r="M107" s="30">
        <v>226102392.5</v>
      </c>
      <c r="N107" s="40" t="s">
        <v>1748</v>
      </c>
      <c r="O107" s="40" t="s">
        <v>1749</v>
      </c>
      <c r="P107" s="40" t="s">
        <v>190</v>
      </c>
      <c r="Q107" s="44">
        <v>0</v>
      </c>
      <c r="R107" s="37">
        <v>100</v>
      </c>
      <c r="S107" s="37" t="s">
        <v>219</v>
      </c>
      <c r="T107" s="48">
        <v>5</v>
      </c>
      <c r="U107" s="30">
        <v>904409.57</v>
      </c>
      <c r="V107" s="41">
        <v>4522047.8499999996</v>
      </c>
      <c r="W107" s="41">
        <v>250</v>
      </c>
      <c r="X107" s="41">
        <v>165</v>
      </c>
      <c r="Y107" s="41">
        <v>0</v>
      </c>
      <c r="Z107" s="41">
        <v>0</v>
      </c>
      <c r="AA107" s="41">
        <v>0</v>
      </c>
      <c r="AB107" s="41">
        <v>0</v>
      </c>
      <c r="AC107" s="41">
        <v>85</v>
      </c>
      <c r="AD107" s="41">
        <v>0</v>
      </c>
      <c r="AE107" s="41">
        <v>0</v>
      </c>
      <c r="AF107" s="41">
        <v>0</v>
      </c>
      <c r="AG107" s="41">
        <v>0</v>
      </c>
      <c r="AH107" s="41">
        <v>0</v>
      </c>
      <c r="AI107" s="41">
        <v>0</v>
      </c>
      <c r="AJ107" s="41">
        <v>0</v>
      </c>
      <c r="AK107" s="41">
        <v>0</v>
      </c>
      <c r="AL107" s="41">
        <v>0</v>
      </c>
      <c r="AM107" s="41"/>
      <c r="AN107" s="41">
        <v>50</v>
      </c>
      <c r="AO107" s="41">
        <v>50</v>
      </c>
      <c r="AP107" s="40" t="s">
        <v>1824</v>
      </c>
      <c r="AQ107" s="36">
        <v>44946</v>
      </c>
      <c r="AR107" s="36">
        <v>45108</v>
      </c>
      <c r="AS107" s="36"/>
      <c r="AT107" s="36">
        <v>44962</v>
      </c>
      <c r="AU107" s="36">
        <v>45122</v>
      </c>
      <c r="AV107" s="38"/>
      <c r="AW107" s="40" t="s">
        <v>87</v>
      </c>
    </row>
    <row r="108" spans="1:49" ht="59.25" customHeight="1" x14ac:dyDescent="0.3">
      <c r="A108" s="39" t="s">
        <v>1825</v>
      </c>
      <c r="B108" s="36">
        <v>44903</v>
      </c>
      <c r="C108" s="37">
        <v>545</v>
      </c>
      <c r="D108" s="39" t="s">
        <v>1826</v>
      </c>
      <c r="E108" s="1" t="s">
        <v>1827</v>
      </c>
      <c r="F108" s="36">
        <v>44936</v>
      </c>
      <c r="G108" s="37" t="s">
        <v>1828</v>
      </c>
      <c r="H108" s="40" t="s">
        <v>186</v>
      </c>
      <c r="I108" s="40" t="s">
        <v>1747</v>
      </c>
      <c r="J108" s="41">
        <v>271322871</v>
      </c>
      <c r="K108" s="41">
        <v>271322871</v>
      </c>
      <c r="L108" s="30">
        <v>307499253.80000001</v>
      </c>
      <c r="M108" s="30">
        <v>307499253.80000001</v>
      </c>
      <c r="N108" s="40" t="s">
        <v>1748</v>
      </c>
      <c r="O108" s="40" t="s">
        <v>1749</v>
      </c>
      <c r="P108" s="40" t="s">
        <v>190</v>
      </c>
      <c r="Q108" s="44">
        <v>0</v>
      </c>
      <c r="R108" s="37">
        <v>100</v>
      </c>
      <c r="S108" s="37" t="s">
        <v>219</v>
      </c>
      <c r="T108" s="48">
        <v>5</v>
      </c>
      <c r="U108" s="30">
        <v>904409.57000000007</v>
      </c>
      <c r="V108" s="41">
        <v>4522047.8500000006</v>
      </c>
      <c r="W108" s="41">
        <v>340</v>
      </c>
      <c r="X108" s="41">
        <v>210</v>
      </c>
      <c r="Y108" s="41">
        <v>0</v>
      </c>
      <c r="Z108" s="41">
        <v>0</v>
      </c>
      <c r="AA108" s="41">
        <v>0</v>
      </c>
      <c r="AB108" s="41">
        <v>0</v>
      </c>
      <c r="AC108" s="41">
        <v>130</v>
      </c>
      <c r="AD108" s="41">
        <v>0</v>
      </c>
      <c r="AE108" s="41">
        <v>0</v>
      </c>
      <c r="AF108" s="41">
        <v>0</v>
      </c>
      <c r="AG108" s="41">
        <v>0</v>
      </c>
      <c r="AH108" s="41">
        <v>0</v>
      </c>
      <c r="AI108" s="41">
        <v>0</v>
      </c>
      <c r="AJ108" s="41">
        <v>0</v>
      </c>
      <c r="AK108" s="41">
        <v>0</v>
      </c>
      <c r="AL108" s="41">
        <v>0</v>
      </c>
      <c r="AM108" s="41"/>
      <c r="AN108" s="41">
        <v>68</v>
      </c>
      <c r="AO108" s="41">
        <v>68</v>
      </c>
      <c r="AP108" s="40" t="s">
        <v>1829</v>
      </c>
      <c r="AQ108" s="36">
        <v>44946</v>
      </c>
      <c r="AR108" s="36">
        <v>45108</v>
      </c>
      <c r="AS108" s="36"/>
      <c r="AT108" s="36">
        <v>44962</v>
      </c>
      <c r="AU108" s="36">
        <v>45122</v>
      </c>
      <c r="AV108" s="38"/>
      <c r="AW108" s="40" t="s">
        <v>87</v>
      </c>
    </row>
    <row r="109" spans="1:49" ht="59.25" customHeight="1" x14ac:dyDescent="0.3">
      <c r="A109" s="39" t="s">
        <v>1830</v>
      </c>
      <c r="B109" s="36">
        <v>44903</v>
      </c>
      <c r="C109" s="37">
        <v>545</v>
      </c>
      <c r="D109" s="39" t="s">
        <v>1831</v>
      </c>
      <c r="E109" s="1" t="s">
        <v>1832</v>
      </c>
      <c r="F109" s="36">
        <v>44936</v>
      </c>
      <c r="G109" s="37" t="s">
        <v>1833</v>
      </c>
      <c r="H109" s="40" t="s">
        <v>186</v>
      </c>
      <c r="I109" s="40" t="s">
        <v>1747</v>
      </c>
      <c r="J109" s="41">
        <v>271322871</v>
      </c>
      <c r="K109" s="41">
        <v>271322871</v>
      </c>
      <c r="L109" s="30">
        <v>271322871</v>
      </c>
      <c r="M109" s="30">
        <v>271322871</v>
      </c>
      <c r="N109" s="40" t="s">
        <v>1748</v>
      </c>
      <c r="O109" s="40" t="s">
        <v>1749</v>
      </c>
      <c r="P109" s="40" t="s">
        <v>190</v>
      </c>
      <c r="Q109" s="44">
        <v>0</v>
      </c>
      <c r="R109" s="37">
        <v>100</v>
      </c>
      <c r="S109" s="37" t="s">
        <v>219</v>
      </c>
      <c r="T109" s="48">
        <v>5</v>
      </c>
      <c r="U109" s="30">
        <v>904409.57</v>
      </c>
      <c r="V109" s="41">
        <v>4522047.8499999996</v>
      </c>
      <c r="W109" s="41">
        <v>300</v>
      </c>
      <c r="X109" s="41">
        <v>210</v>
      </c>
      <c r="Y109" s="41">
        <v>0</v>
      </c>
      <c r="Z109" s="41">
        <v>0</v>
      </c>
      <c r="AA109" s="41">
        <v>0</v>
      </c>
      <c r="AB109" s="41">
        <v>0</v>
      </c>
      <c r="AC109" s="41">
        <v>90</v>
      </c>
      <c r="AD109" s="41">
        <v>0</v>
      </c>
      <c r="AE109" s="41">
        <v>0</v>
      </c>
      <c r="AF109" s="41">
        <v>0</v>
      </c>
      <c r="AG109" s="41">
        <v>0</v>
      </c>
      <c r="AH109" s="41">
        <v>0</v>
      </c>
      <c r="AI109" s="41">
        <v>0</v>
      </c>
      <c r="AJ109" s="41">
        <v>0</v>
      </c>
      <c r="AK109" s="41">
        <v>0</v>
      </c>
      <c r="AL109" s="41">
        <v>0</v>
      </c>
      <c r="AM109" s="41"/>
      <c r="AN109" s="41">
        <v>60</v>
      </c>
      <c r="AO109" s="41">
        <v>60</v>
      </c>
      <c r="AP109" s="40" t="s">
        <v>1834</v>
      </c>
      <c r="AQ109" s="36">
        <v>44946</v>
      </c>
      <c r="AR109" s="36">
        <v>45108</v>
      </c>
      <c r="AS109" s="36"/>
      <c r="AT109" s="36">
        <v>44962</v>
      </c>
      <c r="AU109" s="36">
        <v>45122</v>
      </c>
      <c r="AV109" s="38"/>
      <c r="AW109" s="40" t="s">
        <v>87</v>
      </c>
    </row>
    <row r="110" spans="1:49" ht="59.25" customHeight="1" x14ac:dyDescent="0.3">
      <c r="A110" s="39" t="s">
        <v>1835</v>
      </c>
      <c r="B110" s="36">
        <v>44903</v>
      </c>
      <c r="C110" s="37">
        <v>545</v>
      </c>
      <c r="D110" s="39" t="s">
        <v>1836</v>
      </c>
      <c r="E110" s="1" t="s">
        <v>1837</v>
      </c>
      <c r="F110" s="36">
        <v>44936</v>
      </c>
      <c r="G110" s="37" t="s">
        <v>1838</v>
      </c>
      <c r="H110" s="40" t="s">
        <v>186</v>
      </c>
      <c r="I110" s="40" t="s">
        <v>1747</v>
      </c>
      <c r="J110" s="41">
        <v>280366966.69999999</v>
      </c>
      <c r="K110" s="41">
        <v>280366966.69999999</v>
      </c>
      <c r="L110" s="30">
        <v>298455158.10000002</v>
      </c>
      <c r="M110" s="30">
        <v>298455158.10000002</v>
      </c>
      <c r="N110" s="40" t="s">
        <v>1748</v>
      </c>
      <c r="O110" s="40" t="s">
        <v>1749</v>
      </c>
      <c r="P110" s="40" t="s">
        <v>190</v>
      </c>
      <c r="Q110" s="44">
        <v>0</v>
      </c>
      <c r="R110" s="37">
        <v>100</v>
      </c>
      <c r="S110" s="37" t="s">
        <v>219</v>
      </c>
      <c r="T110" s="48">
        <v>5</v>
      </c>
      <c r="U110" s="30">
        <v>904409.57000000007</v>
      </c>
      <c r="V110" s="41">
        <v>4522047.8500000006</v>
      </c>
      <c r="W110" s="41">
        <v>330</v>
      </c>
      <c r="X110" s="41">
        <v>215</v>
      </c>
      <c r="Y110" s="41">
        <v>0</v>
      </c>
      <c r="Z110" s="41">
        <v>0</v>
      </c>
      <c r="AA110" s="41">
        <v>0</v>
      </c>
      <c r="AB110" s="41">
        <v>0</v>
      </c>
      <c r="AC110" s="41">
        <v>115</v>
      </c>
      <c r="AD110" s="41">
        <v>0</v>
      </c>
      <c r="AE110" s="41">
        <v>0</v>
      </c>
      <c r="AF110" s="41">
        <v>0</v>
      </c>
      <c r="AG110" s="41">
        <v>0</v>
      </c>
      <c r="AH110" s="41">
        <v>0</v>
      </c>
      <c r="AI110" s="41">
        <v>0</v>
      </c>
      <c r="AJ110" s="41">
        <v>0</v>
      </c>
      <c r="AK110" s="41">
        <v>0</v>
      </c>
      <c r="AL110" s="41">
        <v>0</v>
      </c>
      <c r="AM110" s="41"/>
      <c r="AN110" s="41">
        <v>66</v>
      </c>
      <c r="AO110" s="41">
        <v>66</v>
      </c>
      <c r="AP110" s="40" t="s">
        <v>1839</v>
      </c>
      <c r="AQ110" s="36">
        <v>44946</v>
      </c>
      <c r="AR110" s="36">
        <v>45108</v>
      </c>
      <c r="AS110" s="36"/>
      <c r="AT110" s="36">
        <v>44962</v>
      </c>
      <c r="AU110" s="36">
        <v>45122</v>
      </c>
      <c r="AV110" s="38"/>
      <c r="AW110" s="40" t="s">
        <v>87</v>
      </c>
    </row>
    <row r="111" spans="1:49" s="34" customFormat="1" ht="59.25" customHeight="1" x14ac:dyDescent="0.3">
      <c r="A111" s="39" t="s">
        <v>1840</v>
      </c>
      <c r="B111" s="36">
        <v>44903</v>
      </c>
      <c r="C111" s="37">
        <v>545</v>
      </c>
      <c r="D111" s="39" t="s">
        <v>1841</v>
      </c>
      <c r="E111" s="1" t="s">
        <v>1842</v>
      </c>
      <c r="F111" s="36">
        <v>44936</v>
      </c>
      <c r="G111" s="37" t="s">
        <v>1843</v>
      </c>
      <c r="H111" s="40" t="s">
        <v>186</v>
      </c>
      <c r="I111" s="40" t="s">
        <v>1747</v>
      </c>
      <c r="J111" s="41">
        <v>293933110.25</v>
      </c>
      <c r="K111" s="41">
        <v>293933110.25</v>
      </c>
      <c r="L111" s="30">
        <v>330109493.05000001</v>
      </c>
      <c r="M111" s="30">
        <v>330109493.05000001</v>
      </c>
      <c r="N111" s="40" t="s">
        <v>1748</v>
      </c>
      <c r="O111" s="40" t="s">
        <v>1749</v>
      </c>
      <c r="P111" s="40" t="s">
        <v>190</v>
      </c>
      <c r="Q111" s="44">
        <v>0</v>
      </c>
      <c r="R111" s="37">
        <v>100</v>
      </c>
      <c r="S111" s="37" t="s">
        <v>219</v>
      </c>
      <c r="T111" s="48">
        <v>5</v>
      </c>
      <c r="U111" s="30">
        <v>904409.57000000007</v>
      </c>
      <c r="V111" s="41">
        <v>4522047.8500000006</v>
      </c>
      <c r="W111" s="41">
        <v>365</v>
      </c>
      <c r="X111" s="41">
        <v>220</v>
      </c>
      <c r="Y111" s="41">
        <v>0</v>
      </c>
      <c r="Z111" s="41">
        <v>0</v>
      </c>
      <c r="AA111" s="41">
        <v>0</v>
      </c>
      <c r="AB111" s="41">
        <v>0</v>
      </c>
      <c r="AC111" s="41">
        <v>145</v>
      </c>
      <c r="AD111" s="41">
        <v>0</v>
      </c>
      <c r="AE111" s="41">
        <v>0</v>
      </c>
      <c r="AF111" s="41">
        <v>0</v>
      </c>
      <c r="AG111" s="41">
        <v>0</v>
      </c>
      <c r="AH111" s="41">
        <v>0</v>
      </c>
      <c r="AI111" s="41">
        <v>0</v>
      </c>
      <c r="AJ111" s="41">
        <v>0</v>
      </c>
      <c r="AK111" s="41">
        <v>0</v>
      </c>
      <c r="AL111" s="41">
        <v>0</v>
      </c>
      <c r="AM111" s="41"/>
      <c r="AN111" s="41">
        <v>73</v>
      </c>
      <c r="AO111" s="41">
        <v>73</v>
      </c>
      <c r="AP111" s="40" t="s">
        <v>1844</v>
      </c>
      <c r="AQ111" s="36">
        <v>44946</v>
      </c>
      <c r="AR111" s="36">
        <v>45108</v>
      </c>
      <c r="AS111" s="36"/>
      <c r="AT111" s="36">
        <v>44962</v>
      </c>
      <c r="AU111" s="36">
        <v>45122</v>
      </c>
      <c r="AV111" s="38"/>
      <c r="AW111" s="40" t="s">
        <v>87</v>
      </c>
    </row>
    <row r="112" spans="1:49" s="34" customFormat="1" ht="59.25" customHeight="1" x14ac:dyDescent="0.3">
      <c r="A112" s="39" t="s">
        <v>1845</v>
      </c>
      <c r="B112" s="36">
        <v>44903</v>
      </c>
      <c r="C112" s="37">
        <v>545</v>
      </c>
      <c r="D112" s="39" t="s">
        <v>1846</v>
      </c>
      <c r="E112" s="1" t="s">
        <v>1847</v>
      </c>
      <c r="F112" s="36">
        <v>44936</v>
      </c>
      <c r="G112" s="37" t="s">
        <v>1848</v>
      </c>
      <c r="H112" s="40" t="s">
        <v>186</v>
      </c>
      <c r="I112" s="40" t="s">
        <v>1747</v>
      </c>
      <c r="J112" s="37">
        <v>293933110.25</v>
      </c>
      <c r="K112" s="41">
        <v>293933110.25</v>
      </c>
      <c r="L112" s="30">
        <v>307499253.80000001</v>
      </c>
      <c r="M112" s="30">
        <v>307499253.80000001</v>
      </c>
      <c r="N112" s="40" t="s">
        <v>1748</v>
      </c>
      <c r="O112" s="40" t="s">
        <v>1749</v>
      </c>
      <c r="P112" s="40" t="s">
        <v>190</v>
      </c>
      <c r="Q112" s="44">
        <v>0</v>
      </c>
      <c r="R112" s="37">
        <v>100</v>
      </c>
      <c r="S112" s="37" t="s">
        <v>219</v>
      </c>
      <c r="T112" s="48">
        <v>5</v>
      </c>
      <c r="U112" s="30">
        <v>904409.57000000007</v>
      </c>
      <c r="V112" s="41">
        <v>4522047.8500000006</v>
      </c>
      <c r="W112" s="41">
        <v>340</v>
      </c>
      <c r="X112" s="41">
        <v>225</v>
      </c>
      <c r="Y112" s="41">
        <v>0</v>
      </c>
      <c r="Z112" s="41">
        <v>0</v>
      </c>
      <c r="AA112" s="41">
        <v>0</v>
      </c>
      <c r="AB112" s="41">
        <v>0</v>
      </c>
      <c r="AC112" s="41">
        <v>115</v>
      </c>
      <c r="AD112" s="41">
        <v>0</v>
      </c>
      <c r="AE112" s="41">
        <v>0</v>
      </c>
      <c r="AF112" s="41">
        <v>0</v>
      </c>
      <c r="AG112" s="41">
        <v>0</v>
      </c>
      <c r="AH112" s="41">
        <v>0</v>
      </c>
      <c r="AI112" s="41">
        <v>0</v>
      </c>
      <c r="AJ112" s="41">
        <v>0</v>
      </c>
      <c r="AK112" s="41">
        <v>0</v>
      </c>
      <c r="AL112" s="41">
        <v>0</v>
      </c>
      <c r="AM112" s="41"/>
      <c r="AN112" s="41">
        <v>68</v>
      </c>
      <c r="AO112" s="41">
        <v>68</v>
      </c>
      <c r="AP112" s="40" t="s">
        <v>1849</v>
      </c>
      <c r="AQ112" s="36">
        <v>44946</v>
      </c>
      <c r="AR112" s="36">
        <v>45108</v>
      </c>
      <c r="AS112" s="36"/>
      <c r="AT112" s="36">
        <v>44962</v>
      </c>
      <c r="AU112" s="36">
        <v>45122</v>
      </c>
      <c r="AV112" s="38"/>
      <c r="AW112" s="40" t="s">
        <v>87</v>
      </c>
    </row>
    <row r="113" spans="1:49" s="34" customFormat="1" ht="59.25" customHeight="1" x14ac:dyDescent="0.3">
      <c r="A113" s="39" t="s">
        <v>1850</v>
      </c>
      <c r="B113" s="36">
        <v>44903</v>
      </c>
      <c r="C113" s="37">
        <v>545</v>
      </c>
      <c r="D113" s="39" t="s">
        <v>1851</v>
      </c>
      <c r="E113" s="1" t="s">
        <v>1852</v>
      </c>
      <c r="F113" s="36">
        <v>44936</v>
      </c>
      <c r="G113" s="37" t="s">
        <v>1853</v>
      </c>
      <c r="H113" s="40" t="s">
        <v>186</v>
      </c>
      <c r="I113" s="40" t="s">
        <v>1747</v>
      </c>
      <c r="J113" s="41">
        <v>298455158.10000002</v>
      </c>
      <c r="K113" s="41">
        <v>298455158.10000002</v>
      </c>
      <c r="L113" s="30">
        <v>298455158.10000002</v>
      </c>
      <c r="M113" s="30">
        <v>298455158.10000002</v>
      </c>
      <c r="N113" s="40" t="s">
        <v>1748</v>
      </c>
      <c r="O113" s="40" t="s">
        <v>1749</v>
      </c>
      <c r="P113" s="40" t="s">
        <v>190</v>
      </c>
      <c r="Q113" s="44">
        <v>0</v>
      </c>
      <c r="R113" s="37">
        <v>100</v>
      </c>
      <c r="S113" s="37" t="s">
        <v>219</v>
      </c>
      <c r="T113" s="48">
        <v>5</v>
      </c>
      <c r="U113" s="30">
        <v>904409.57000000007</v>
      </c>
      <c r="V113" s="41">
        <v>4522047.8500000006</v>
      </c>
      <c r="W113" s="41">
        <v>330</v>
      </c>
      <c r="X113" s="41">
        <v>330</v>
      </c>
      <c r="Y113" s="41">
        <v>0</v>
      </c>
      <c r="Z113" s="41">
        <v>0</v>
      </c>
      <c r="AA113" s="41">
        <v>0</v>
      </c>
      <c r="AB113" s="41">
        <v>0</v>
      </c>
      <c r="AC113" s="41">
        <v>0</v>
      </c>
      <c r="AD113" s="41">
        <v>0</v>
      </c>
      <c r="AE113" s="41">
        <v>0</v>
      </c>
      <c r="AF113" s="41">
        <v>0</v>
      </c>
      <c r="AG113" s="41">
        <v>0</v>
      </c>
      <c r="AH113" s="41">
        <v>0</v>
      </c>
      <c r="AI113" s="41">
        <v>0</v>
      </c>
      <c r="AJ113" s="41">
        <v>0</v>
      </c>
      <c r="AK113" s="41">
        <v>0</v>
      </c>
      <c r="AL113" s="41">
        <v>0</v>
      </c>
      <c r="AM113" s="41"/>
      <c r="AN113" s="41">
        <v>66</v>
      </c>
      <c r="AO113" s="41">
        <v>66</v>
      </c>
      <c r="AP113" s="40" t="s">
        <v>1854</v>
      </c>
      <c r="AQ113" s="36">
        <v>44946</v>
      </c>
      <c r="AR113" s="36"/>
      <c r="AS113" s="36"/>
      <c r="AT113" s="36">
        <v>44962</v>
      </c>
      <c r="AU113" s="36"/>
      <c r="AV113" s="38"/>
      <c r="AW113" s="40" t="s">
        <v>87</v>
      </c>
    </row>
    <row r="114" spans="1:49" s="34" customFormat="1" ht="59.25" customHeight="1" x14ac:dyDescent="0.3">
      <c r="A114" s="39" t="s">
        <v>1855</v>
      </c>
      <c r="B114" s="36">
        <v>44903</v>
      </c>
      <c r="C114" s="37">
        <v>545</v>
      </c>
      <c r="D114" s="39" t="s">
        <v>1856</v>
      </c>
      <c r="E114" s="1" t="s">
        <v>1857</v>
      </c>
      <c r="F114" s="36">
        <v>44936</v>
      </c>
      <c r="G114" s="37" t="s">
        <v>1858</v>
      </c>
      <c r="H114" s="40" t="s">
        <v>186</v>
      </c>
      <c r="I114" s="40" t="s">
        <v>1747</v>
      </c>
      <c r="J114" s="41">
        <v>298455158.10000002</v>
      </c>
      <c r="K114" s="41">
        <v>298455158.10000002</v>
      </c>
      <c r="L114" s="30">
        <v>298455158.10000002</v>
      </c>
      <c r="M114" s="30">
        <v>298455158.10000002</v>
      </c>
      <c r="N114" s="40" t="s">
        <v>1748</v>
      </c>
      <c r="O114" s="40" t="s">
        <v>1749</v>
      </c>
      <c r="P114" s="40" t="s">
        <v>190</v>
      </c>
      <c r="Q114" s="44">
        <v>0</v>
      </c>
      <c r="R114" s="37">
        <v>100</v>
      </c>
      <c r="S114" s="37" t="s">
        <v>219</v>
      </c>
      <c r="T114" s="48">
        <v>5</v>
      </c>
      <c r="U114" s="30">
        <v>904409.57000000007</v>
      </c>
      <c r="V114" s="41">
        <v>4522047.8500000006</v>
      </c>
      <c r="W114" s="41">
        <v>330</v>
      </c>
      <c r="X114" s="41">
        <v>230</v>
      </c>
      <c r="Y114" s="41">
        <v>0</v>
      </c>
      <c r="Z114" s="41">
        <v>0</v>
      </c>
      <c r="AA114" s="41">
        <v>0</v>
      </c>
      <c r="AB114" s="41">
        <v>0</v>
      </c>
      <c r="AC114" s="41">
        <v>100</v>
      </c>
      <c r="AD114" s="41">
        <v>0</v>
      </c>
      <c r="AE114" s="41">
        <v>0</v>
      </c>
      <c r="AF114" s="41">
        <v>0</v>
      </c>
      <c r="AG114" s="41">
        <v>0</v>
      </c>
      <c r="AH114" s="41">
        <v>0</v>
      </c>
      <c r="AI114" s="41">
        <v>0</v>
      </c>
      <c r="AJ114" s="41">
        <v>0</v>
      </c>
      <c r="AK114" s="41">
        <v>0</v>
      </c>
      <c r="AL114" s="41">
        <v>0</v>
      </c>
      <c r="AM114" s="41"/>
      <c r="AN114" s="41">
        <v>66</v>
      </c>
      <c r="AO114" s="41">
        <v>66</v>
      </c>
      <c r="AP114" s="40" t="s">
        <v>1859</v>
      </c>
      <c r="AQ114" s="36">
        <v>44946</v>
      </c>
      <c r="AR114" s="36">
        <v>45108</v>
      </c>
      <c r="AS114" s="36"/>
      <c r="AT114" s="36">
        <v>44962</v>
      </c>
      <c r="AU114" s="36">
        <v>45122</v>
      </c>
      <c r="AV114" s="38"/>
      <c r="AW114" s="40" t="s">
        <v>87</v>
      </c>
    </row>
    <row r="115" spans="1:49" s="34" customFormat="1" ht="59.25" customHeight="1" x14ac:dyDescent="0.3">
      <c r="A115" s="35" t="s">
        <v>1860</v>
      </c>
      <c r="B115" s="36">
        <v>44903</v>
      </c>
      <c r="C115" s="37">
        <v>545</v>
      </c>
      <c r="D115" s="39" t="s">
        <v>1861</v>
      </c>
      <c r="E115" s="1" t="s">
        <v>1862</v>
      </c>
      <c r="F115" s="36">
        <v>44936</v>
      </c>
      <c r="G115" s="39" t="s">
        <v>1863</v>
      </c>
      <c r="H115" s="40" t="s">
        <v>186</v>
      </c>
      <c r="I115" s="40" t="s">
        <v>1747</v>
      </c>
      <c r="J115" s="37">
        <v>298455158.10000002</v>
      </c>
      <c r="K115" s="41">
        <v>298455158.10000002</v>
      </c>
      <c r="L115" s="30">
        <v>352719732.30000001</v>
      </c>
      <c r="M115" s="30">
        <v>352719732.30000001</v>
      </c>
      <c r="N115" s="40" t="s">
        <v>1748</v>
      </c>
      <c r="O115" s="40" t="s">
        <v>1749</v>
      </c>
      <c r="P115" s="40" t="s">
        <v>190</v>
      </c>
      <c r="Q115" s="37">
        <v>0</v>
      </c>
      <c r="R115" s="37">
        <v>100</v>
      </c>
      <c r="S115" s="37" t="s">
        <v>219</v>
      </c>
      <c r="T115" s="48">
        <v>5</v>
      </c>
      <c r="U115" s="30">
        <v>904409.57000000007</v>
      </c>
      <c r="V115" s="41">
        <v>4522047.8500000006</v>
      </c>
      <c r="W115" s="41">
        <v>390</v>
      </c>
      <c r="X115" s="41">
        <v>230</v>
      </c>
      <c r="Y115" s="41">
        <v>0</v>
      </c>
      <c r="Z115" s="41">
        <v>0</v>
      </c>
      <c r="AA115" s="41">
        <v>0</v>
      </c>
      <c r="AB115" s="41">
        <v>0</v>
      </c>
      <c r="AC115" s="41">
        <v>160</v>
      </c>
      <c r="AD115" s="41">
        <v>0</v>
      </c>
      <c r="AE115" s="41">
        <v>0</v>
      </c>
      <c r="AF115" s="41">
        <v>0</v>
      </c>
      <c r="AG115" s="41">
        <v>0</v>
      </c>
      <c r="AH115" s="41">
        <v>0</v>
      </c>
      <c r="AI115" s="41">
        <v>0</v>
      </c>
      <c r="AJ115" s="41">
        <v>0</v>
      </c>
      <c r="AK115" s="41">
        <v>0</v>
      </c>
      <c r="AL115" s="41">
        <v>0</v>
      </c>
      <c r="AM115" s="41"/>
      <c r="AN115" s="41">
        <v>78</v>
      </c>
      <c r="AO115" s="41">
        <v>78</v>
      </c>
      <c r="AP115" s="40" t="s">
        <v>1864</v>
      </c>
      <c r="AQ115" s="36">
        <v>44946</v>
      </c>
      <c r="AR115" s="36">
        <v>45108</v>
      </c>
      <c r="AS115" s="36"/>
      <c r="AT115" s="36">
        <v>44962</v>
      </c>
      <c r="AU115" s="36">
        <v>45122</v>
      </c>
      <c r="AV115" s="38"/>
      <c r="AW115" s="40" t="s">
        <v>87</v>
      </c>
    </row>
    <row r="116" spans="1:49" s="34" customFormat="1" ht="59.25" customHeight="1" x14ac:dyDescent="0.3">
      <c r="A116" s="35" t="s">
        <v>1865</v>
      </c>
      <c r="B116" s="36">
        <v>44904</v>
      </c>
      <c r="C116" s="37">
        <v>545</v>
      </c>
      <c r="D116" s="39" t="s">
        <v>1866</v>
      </c>
      <c r="E116" s="1" t="s">
        <v>1867</v>
      </c>
      <c r="F116" s="36">
        <v>44938</v>
      </c>
      <c r="G116" s="37" t="s">
        <v>1868</v>
      </c>
      <c r="H116" s="40" t="s">
        <v>224</v>
      </c>
      <c r="I116" s="40" t="s">
        <v>1706</v>
      </c>
      <c r="J116" s="41">
        <v>181209576.59999999</v>
      </c>
      <c r="K116" s="41">
        <v>181209576.59999999</v>
      </c>
      <c r="L116" s="30">
        <v>181209576.59999999</v>
      </c>
      <c r="M116" s="30">
        <v>181209576.59999999</v>
      </c>
      <c r="N116" s="40" t="s">
        <v>1661</v>
      </c>
      <c r="O116" s="40" t="s">
        <v>1707</v>
      </c>
      <c r="P116" s="40" t="s">
        <v>1032</v>
      </c>
      <c r="Q116" s="37">
        <v>0</v>
      </c>
      <c r="R116" s="37">
        <v>100</v>
      </c>
      <c r="S116" s="37" t="s">
        <v>1489</v>
      </c>
      <c r="T116" s="48">
        <v>30</v>
      </c>
      <c r="U116" s="30">
        <v>25813.329999999998</v>
      </c>
      <c r="V116" s="41">
        <v>774399.89999999991</v>
      </c>
      <c r="W116" s="41">
        <v>7020</v>
      </c>
      <c r="X116" s="41">
        <v>7020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c r="AN116" s="41">
        <v>234</v>
      </c>
      <c r="AO116" s="41">
        <v>234</v>
      </c>
      <c r="AP116" s="40" t="s">
        <v>1265</v>
      </c>
      <c r="AQ116" s="36">
        <v>44986</v>
      </c>
      <c r="AR116" s="36"/>
      <c r="AS116" s="36"/>
      <c r="AT116" s="36">
        <v>45000</v>
      </c>
      <c r="AU116" s="36"/>
      <c r="AV116" s="38"/>
      <c r="AW116" s="40" t="s">
        <v>87</v>
      </c>
    </row>
    <row r="117" spans="1:49" s="34" customFormat="1" ht="59.25" customHeight="1" x14ac:dyDescent="0.3">
      <c r="A117" s="35" t="s">
        <v>1869</v>
      </c>
      <c r="B117" s="36">
        <v>44904</v>
      </c>
      <c r="C117" s="37">
        <v>545</v>
      </c>
      <c r="D117" s="39" t="s">
        <v>1870</v>
      </c>
      <c r="E117" s="1" t="s">
        <v>1871</v>
      </c>
      <c r="F117" s="36">
        <v>44938</v>
      </c>
      <c r="G117" s="39" t="s">
        <v>1872</v>
      </c>
      <c r="H117" s="40" t="s">
        <v>224</v>
      </c>
      <c r="I117" s="40" t="s">
        <v>1706</v>
      </c>
      <c r="J117" s="41">
        <v>232319970</v>
      </c>
      <c r="K117" s="41">
        <v>232319970</v>
      </c>
      <c r="L117" s="30">
        <v>232319970</v>
      </c>
      <c r="M117" s="30">
        <v>232319970</v>
      </c>
      <c r="N117" s="40" t="s">
        <v>1661</v>
      </c>
      <c r="O117" s="40" t="s">
        <v>1707</v>
      </c>
      <c r="P117" s="40" t="s">
        <v>1032</v>
      </c>
      <c r="Q117" s="37">
        <v>0</v>
      </c>
      <c r="R117" s="37">
        <v>100</v>
      </c>
      <c r="S117" s="37" t="s">
        <v>1489</v>
      </c>
      <c r="T117" s="54">
        <v>30</v>
      </c>
      <c r="U117" s="30">
        <v>25813.33</v>
      </c>
      <c r="V117" s="41">
        <v>774399.9</v>
      </c>
      <c r="W117" s="41">
        <v>9000</v>
      </c>
      <c r="X117" s="41">
        <v>9000</v>
      </c>
      <c r="Y117" s="41">
        <v>0</v>
      </c>
      <c r="Z117" s="41">
        <v>0</v>
      </c>
      <c r="AA117" s="41">
        <v>0</v>
      </c>
      <c r="AB117" s="41">
        <v>0</v>
      </c>
      <c r="AC117" s="41">
        <v>0</v>
      </c>
      <c r="AD117" s="41">
        <v>0</v>
      </c>
      <c r="AE117" s="41">
        <v>0</v>
      </c>
      <c r="AF117" s="41">
        <v>0</v>
      </c>
      <c r="AG117" s="41">
        <v>0</v>
      </c>
      <c r="AH117" s="41">
        <v>0</v>
      </c>
      <c r="AI117" s="41">
        <v>0</v>
      </c>
      <c r="AJ117" s="41">
        <v>0</v>
      </c>
      <c r="AK117" s="41">
        <v>0</v>
      </c>
      <c r="AL117" s="41">
        <v>0</v>
      </c>
      <c r="AM117" s="41"/>
      <c r="AN117" s="41">
        <v>300</v>
      </c>
      <c r="AO117" s="41">
        <v>300</v>
      </c>
      <c r="AP117" s="40" t="s">
        <v>1578</v>
      </c>
      <c r="AQ117" s="36">
        <v>44986</v>
      </c>
      <c r="AR117" s="36"/>
      <c r="AS117" s="36"/>
      <c r="AT117" s="36">
        <v>45000</v>
      </c>
      <c r="AU117" s="36"/>
      <c r="AV117" s="38"/>
      <c r="AW117" s="40" t="s">
        <v>87</v>
      </c>
    </row>
    <row r="118" spans="1:49" s="34" customFormat="1" ht="59.25" customHeight="1" x14ac:dyDescent="0.3">
      <c r="A118" s="35" t="s">
        <v>1873</v>
      </c>
      <c r="B118" s="36">
        <v>44904</v>
      </c>
      <c r="C118" s="37">
        <v>545</v>
      </c>
      <c r="D118" s="39" t="s">
        <v>1874</v>
      </c>
      <c r="E118" s="1" t="s">
        <v>1875</v>
      </c>
      <c r="F118" s="36">
        <v>44938</v>
      </c>
      <c r="G118" s="39" t="s">
        <v>1876</v>
      </c>
      <c r="H118" s="40" t="s">
        <v>224</v>
      </c>
      <c r="I118" s="40" t="s">
        <v>1706</v>
      </c>
      <c r="J118" s="41">
        <v>180435176.69999999</v>
      </c>
      <c r="K118" s="41">
        <v>180435176.69999999</v>
      </c>
      <c r="L118" s="30">
        <v>180435176.69999999</v>
      </c>
      <c r="M118" s="30">
        <v>180435176.69999999</v>
      </c>
      <c r="N118" s="40" t="s">
        <v>1661</v>
      </c>
      <c r="O118" s="40" t="s">
        <v>1707</v>
      </c>
      <c r="P118" s="40" t="s">
        <v>1032</v>
      </c>
      <c r="Q118" s="37">
        <v>0</v>
      </c>
      <c r="R118" s="37">
        <v>100</v>
      </c>
      <c r="S118" s="37" t="s">
        <v>1489</v>
      </c>
      <c r="T118" s="54">
        <v>30</v>
      </c>
      <c r="U118" s="30">
        <v>25813.329999999998</v>
      </c>
      <c r="V118" s="41">
        <v>774399.89999999991</v>
      </c>
      <c r="W118" s="41">
        <v>6990</v>
      </c>
      <c r="X118" s="41">
        <v>6990</v>
      </c>
      <c r="Y118" s="41">
        <v>0</v>
      </c>
      <c r="Z118" s="41">
        <v>0</v>
      </c>
      <c r="AA118" s="41">
        <v>0</v>
      </c>
      <c r="AB118" s="41">
        <v>0</v>
      </c>
      <c r="AC118" s="41">
        <v>0</v>
      </c>
      <c r="AD118" s="41">
        <v>0</v>
      </c>
      <c r="AE118" s="41">
        <v>0</v>
      </c>
      <c r="AF118" s="41">
        <v>0</v>
      </c>
      <c r="AG118" s="41">
        <v>0</v>
      </c>
      <c r="AH118" s="41">
        <v>0</v>
      </c>
      <c r="AI118" s="41">
        <v>0</v>
      </c>
      <c r="AJ118" s="41">
        <v>0</v>
      </c>
      <c r="AK118" s="41">
        <v>0</v>
      </c>
      <c r="AL118" s="41">
        <v>0</v>
      </c>
      <c r="AM118" s="41"/>
      <c r="AN118" s="41">
        <v>233</v>
      </c>
      <c r="AO118" s="41">
        <v>233</v>
      </c>
      <c r="AP118" s="40" t="s">
        <v>1265</v>
      </c>
      <c r="AQ118" s="36">
        <v>45005</v>
      </c>
      <c r="AR118" s="36"/>
      <c r="AS118" s="36"/>
      <c r="AT118" s="36">
        <v>45021</v>
      </c>
      <c r="AU118" s="36"/>
      <c r="AV118" s="38"/>
      <c r="AW118" s="40" t="s">
        <v>87</v>
      </c>
    </row>
    <row r="119" spans="1:49" s="34" customFormat="1" ht="59.25" customHeight="1" x14ac:dyDescent="0.3">
      <c r="A119" s="39" t="s">
        <v>1877</v>
      </c>
      <c r="B119" s="36">
        <v>44904</v>
      </c>
      <c r="C119" s="37">
        <v>545</v>
      </c>
      <c r="D119" s="39" t="s">
        <v>1878</v>
      </c>
      <c r="E119" s="1" t="s">
        <v>1879</v>
      </c>
      <c r="F119" s="36">
        <v>44938</v>
      </c>
      <c r="G119" s="37" t="s">
        <v>1880</v>
      </c>
      <c r="H119" s="40" t="s">
        <v>224</v>
      </c>
      <c r="I119" s="40" t="s">
        <v>1706</v>
      </c>
      <c r="J119" s="41">
        <v>293497562.10000002</v>
      </c>
      <c r="K119" s="41">
        <v>293497562.10000002</v>
      </c>
      <c r="L119" s="30">
        <v>293497562.10000002</v>
      </c>
      <c r="M119" s="30">
        <v>293497562.10000002</v>
      </c>
      <c r="N119" s="40" t="s">
        <v>1661</v>
      </c>
      <c r="O119" s="40" t="s">
        <v>1707</v>
      </c>
      <c r="P119" s="40" t="s">
        <v>1032</v>
      </c>
      <c r="Q119" s="44">
        <v>0</v>
      </c>
      <c r="R119" s="37">
        <v>100</v>
      </c>
      <c r="S119" s="37" t="s">
        <v>1489</v>
      </c>
      <c r="T119" s="48">
        <v>30</v>
      </c>
      <c r="U119" s="30">
        <v>25813.33</v>
      </c>
      <c r="V119" s="41">
        <v>774399.9</v>
      </c>
      <c r="W119" s="41">
        <v>11370</v>
      </c>
      <c r="X119" s="41">
        <v>11370</v>
      </c>
      <c r="Y119" s="41">
        <v>0</v>
      </c>
      <c r="Z119" s="41">
        <v>0</v>
      </c>
      <c r="AA119" s="41">
        <v>0</v>
      </c>
      <c r="AB119" s="41">
        <v>0</v>
      </c>
      <c r="AC119" s="41">
        <v>0</v>
      </c>
      <c r="AD119" s="41">
        <v>0</v>
      </c>
      <c r="AE119" s="41">
        <v>0</v>
      </c>
      <c r="AF119" s="41">
        <v>0</v>
      </c>
      <c r="AG119" s="41">
        <v>0</v>
      </c>
      <c r="AH119" s="41">
        <v>0</v>
      </c>
      <c r="AI119" s="41">
        <v>0</v>
      </c>
      <c r="AJ119" s="41">
        <v>0</v>
      </c>
      <c r="AK119" s="41">
        <v>0</v>
      </c>
      <c r="AL119" s="41">
        <v>0</v>
      </c>
      <c r="AM119" s="41"/>
      <c r="AN119" s="41">
        <v>379</v>
      </c>
      <c r="AO119" s="41">
        <v>379</v>
      </c>
      <c r="AP119" s="40" t="s">
        <v>1881</v>
      </c>
      <c r="AQ119" s="36">
        <v>44986</v>
      </c>
      <c r="AR119" s="36"/>
      <c r="AS119" s="36"/>
      <c r="AT119" s="36">
        <v>45000</v>
      </c>
      <c r="AU119" s="36"/>
      <c r="AV119" s="38"/>
      <c r="AW119" s="40" t="s">
        <v>87</v>
      </c>
    </row>
    <row r="120" spans="1:49" s="34" customFormat="1" ht="59.25" customHeight="1" x14ac:dyDescent="0.3">
      <c r="A120" s="39" t="s">
        <v>1882</v>
      </c>
      <c r="B120" s="36">
        <v>44904</v>
      </c>
      <c r="C120" s="37">
        <v>545</v>
      </c>
      <c r="D120" s="39" t="s">
        <v>1883</v>
      </c>
      <c r="E120" s="1" t="s">
        <v>1884</v>
      </c>
      <c r="F120" s="36">
        <v>44938</v>
      </c>
      <c r="G120" s="37" t="s">
        <v>1885</v>
      </c>
      <c r="H120" s="40" t="s">
        <v>224</v>
      </c>
      <c r="I120" s="40" t="s">
        <v>1706</v>
      </c>
      <c r="J120" s="41">
        <v>291174362.39999998</v>
      </c>
      <c r="K120" s="41">
        <v>291174362.39999998</v>
      </c>
      <c r="L120" s="30">
        <v>291174362.39999998</v>
      </c>
      <c r="M120" s="30">
        <v>291174362.39999998</v>
      </c>
      <c r="N120" s="40" t="s">
        <v>1661</v>
      </c>
      <c r="O120" s="40" t="s">
        <v>1707</v>
      </c>
      <c r="P120" s="40" t="s">
        <v>1032</v>
      </c>
      <c r="Q120" s="44">
        <v>0</v>
      </c>
      <c r="R120" s="37">
        <v>100</v>
      </c>
      <c r="S120" s="37" t="s">
        <v>1489</v>
      </c>
      <c r="T120" s="48">
        <v>30</v>
      </c>
      <c r="U120" s="30">
        <v>25813.329999999998</v>
      </c>
      <c r="V120" s="41">
        <v>774399.89999999991</v>
      </c>
      <c r="W120" s="41">
        <v>11280</v>
      </c>
      <c r="X120" s="41">
        <v>11280</v>
      </c>
      <c r="Y120" s="41">
        <v>0</v>
      </c>
      <c r="Z120" s="41">
        <v>0</v>
      </c>
      <c r="AA120" s="41">
        <v>0</v>
      </c>
      <c r="AB120" s="41">
        <v>0</v>
      </c>
      <c r="AC120" s="41">
        <v>0</v>
      </c>
      <c r="AD120" s="41">
        <v>0</v>
      </c>
      <c r="AE120" s="41">
        <v>0</v>
      </c>
      <c r="AF120" s="41">
        <v>0</v>
      </c>
      <c r="AG120" s="41">
        <v>0</v>
      </c>
      <c r="AH120" s="41">
        <v>0</v>
      </c>
      <c r="AI120" s="41">
        <v>0</v>
      </c>
      <c r="AJ120" s="41">
        <v>0</v>
      </c>
      <c r="AK120" s="41">
        <v>0</v>
      </c>
      <c r="AL120" s="41">
        <v>0</v>
      </c>
      <c r="AM120" s="41"/>
      <c r="AN120" s="41">
        <v>376</v>
      </c>
      <c r="AO120" s="41">
        <v>376</v>
      </c>
      <c r="AP120" s="40" t="s">
        <v>1886</v>
      </c>
      <c r="AQ120" s="36">
        <v>44986</v>
      </c>
      <c r="AR120" s="36"/>
      <c r="AS120" s="36"/>
      <c r="AT120" s="36">
        <v>45000</v>
      </c>
      <c r="AU120" s="36"/>
      <c r="AV120" s="38"/>
      <c r="AW120" s="40" t="s">
        <v>87</v>
      </c>
    </row>
    <row r="121" spans="1:49" s="34" customFormat="1" ht="59.25" customHeight="1" x14ac:dyDescent="0.3">
      <c r="A121" s="39" t="s">
        <v>1887</v>
      </c>
      <c r="B121" s="36">
        <v>44904</v>
      </c>
      <c r="C121" s="37">
        <v>545</v>
      </c>
      <c r="D121" s="39" t="s">
        <v>1888</v>
      </c>
      <c r="E121" s="1" t="s">
        <v>1889</v>
      </c>
      <c r="F121" s="36">
        <v>44938</v>
      </c>
      <c r="G121" s="37" t="s">
        <v>1890</v>
      </c>
      <c r="H121" s="40" t="s">
        <v>224</v>
      </c>
      <c r="I121" s="40" t="s">
        <v>1706</v>
      </c>
      <c r="J121" s="41">
        <v>298918361.39999998</v>
      </c>
      <c r="K121" s="41">
        <v>298918361.39999998</v>
      </c>
      <c r="L121" s="30">
        <v>298918361.39999998</v>
      </c>
      <c r="M121" s="30">
        <v>298918361.39999998</v>
      </c>
      <c r="N121" s="40" t="s">
        <v>1661</v>
      </c>
      <c r="O121" s="40" t="s">
        <v>1707</v>
      </c>
      <c r="P121" s="40" t="s">
        <v>1032</v>
      </c>
      <c r="Q121" s="44">
        <v>0</v>
      </c>
      <c r="R121" s="37">
        <v>100</v>
      </c>
      <c r="S121" s="37" t="s">
        <v>1489</v>
      </c>
      <c r="T121" s="48">
        <v>30</v>
      </c>
      <c r="U121" s="30">
        <v>25813.329999999998</v>
      </c>
      <c r="V121" s="41">
        <v>774399.89999999991</v>
      </c>
      <c r="W121" s="41">
        <v>11580</v>
      </c>
      <c r="X121" s="41">
        <v>11580</v>
      </c>
      <c r="Y121" s="41">
        <v>0</v>
      </c>
      <c r="Z121" s="41">
        <v>0</v>
      </c>
      <c r="AA121" s="41">
        <v>0</v>
      </c>
      <c r="AB121" s="41">
        <v>0</v>
      </c>
      <c r="AC121" s="41">
        <v>0</v>
      </c>
      <c r="AD121" s="41">
        <v>0</v>
      </c>
      <c r="AE121" s="41">
        <v>0</v>
      </c>
      <c r="AF121" s="41">
        <v>0</v>
      </c>
      <c r="AG121" s="41">
        <v>0</v>
      </c>
      <c r="AH121" s="41">
        <v>0</v>
      </c>
      <c r="AI121" s="41">
        <v>0</v>
      </c>
      <c r="AJ121" s="41">
        <v>0</v>
      </c>
      <c r="AK121" s="41">
        <v>0</v>
      </c>
      <c r="AL121" s="41">
        <v>0</v>
      </c>
      <c r="AM121" s="41"/>
      <c r="AN121" s="41">
        <v>386</v>
      </c>
      <c r="AO121" s="41">
        <v>386</v>
      </c>
      <c r="AP121" s="40" t="s">
        <v>1891</v>
      </c>
      <c r="AQ121" s="36">
        <v>44986</v>
      </c>
      <c r="AR121" s="36"/>
      <c r="AS121" s="36"/>
      <c r="AT121" s="36">
        <v>45000</v>
      </c>
      <c r="AU121" s="36"/>
      <c r="AV121" s="38"/>
      <c r="AW121" s="40" t="s">
        <v>87</v>
      </c>
    </row>
    <row r="122" spans="1:49" s="34" customFormat="1" ht="59.25" customHeight="1" x14ac:dyDescent="0.3">
      <c r="A122" s="39" t="s">
        <v>1892</v>
      </c>
      <c r="B122" s="36">
        <v>44904</v>
      </c>
      <c r="C122" s="37">
        <v>545</v>
      </c>
      <c r="D122" s="39" t="s">
        <v>1893</v>
      </c>
      <c r="E122" s="1" t="s">
        <v>1894</v>
      </c>
      <c r="F122" s="36">
        <v>44938</v>
      </c>
      <c r="G122" s="37" t="s">
        <v>1895</v>
      </c>
      <c r="H122" s="40" t="s">
        <v>224</v>
      </c>
      <c r="I122" s="40" t="s">
        <v>1706</v>
      </c>
      <c r="J122" s="41">
        <v>289625562.60000002</v>
      </c>
      <c r="K122" s="41">
        <v>289625562.60000002</v>
      </c>
      <c r="L122" s="30">
        <v>289625562.60000002</v>
      </c>
      <c r="M122" s="30">
        <v>289625562.60000002</v>
      </c>
      <c r="N122" s="40" t="s">
        <v>1661</v>
      </c>
      <c r="O122" s="40" t="s">
        <v>1707</v>
      </c>
      <c r="P122" s="40" t="s">
        <v>1032</v>
      </c>
      <c r="Q122" s="44">
        <v>0</v>
      </c>
      <c r="R122" s="37">
        <v>100</v>
      </c>
      <c r="S122" s="37" t="s">
        <v>1489</v>
      </c>
      <c r="T122" s="48">
        <v>30</v>
      </c>
      <c r="U122" s="30">
        <v>25813.33</v>
      </c>
      <c r="V122" s="41">
        <v>774399.9</v>
      </c>
      <c r="W122" s="41">
        <v>11220</v>
      </c>
      <c r="X122" s="41">
        <v>11220</v>
      </c>
      <c r="Y122" s="41">
        <v>0</v>
      </c>
      <c r="Z122" s="41">
        <v>0</v>
      </c>
      <c r="AA122" s="41">
        <v>0</v>
      </c>
      <c r="AB122" s="41">
        <v>0</v>
      </c>
      <c r="AC122" s="41">
        <v>0</v>
      </c>
      <c r="AD122" s="41">
        <v>0</v>
      </c>
      <c r="AE122" s="41">
        <v>0</v>
      </c>
      <c r="AF122" s="41">
        <v>0</v>
      </c>
      <c r="AG122" s="41">
        <v>0</v>
      </c>
      <c r="AH122" s="41">
        <v>0</v>
      </c>
      <c r="AI122" s="41">
        <v>0</v>
      </c>
      <c r="AJ122" s="41">
        <v>0</v>
      </c>
      <c r="AK122" s="41">
        <v>0</v>
      </c>
      <c r="AL122" s="41">
        <v>0</v>
      </c>
      <c r="AM122" s="41"/>
      <c r="AN122" s="41">
        <v>374</v>
      </c>
      <c r="AO122" s="41">
        <v>374</v>
      </c>
      <c r="AP122" s="40" t="s">
        <v>1896</v>
      </c>
      <c r="AQ122" s="36">
        <v>44986</v>
      </c>
      <c r="AR122" s="36"/>
      <c r="AS122" s="36"/>
      <c r="AT122" s="36">
        <v>45000</v>
      </c>
      <c r="AU122" s="36"/>
      <c r="AV122" s="38"/>
      <c r="AW122" s="40" t="s">
        <v>87</v>
      </c>
    </row>
    <row r="123" spans="1:49" s="34" customFormat="1" ht="59.25" customHeight="1" x14ac:dyDescent="0.3">
      <c r="A123" s="39" t="s">
        <v>1897</v>
      </c>
      <c r="B123" s="36">
        <v>44904</v>
      </c>
      <c r="C123" s="37">
        <v>545</v>
      </c>
      <c r="D123" s="39" t="s">
        <v>1898</v>
      </c>
      <c r="E123" s="1" t="s">
        <v>1899</v>
      </c>
      <c r="F123" s="36">
        <v>44938</v>
      </c>
      <c r="G123" s="37" t="s">
        <v>1900</v>
      </c>
      <c r="H123" s="40" t="s">
        <v>224</v>
      </c>
      <c r="I123" s="40" t="s">
        <v>1706</v>
      </c>
      <c r="J123" s="41">
        <v>284979163.19999999</v>
      </c>
      <c r="K123" s="41">
        <v>284979163.19999999</v>
      </c>
      <c r="L123" s="30">
        <v>284979163.19999999</v>
      </c>
      <c r="M123" s="30">
        <v>284979163.19999999</v>
      </c>
      <c r="N123" s="40" t="s">
        <v>1661</v>
      </c>
      <c r="O123" s="40" t="s">
        <v>1707</v>
      </c>
      <c r="P123" s="40" t="s">
        <v>1032</v>
      </c>
      <c r="Q123" s="44">
        <v>0</v>
      </c>
      <c r="R123" s="37">
        <v>100</v>
      </c>
      <c r="S123" s="37" t="s">
        <v>1489</v>
      </c>
      <c r="T123" s="48">
        <v>30</v>
      </c>
      <c r="U123" s="30">
        <v>25813.329999999998</v>
      </c>
      <c r="V123" s="41">
        <v>774399.89999999991</v>
      </c>
      <c r="W123" s="41">
        <v>11040</v>
      </c>
      <c r="X123" s="41">
        <v>11040</v>
      </c>
      <c r="Y123" s="41">
        <v>0</v>
      </c>
      <c r="Z123" s="41">
        <v>0</v>
      </c>
      <c r="AA123" s="41">
        <v>0</v>
      </c>
      <c r="AB123" s="41">
        <v>0</v>
      </c>
      <c r="AC123" s="41">
        <v>0</v>
      </c>
      <c r="AD123" s="41">
        <v>0</v>
      </c>
      <c r="AE123" s="41">
        <v>0</v>
      </c>
      <c r="AF123" s="41">
        <v>0</v>
      </c>
      <c r="AG123" s="41">
        <v>0</v>
      </c>
      <c r="AH123" s="41">
        <v>0</v>
      </c>
      <c r="AI123" s="41">
        <v>0</v>
      </c>
      <c r="AJ123" s="41">
        <v>0</v>
      </c>
      <c r="AK123" s="41">
        <v>0</v>
      </c>
      <c r="AL123" s="41">
        <v>0</v>
      </c>
      <c r="AM123" s="41"/>
      <c r="AN123" s="41">
        <v>368</v>
      </c>
      <c r="AO123" s="41">
        <v>368</v>
      </c>
      <c r="AP123" s="40" t="s">
        <v>1901</v>
      </c>
      <c r="AQ123" s="36">
        <v>44986</v>
      </c>
      <c r="AR123" s="36"/>
      <c r="AS123" s="36"/>
      <c r="AT123" s="36">
        <v>45000</v>
      </c>
      <c r="AU123" s="36"/>
      <c r="AV123" s="38"/>
      <c r="AW123" s="40" t="s">
        <v>87</v>
      </c>
    </row>
    <row r="124" spans="1:49" s="34" customFormat="1" ht="59.25" customHeight="1" x14ac:dyDescent="0.3">
      <c r="A124" s="39" t="s">
        <v>1902</v>
      </c>
      <c r="B124" s="36">
        <v>44904</v>
      </c>
      <c r="C124" s="37">
        <v>545</v>
      </c>
      <c r="D124" s="39" t="s">
        <v>1903</v>
      </c>
      <c r="E124" s="1" t="s">
        <v>1904</v>
      </c>
      <c r="F124" s="36">
        <v>44938</v>
      </c>
      <c r="G124" s="37" t="s">
        <v>1905</v>
      </c>
      <c r="H124" s="40" t="s">
        <v>224</v>
      </c>
      <c r="I124" s="40" t="s">
        <v>1906</v>
      </c>
      <c r="J124" s="41">
        <v>232320330</v>
      </c>
      <c r="K124" s="41">
        <v>232320330</v>
      </c>
      <c r="L124" s="30">
        <v>232320330</v>
      </c>
      <c r="M124" s="30">
        <v>232320330</v>
      </c>
      <c r="N124" s="40" t="s">
        <v>1661</v>
      </c>
      <c r="O124" s="40" t="s">
        <v>1907</v>
      </c>
      <c r="P124" s="40" t="s">
        <v>1032</v>
      </c>
      <c r="Q124" s="44">
        <v>0</v>
      </c>
      <c r="R124" s="37">
        <v>100</v>
      </c>
      <c r="S124" s="37" t="s">
        <v>1489</v>
      </c>
      <c r="T124" s="48">
        <v>120</v>
      </c>
      <c r="U124" s="30">
        <v>25813.37</v>
      </c>
      <c r="V124" s="41">
        <v>3097604.4</v>
      </c>
      <c r="W124" s="41">
        <v>9000</v>
      </c>
      <c r="X124" s="41">
        <v>7320</v>
      </c>
      <c r="Y124" s="41">
        <v>0</v>
      </c>
      <c r="Z124" s="41">
        <v>0</v>
      </c>
      <c r="AA124" s="41">
        <v>0</v>
      </c>
      <c r="AB124" s="41">
        <v>0</v>
      </c>
      <c r="AC124" s="41">
        <v>1680</v>
      </c>
      <c r="AD124" s="41">
        <v>0</v>
      </c>
      <c r="AE124" s="41">
        <v>0</v>
      </c>
      <c r="AF124" s="41">
        <v>0</v>
      </c>
      <c r="AG124" s="41">
        <v>0</v>
      </c>
      <c r="AH124" s="41">
        <v>0</v>
      </c>
      <c r="AI124" s="41">
        <v>0</v>
      </c>
      <c r="AJ124" s="41">
        <v>0</v>
      </c>
      <c r="AK124" s="41">
        <v>0</v>
      </c>
      <c r="AL124" s="41">
        <v>0</v>
      </c>
      <c r="AM124" s="41"/>
      <c r="AN124" s="41">
        <v>75</v>
      </c>
      <c r="AO124" s="41">
        <v>75</v>
      </c>
      <c r="AP124" s="40" t="s">
        <v>1353</v>
      </c>
      <c r="AQ124" s="36">
        <v>44986</v>
      </c>
      <c r="AR124" s="36">
        <v>45031</v>
      </c>
      <c r="AS124" s="36"/>
      <c r="AT124" s="36">
        <v>45000</v>
      </c>
      <c r="AU124" s="36">
        <v>45046</v>
      </c>
      <c r="AV124" s="38"/>
      <c r="AW124" s="40" t="s">
        <v>87</v>
      </c>
    </row>
    <row r="125" spans="1:49" s="34" customFormat="1" ht="59.25" customHeight="1" x14ac:dyDescent="0.3">
      <c r="A125" s="39" t="s">
        <v>1908</v>
      </c>
      <c r="B125" s="36">
        <v>44904</v>
      </c>
      <c r="C125" s="37">
        <v>545</v>
      </c>
      <c r="D125" s="39" t="s">
        <v>1909</v>
      </c>
      <c r="E125" s="1" t="s">
        <v>1910</v>
      </c>
      <c r="F125" s="36">
        <v>44938</v>
      </c>
      <c r="G125" s="37" t="s">
        <v>1911</v>
      </c>
      <c r="H125" s="40" t="s">
        <v>224</v>
      </c>
      <c r="I125" s="40" t="s">
        <v>1912</v>
      </c>
      <c r="J125" s="41">
        <v>244710747.59999999</v>
      </c>
      <c r="K125" s="41">
        <v>244710747.59999999</v>
      </c>
      <c r="L125" s="30">
        <v>244710747.59999999</v>
      </c>
      <c r="M125" s="30">
        <v>244710747.59999999</v>
      </c>
      <c r="N125" s="40" t="s">
        <v>1661</v>
      </c>
      <c r="O125" s="40" t="s">
        <v>1662</v>
      </c>
      <c r="P125" s="40" t="s">
        <v>1032</v>
      </c>
      <c r="Q125" s="44">
        <v>0</v>
      </c>
      <c r="R125" s="37">
        <v>100</v>
      </c>
      <c r="S125" s="37" t="s">
        <v>1489</v>
      </c>
      <c r="T125" s="48">
        <v>15</v>
      </c>
      <c r="U125" s="30">
        <v>25813.37</v>
      </c>
      <c r="V125" s="41">
        <v>387200.55</v>
      </c>
      <c r="W125" s="41">
        <v>9480</v>
      </c>
      <c r="X125" s="41">
        <v>9480</v>
      </c>
      <c r="Y125" s="41"/>
      <c r="Z125" s="41"/>
      <c r="AA125" s="41"/>
      <c r="AB125" s="41"/>
      <c r="AC125" s="41"/>
      <c r="AD125" s="41"/>
      <c r="AE125" s="41"/>
      <c r="AF125" s="41"/>
      <c r="AG125" s="41"/>
      <c r="AH125" s="41"/>
      <c r="AI125" s="41"/>
      <c r="AJ125" s="41"/>
      <c r="AK125" s="41"/>
      <c r="AL125" s="41"/>
      <c r="AM125" s="41"/>
      <c r="AN125" s="41">
        <v>632</v>
      </c>
      <c r="AO125" s="41">
        <v>632</v>
      </c>
      <c r="AP125" s="40" t="s">
        <v>1913</v>
      </c>
      <c r="AQ125" s="36">
        <v>44986</v>
      </c>
      <c r="AR125" s="36"/>
      <c r="AS125" s="36"/>
      <c r="AT125" s="36">
        <v>45000</v>
      </c>
      <c r="AU125" s="36"/>
      <c r="AV125" s="38"/>
      <c r="AW125" s="40" t="s">
        <v>87</v>
      </c>
    </row>
    <row r="126" spans="1:49" s="34" customFormat="1" ht="59.25" customHeight="1" x14ac:dyDescent="0.3">
      <c r="A126" s="39" t="s">
        <v>1914</v>
      </c>
      <c r="B126" s="36">
        <v>44904</v>
      </c>
      <c r="C126" s="37">
        <v>545</v>
      </c>
      <c r="D126" s="39" t="s">
        <v>1915</v>
      </c>
      <c r="E126" s="1" t="s">
        <v>1916</v>
      </c>
      <c r="F126" s="36">
        <v>44938</v>
      </c>
      <c r="G126" s="37" t="s">
        <v>1917</v>
      </c>
      <c r="H126" s="40" t="s">
        <v>224</v>
      </c>
      <c r="I126" s="40" t="s">
        <v>1706</v>
      </c>
      <c r="J126" s="41">
        <v>291174362.39999998</v>
      </c>
      <c r="K126" s="41">
        <v>291174362.39999998</v>
      </c>
      <c r="L126" s="30">
        <v>291174362.39999998</v>
      </c>
      <c r="M126" s="30">
        <v>291174362.39999998</v>
      </c>
      <c r="N126" s="40" t="s">
        <v>1661</v>
      </c>
      <c r="O126" s="40" t="s">
        <v>1707</v>
      </c>
      <c r="P126" s="40" t="s">
        <v>1032</v>
      </c>
      <c r="Q126" s="44">
        <v>0</v>
      </c>
      <c r="R126" s="37">
        <v>100</v>
      </c>
      <c r="S126" s="37" t="s">
        <v>1489</v>
      </c>
      <c r="T126" s="48">
        <v>30</v>
      </c>
      <c r="U126" s="30">
        <v>25813.329999999998</v>
      </c>
      <c r="V126" s="41">
        <v>774399.89999999991</v>
      </c>
      <c r="W126" s="41">
        <v>11280</v>
      </c>
      <c r="X126" s="41">
        <v>11280</v>
      </c>
      <c r="Y126" s="41">
        <v>0</v>
      </c>
      <c r="Z126" s="41">
        <v>0</v>
      </c>
      <c r="AA126" s="41">
        <v>0</v>
      </c>
      <c r="AB126" s="41">
        <v>0</v>
      </c>
      <c r="AC126" s="41">
        <v>0</v>
      </c>
      <c r="AD126" s="41">
        <v>0</v>
      </c>
      <c r="AE126" s="41">
        <v>0</v>
      </c>
      <c r="AF126" s="41">
        <v>0</v>
      </c>
      <c r="AG126" s="41">
        <v>0</v>
      </c>
      <c r="AH126" s="41">
        <v>0</v>
      </c>
      <c r="AI126" s="41">
        <v>0</v>
      </c>
      <c r="AJ126" s="41">
        <v>0</v>
      </c>
      <c r="AK126" s="41">
        <v>0</v>
      </c>
      <c r="AL126" s="41">
        <v>0</v>
      </c>
      <c r="AM126" s="41"/>
      <c r="AN126" s="41">
        <v>376</v>
      </c>
      <c r="AO126" s="41">
        <v>376</v>
      </c>
      <c r="AP126" s="40" t="s">
        <v>1918</v>
      </c>
      <c r="AQ126" s="36">
        <v>44986</v>
      </c>
      <c r="AR126" s="36"/>
      <c r="AS126" s="36"/>
      <c r="AT126" s="36">
        <v>45000</v>
      </c>
      <c r="AU126" s="36"/>
      <c r="AV126" s="38"/>
      <c r="AW126" s="40" t="s">
        <v>87</v>
      </c>
    </row>
    <row r="127" spans="1:49" s="34" customFormat="1" ht="59.25" customHeight="1" x14ac:dyDescent="0.3">
      <c r="A127" s="39" t="s">
        <v>1919</v>
      </c>
      <c r="B127" s="36">
        <v>44904</v>
      </c>
      <c r="C127" s="37">
        <v>545</v>
      </c>
      <c r="D127" s="39" t="s">
        <v>1920</v>
      </c>
      <c r="E127" s="1" t="s">
        <v>1921</v>
      </c>
      <c r="F127" s="36">
        <v>44938</v>
      </c>
      <c r="G127" s="37" t="s">
        <v>1922</v>
      </c>
      <c r="H127" s="40" t="s">
        <v>224</v>
      </c>
      <c r="I127" s="40" t="s">
        <v>1912</v>
      </c>
      <c r="J127" s="41">
        <v>254777961.90000001</v>
      </c>
      <c r="K127" s="41">
        <v>254777961.90000001</v>
      </c>
      <c r="L127" s="30">
        <v>254777961.90000001</v>
      </c>
      <c r="M127" s="30">
        <v>254777961.90000001</v>
      </c>
      <c r="N127" s="40" t="s">
        <v>1661</v>
      </c>
      <c r="O127" s="40" t="s">
        <v>1662</v>
      </c>
      <c r="P127" s="40" t="s">
        <v>1032</v>
      </c>
      <c r="Q127" s="44">
        <v>0</v>
      </c>
      <c r="R127" s="37">
        <v>100</v>
      </c>
      <c r="S127" s="37" t="s">
        <v>1489</v>
      </c>
      <c r="T127" s="48">
        <v>15</v>
      </c>
      <c r="U127" s="30">
        <v>25813.37</v>
      </c>
      <c r="V127" s="41">
        <v>387200.55</v>
      </c>
      <c r="W127" s="41">
        <v>9870</v>
      </c>
      <c r="X127" s="41">
        <v>9870</v>
      </c>
      <c r="Y127" s="41">
        <v>0</v>
      </c>
      <c r="Z127" s="41">
        <v>0</v>
      </c>
      <c r="AA127" s="41">
        <v>0</v>
      </c>
      <c r="AB127" s="41">
        <v>0</v>
      </c>
      <c r="AC127" s="41">
        <v>0</v>
      </c>
      <c r="AD127" s="41">
        <v>0</v>
      </c>
      <c r="AE127" s="41">
        <v>0</v>
      </c>
      <c r="AF127" s="41">
        <v>0</v>
      </c>
      <c r="AG127" s="41">
        <v>0</v>
      </c>
      <c r="AH127" s="41">
        <v>0</v>
      </c>
      <c r="AI127" s="41">
        <v>0</v>
      </c>
      <c r="AJ127" s="41">
        <v>0</v>
      </c>
      <c r="AK127" s="41">
        <v>0</v>
      </c>
      <c r="AL127" s="41">
        <v>0</v>
      </c>
      <c r="AM127" s="41"/>
      <c r="AN127" s="41">
        <v>658</v>
      </c>
      <c r="AO127" s="41">
        <v>658</v>
      </c>
      <c r="AP127" s="40" t="s">
        <v>1923</v>
      </c>
      <c r="AQ127" s="36">
        <v>44986</v>
      </c>
      <c r="AR127" s="36"/>
      <c r="AS127" s="36"/>
      <c r="AT127" s="36">
        <v>45000</v>
      </c>
      <c r="AU127" s="36"/>
      <c r="AV127" s="38"/>
      <c r="AW127" s="40" t="s">
        <v>87</v>
      </c>
    </row>
    <row r="128" spans="1:49" s="34" customFormat="1" ht="59.25" customHeight="1" x14ac:dyDescent="0.3">
      <c r="A128" s="39" t="s">
        <v>1924</v>
      </c>
      <c r="B128" s="36">
        <v>44904</v>
      </c>
      <c r="C128" s="37">
        <v>545</v>
      </c>
      <c r="D128" s="39" t="s">
        <v>1925</v>
      </c>
      <c r="E128" s="1" t="s">
        <v>1926</v>
      </c>
      <c r="F128" s="36">
        <v>44938</v>
      </c>
      <c r="G128" s="37" t="s">
        <v>1927</v>
      </c>
      <c r="H128" s="40" t="s">
        <v>224</v>
      </c>
      <c r="I128" s="40" t="s">
        <v>1706</v>
      </c>
      <c r="J128" s="41">
        <v>195923174.69999999</v>
      </c>
      <c r="K128" s="41">
        <v>195923174.69999999</v>
      </c>
      <c r="L128" s="30">
        <v>195923174.69999999</v>
      </c>
      <c r="M128" s="30">
        <v>195923174.69999999</v>
      </c>
      <c r="N128" s="40" t="s">
        <v>1661</v>
      </c>
      <c r="O128" s="40" t="s">
        <v>1707</v>
      </c>
      <c r="P128" s="40" t="s">
        <v>1032</v>
      </c>
      <c r="Q128" s="44">
        <v>0</v>
      </c>
      <c r="R128" s="37">
        <v>100</v>
      </c>
      <c r="S128" s="37" t="s">
        <v>1489</v>
      </c>
      <c r="T128" s="48">
        <v>30</v>
      </c>
      <c r="U128" s="30">
        <v>25813.329999999998</v>
      </c>
      <c r="V128" s="41">
        <v>774399.89999999991</v>
      </c>
      <c r="W128" s="41">
        <v>7590</v>
      </c>
      <c r="X128" s="41">
        <v>7590</v>
      </c>
      <c r="Y128" s="41">
        <v>0</v>
      </c>
      <c r="Z128" s="41">
        <v>0</v>
      </c>
      <c r="AA128" s="41">
        <v>0</v>
      </c>
      <c r="AB128" s="41">
        <v>0</v>
      </c>
      <c r="AC128" s="41">
        <v>0</v>
      </c>
      <c r="AD128" s="41">
        <v>0</v>
      </c>
      <c r="AE128" s="41">
        <v>0</v>
      </c>
      <c r="AF128" s="41">
        <v>0</v>
      </c>
      <c r="AG128" s="41">
        <v>0</v>
      </c>
      <c r="AH128" s="41">
        <v>0</v>
      </c>
      <c r="AI128" s="41">
        <v>0</v>
      </c>
      <c r="AJ128" s="41">
        <v>0</v>
      </c>
      <c r="AK128" s="41">
        <v>0</v>
      </c>
      <c r="AL128" s="41">
        <v>0</v>
      </c>
      <c r="AM128" s="41"/>
      <c r="AN128" s="41">
        <v>253</v>
      </c>
      <c r="AO128" s="41">
        <v>253</v>
      </c>
      <c r="AP128" s="40" t="s">
        <v>1573</v>
      </c>
      <c r="AQ128" s="36">
        <v>45005</v>
      </c>
      <c r="AR128" s="36"/>
      <c r="AS128" s="36"/>
      <c r="AT128" s="36">
        <v>45021</v>
      </c>
      <c r="AU128" s="36"/>
      <c r="AV128" s="38"/>
      <c r="AW128" s="40" t="s">
        <v>87</v>
      </c>
    </row>
    <row r="129" spans="1:49" s="34" customFormat="1" ht="59.25" customHeight="1" x14ac:dyDescent="0.3">
      <c r="A129" s="39" t="s">
        <v>1928</v>
      </c>
      <c r="B129" s="36">
        <v>44904</v>
      </c>
      <c r="C129" s="37">
        <v>545</v>
      </c>
      <c r="D129" s="39" t="s">
        <v>1929</v>
      </c>
      <c r="E129" s="1" t="s">
        <v>1930</v>
      </c>
      <c r="F129" s="36">
        <v>44938</v>
      </c>
      <c r="G129" s="37" t="s">
        <v>1931</v>
      </c>
      <c r="H129" s="40" t="s">
        <v>224</v>
      </c>
      <c r="I129" s="40" t="s">
        <v>1706</v>
      </c>
      <c r="J129" s="41">
        <v>288851162.69999999</v>
      </c>
      <c r="K129" s="41">
        <v>288851162.69999999</v>
      </c>
      <c r="L129" s="30">
        <v>288851162.69999999</v>
      </c>
      <c r="M129" s="30">
        <v>288851162.69999999</v>
      </c>
      <c r="N129" s="40" t="s">
        <v>1661</v>
      </c>
      <c r="O129" s="40" t="s">
        <v>1932</v>
      </c>
      <c r="P129" s="40" t="s">
        <v>1032</v>
      </c>
      <c r="Q129" s="44">
        <v>0</v>
      </c>
      <c r="R129" s="37">
        <v>100</v>
      </c>
      <c r="S129" s="37" t="s">
        <v>1489</v>
      </c>
      <c r="T129" s="48">
        <v>30</v>
      </c>
      <c r="U129" s="30">
        <v>25813.329999999998</v>
      </c>
      <c r="V129" s="41">
        <v>774399.89999999991</v>
      </c>
      <c r="W129" s="41">
        <v>11190</v>
      </c>
      <c r="X129" s="41">
        <v>11190</v>
      </c>
      <c r="Y129" s="41">
        <v>0</v>
      </c>
      <c r="Z129" s="41">
        <v>0</v>
      </c>
      <c r="AA129" s="41">
        <v>0</v>
      </c>
      <c r="AB129" s="41">
        <v>0</v>
      </c>
      <c r="AC129" s="41">
        <v>0</v>
      </c>
      <c r="AD129" s="41">
        <v>0</v>
      </c>
      <c r="AE129" s="41">
        <v>0</v>
      </c>
      <c r="AF129" s="41">
        <v>0</v>
      </c>
      <c r="AG129" s="41">
        <v>0</v>
      </c>
      <c r="AH129" s="41">
        <v>0</v>
      </c>
      <c r="AI129" s="41">
        <v>0</v>
      </c>
      <c r="AJ129" s="41">
        <v>0</v>
      </c>
      <c r="AK129" s="41">
        <v>0</v>
      </c>
      <c r="AL129" s="41">
        <v>0</v>
      </c>
      <c r="AM129" s="41"/>
      <c r="AN129" s="41">
        <v>373</v>
      </c>
      <c r="AO129" s="41">
        <v>373</v>
      </c>
      <c r="AP129" s="40" t="s">
        <v>1933</v>
      </c>
      <c r="AQ129" s="36">
        <v>44986</v>
      </c>
      <c r="AR129" s="36"/>
      <c r="AS129" s="36"/>
      <c r="AT129" s="36">
        <v>45000</v>
      </c>
      <c r="AU129" s="36"/>
      <c r="AV129" s="38"/>
      <c r="AW129" s="40" t="s">
        <v>87</v>
      </c>
    </row>
    <row r="130" spans="1:49" s="34" customFormat="1" ht="59.25" customHeight="1" x14ac:dyDescent="0.3">
      <c r="A130" s="39" t="s">
        <v>1934</v>
      </c>
      <c r="B130" s="36">
        <v>44904</v>
      </c>
      <c r="C130" s="37">
        <v>545</v>
      </c>
      <c r="D130" s="39" t="s">
        <v>1935</v>
      </c>
      <c r="E130" s="1" t="s">
        <v>1936</v>
      </c>
      <c r="F130" s="36">
        <v>44938</v>
      </c>
      <c r="G130" s="37" t="s">
        <v>1937</v>
      </c>
      <c r="H130" s="40" t="s">
        <v>224</v>
      </c>
      <c r="I130" s="40" t="s">
        <v>1706</v>
      </c>
      <c r="J130" s="41">
        <v>195923174.69999999</v>
      </c>
      <c r="K130" s="41">
        <v>195923174.69999999</v>
      </c>
      <c r="L130" s="30">
        <v>195923174.69999999</v>
      </c>
      <c r="M130" s="30">
        <v>195923174.69999999</v>
      </c>
      <c r="N130" s="40" t="s">
        <v>1661</v>
      </c>
      <c r="O130" s="40" t="s">
        <v>1707</v>
      </c>
      <c r="P130" s="40" t="s">
        <v>1032</v>
      </c>
      <c r="Q130" s="44">
        <v>0</v>
      </c>
      <c r="R130" s="37">
        <v>100</v>
      </c>
      <c r="S130" s="37" t="s">
        <v>1489</v>
      </c>
      <c r="T130" s="48">
        <v>30</v>
      </c>
      <c r="U130" s="30">
        <v>25813.329999999998</v>
      </c>
      <c r="V130" s="41">
        <v>774399.89999999991</v>
      </c>
      <c r="W130" s="41">
        <v>7590</v>
      </c>
      <c r="X130" s="41">
        <v>7590</v>
      </c>
      <c r="Y130" s="41"/>
      <c r="Z130" s="41"/>
      <c r="AA130" s="41"/>
      <c r="AB130" s="41"/>
      <c r="AC130" s="41"/>
      <c r="AD130" s="41"/>
      <c r="AE130" s="41"/>
      <c r="AF130" s="41"/>
      <c r="AG130" s="41"/>
      <c r="AH130" s="41"/>
      <c r="AI130" s="41"/>
      <c r="AJ130" s="41"/>
      <c r="AK130" s="41"/>
      <c r="AL130" s="41"/>
      <c r="AM130" s="41"/>
      <c r="AN130" s="41">
        <v>253</v>
      </c>
      <c r="AO130" s="41">
        <v>253</v>
      </c>
      <c r="AP130" s="40" t="s">
        <v>1573</v>
      </c>
      <c r="AQ130" s="36">
        <v>44986</v>
      </c>
      <c r="AR130" s="36"/>
      <c r="AS130" s="36"/>
      <c r="AT130" s="36">
        <v>45000</v>
      </c>
      <c r="AU130" s="36"/>
      <c r="AV130" s="38"/>
      <c r="AW130" s="40" t="s">
        <v>87</v>
      </c>
    </row>
    <row r="131" spans="1:49" s="34" customFormat="1" ht="59.25" customHeight="1" x14ac:dyDescent="0.3">
      <c r="A131" s="39" t="s">
        <v>1938</v>
      </c>
      <c r="B131" s="36">
        <v>44904</v>
      </c>
      <c r="C131" s="37">
        <v>545</v>
      </c>
      <c r="D131" s="39" t="s">
        <v>1939</v>
      </c>
      <c r="E131" s="1" t="s">
        <v>1940</v>
      </c>
      <c r="F131" s="36">
        <v>44937</v>
      </c>
      <c r="G131" s="37" t="s">
        <v>1941</v>
      </c>
      <c r="H131" s="40" t="s">
        <v>802</v>
      </c>
      <c r="I131" s="40" t="s">
        <v>1942</v>
      </c>
      <c r="J131" s="41">
        <v>283196981.75999999</v>
      </c>
      <c r="K131" s="41">
        <v>283196981.75999999</v>
      </c>
      <c r="L131" s="30">
        <v>322136566.75</v>
      </c>
      <c r="M131" s="30">
        <v>322136566.75</v>
      </c>
      <c r="N131" s="40" t="s">
        <v>1943</v>
      </c>
      <c r="O131" s="40" t="s">
        <v>1944</v>
      </c>
      <c r="P131" s="40" t="s">
        <v>1436</v>
      </c>
      <c r="Q131" s="44">
        <v>0</v>
      </c>
      <c r="R131" s="37">
        <v>100</v>
      </c>
      <c r="S131" s="37" t="s">
        <v>584</v>
      </c>
      <c r="T131" s="67">
        <v>18541.599999999999</v>
      </c>
      <c r="U131" s="30">
        <v>47.729999999703665</v>
      </c>
      <c r="V131" s="41">
        <v>884990.5679945054</v>
      </c>
      <c r="W131" s="41">
        <v>6749142.4000000004</v>
      </c>
      <c r="X131" s="41">
        <v>3300404.8</v>
      </c>
      <c r="Y131" s="41">
        <v>0</v>
      </c>
      <c r="Z131" s="41">
        <v>0</v>
      </c>
      <c r="AA131" s="41">
        <v>0</v>
      </c>
      <c r="AB131" s="41">
        <v>0</v>
      </c>
      <c r="AC131" s="41">
        <v>3448737.6</v>
      </c>
      <c r="AD131" s="41">
        <v>0</v>
      </c>
      <c r="AE131" s="41">
        <v>0</v>
      </c>
      <c r="AF131" s="41">
        <v>0</v>
      </c>
      <c r="AG131" s="41">
        <v>0</v>
      </c>
      <c r="AH131" s="41">
        <v>0</v>
      </c>
      <c r="AI131" s="41">
        <v>0</v>
      </c>
      <c r="AJ131" s="41">
        <v>0</v>
      </c>
      <c r="AK131" s="41">
        <v>0</v>
      </c>
      <c r="AL131" s="41">
        <v>0</v>
      </c>
      <c r="AM131" s="41"/>
      <c r="AN131" s="41">
        <v>364.00000000000006</v>
      </c>
      <c r="AO131" s="41">
        <v>364</v>
      </c>
      <c r="AP131" s="40" t="s">
        <v>1353</v>
      </c>
      <c r="AQ131" s="36">
        <v>45017</v>
      </c>
      <c r="AR131" s="36">
        <v>45108</v>
      </c>
      <c r="AS131" s="36"/>
      <c r="AT131" s="36">
        <v>45031</v>
      </c>
      <c r="AU131" s="36">
        <v>45122</v>
      </c>
      <c r="AV131" s="38"/>
      <c r="AW131" s="40" t="s">
        <v>87</v>
      </c>
    </row>
    <row r="132" spans="1:49" s="34" customFormat="1" ht="41.25" customHeight="1" x14ac:dyDescent="0.3">
      <c r="A132" s="39" t="s">
        <v>1959</v>
      </c>
      <c r="B132" s="36">
        <v>44916</v>
      </c>
      <c r="C132" s="37">
        <v>545</v>
      </c>
      <c r="D132" s="39" t="s">
        <v>1960</v>
      </c>
      <c r="E132" s="1" t="s">
        <v>1961</v>
      </c>
      <c r="F132" s="36">
        <v>44943</v>
      </c>
      <c r="G132" s="37" t="s">
        <v>1962</v>
      </c>
      <c r="H132" s="40" t="s">
        <v>878</v>
      </c>
      <c r="I132" s="40" t="s">
        <v>1525</v>
      </c>
      <c r="J132" s="41">
        <v>195259960.16999999</v>
      </c>
      <c r="K132" s="41">
        <v>195259960.16999999</v>
      </c>
      <c r="L132" s="30">
        <v>201840153.56999999</v>
      </c>
      <c r="M132" s="30">
        <v>201840153.56999999</v>
      </c>
      <c r="N132" s="40" t="s">
        <v>1536</v>
      </c>
      <c r="O132" s="40" t="s">
        <v>1963</v>
      </c>
      <c r="P132" s="40" t="s">
        <v>348</v>
      </c>
      <c r="Q132" s="44">
        <v>0</v>
      </c>
      <c r="R132" s="37">
        <v>100</v>
      </c>
      <c r="S132" s="37" t="s">
        <v>1964</v>
      </c>
      <c r="T132" s="48">
        <v>30</v>
      </c>
      <c r="U132" s="30">
        <v>970.53</v>
      </c>
      <c r="V132" s="41">
        <v>29115.899999999998</v>
      </c>
      <c r="W132" s="41">
        <v>207969</v>
      </c>
      <c r="X132" s="41">
        <v>207969</v>
      </c>
      <c r="Y132" s="41">
        <v>0</v>
      </c>
      <c r="Z132" s="41">
        <v>0</v>
      </c>
      <c r="AA132" s="41">
        <v>0</v>
      </c>
      <c r="AB132" s="41">
        <v>0</v>
      </c>
      <c r="AC132" s="41">
        <v>0</v>
      </c>
      <c r="AD132" s="41">
        <v>0</v>
      </c>
      <c r="AE132" s="41">
        <v>0</v>
      </c>
      <c r="AF132" s="41">
        <v>0</v>
      </c>
      <c r="AG132" s="41">
        <v>0</v>
      </c>
      <c r="AH132" s="41">
        <v>0</v>
      </c>
      <c r="AI132" s="41">
        <v>0</v>
      </c>
      <c r="AJ132" s="41">
        <v>0</v>
      </c>
      <c r="AK132" s="41">
        <v>0</v>
      </c>
      <c r="AL132" s="41">
        <v>0</v>
      </c>
      <c r="AM132" s="41"/>
      <c r="AN132" s="41">
        <v>6932.3</v>
      </c>
      <c r="AO132" s="41">
        <v>6933</v>
      </c>
      <c r="AP132" s="40" t="s">
        <v>1353</v>
      </c>
      <c r="AQ132" s="36">
        <v>44986</v>
      </c>
      <c r="AR132" s="36"/>
      <c r="AS132" s="36"/>
      <c r="AT132" s="36">
        <v>45000</v>
      </c>
      <c r="AU132" s="36"/>
      <c r="AV132" s="38"/>
      <c r="AW132" s="40" t="s">
        <v>87</v>
      </c>
    </row>
    <row r="133" spans="1:49" s="34" customFormat="1" ht="35.25" customHeight="1" x14ac:dyDescent="0.3">
      <c r="A133" s="39" t="s">
        <v>1965</v>
      </c>
      <c r="B133" s="36">
        <v>44916</v>
      </c>
      <c r="C133" s="37">
        <v>545</v>
      </c>
      <c r="D133" s="37" t="s">
        <v>459</v>
      </c>
      <c r="E133" s="37" t="s">
        <v>459</v>
      </c>
      <c r="F133" s="37" t="s">
        <v>459</v>
      </c>
      <c r="G133" s="37" t="s">
        <v>459</v>
      </c>
      <c r="H133" s="37" t="s">
        <v>459</v>
      </c>
      <c r="I133" s="40" t="s">
        <v>1966</v>
      </c>
      <c r="J133" s="41">
        <v>11809600</v>
      </c>
      <c r="K133" s="41">
        <v>0</v>
      </c>
      <c r="L133" s="30">
        <v>0</v>
      </c>
      <c r="M133" s="30">
        <v>0</v>
      </c>
      <c r="N133" s="40"/>
      <c r="O133" s="40"/>
      <c r="P133" s="40"/>
      <c r="Q133" s="44"/>
      <c r="R133" s="37"/>
      <c r="S133" s="37"/>
      <c r="T133" s="48"/>
      <c r="U133" s="30" t="e">
        <v>#DIV/0!</v>
      </c>
      <c r="V133" s="41" t="e">
        <v>#DIV/0!</v>
      </c>
      <c r="W133" s="41">
        <v>0</v>
      </c>
      <c r="X133" s="41"/>
      <c r="Y133" s="41"/>
      <c r="Z133" s="41"/>
      <c r="AA133" s="41"/>
      <c r="AB133" s="41"/>
      <c r="AC133" s="41"/>
      <c r="AD133" s="41"/>
      <c r="AE133" s="41"/>
      <c r="AF133" s="41"/>
      <c r="AG133" s="41"/>
      <c r="AH133" s="41"/>
      <c r="AI133" s="41"/>
      <c r="AJ133" s="41"/>
      <c r="AK133" s="41"/>
      <c r="AL133" s="41"/>
      <c r="AM133" s="41"/>
      <c r="AN133" s="41" t="e">
        <v>#DIV/0!</v>
      </c>
      <c r="AO133" s="41" t="e">
        <v>#DIV/0!</v>
      </c>
      <c r="AP133" s="40"/>
      <c r="AQ133" s="36"/>
      <c r="AR133" s="36"/>
      <c r="AS133" s="36"/>
      <c r="AT133" s="36"/>
      <c r="AU133" s="36"/>
      <c r="AV133" s="38"/>
      <c r="AW133" s="40"/>
    </row>
    <row r="134" spans="1:49" s="34" customFormat="1" ht="48" customHeight="1" x14ac:dyDescent="0.3">
      <c r="A134" s="39" t="s">
        <v>1967</v>
      </c>
      <c r="B134" s="36">
        <v>44921</v>
      </c>
      <c r="C134" s="37">
        <v>545</v>
      </c>
      <c r="D134" s="39" t="s">
        <v>1968</v>
      </c>
      <c r="E134" s="1" t="s">
        <v>1969</v>
      </c>
      <c r="F134" s="36">
        <v>44950</v>
      </c>
      <c r="G134" s="37" t="s">
        <v>1970</v>
      </c>
      <c r="H134" s="40" t="s">
        <v>1971</v>
      </c>
      <c r="I134" s="40" t="s">
        <v>1972</v>
      </c>
      <c r="J134" s="41">
        <v>567600000</v>
      </c>
      <c r="K134" s="41">
        <v>553410000</v>
      </c>
      <c r="L134" s="30">
        <v>553410000</v>
      </c>
      <c r="M134" s="30">
        <v>553410000</v>
      </c>
      <c r="N134" s="40" t="s">
        <v>1973</v>
      </c>
      <c r="O134" s="40" t="s">
        <v>1974</v>
      </c>
      <c r="P134" s="40" t="s">
        <v>1032</v>
      </c>
      <c r="Q134" s="44">
        <v>0</v>
      </c>
      <c r="R134" s="37">
        <v>100</v>
      </c>
      <c r="S134" s="37" t="s">
        <v>1964</v>
      </c>
      <c r="T134" s="48">
        <v>1</v>
      </c>
      <c r="U134" s="30">
        <v>92235000</v>
      </c>
      <c r="V134" s="41">
        <v>92235000</v>
      </c>
      <c r="W134" s="41">
        <v>6</v>
      </c>
      <c r="X134" s="41">
        <v>6</v>
      </c>
      <c r="Y134" s="41">
        <v>0</v>
      </c>
      <c r="Z134" s="41">
        <v>0</v>
      </c>
      <c r="AA134" s="41">
        <v>0</v>
      </c>
      <c r="AB134" s="41">
        <v>0</v>
      </c>
      <c r="AC134" s="41">
        <v>0</v>
      </c>
      <c r="AD134" s="41">
        <v>0</v>
      </c>
      <c r="AE134" s="41">
        <v>0</v>
      </c>
      <c r="AF134" s="41">
        <v>0</v>
      </c>
      <c r="AG134" s="41">
        <v>0</v>
      </c>
      <c r="AH134" s="41">
        <v>0</v>
      </c>
      <c r="AI134" s="41">
        <v>0</v>
      </c>
      <c r="AJ134" s="41">
        <v>0</v>
      </c>
      <c r="AK134" s="41">
        <v>0</v>
      </c>
      <c r="AL134" s="41">
        <v>0</v>
      </c>
      <c r="AM134" s="41"/>
      <c r="AN134" s="41">
        <v>6</v>
      </c>
      <c r="AO134" s="41">
        <v>6</v>
      </c>
      <c r="AP134" s="40"/>
      <c r="AQ134" s="36"/>
      <c r="AR134" s="36"/>
      <c r="AS134" s="36"/>
      <c r="AT134" s="36"/>
      <c r="AU134" s="36"/>
      <c r="AV134" s="38"/>
      <c r="AW134" s="40" t="s">
        <v>49</v>
      </c>
    </row>
    <row r="135" spans="1:49" s="34" customFormat="1" ht="79.5" customHeight="1" x14ac:dyDescent="0.3">
      <c r="A135" s="35" t="s">
        <v>1977</v>
      </c>
      <c r="B135" s="38">
        <v>44945</v>
      </c>
      <c r="C135" s="40">
        <v>545</v>
      </c>
      <c r="D135" s="39" t="s">
        <v>1978</v>
      </c>
      <c r="E135" s="1" t="s">
        <v>1979</v>
      </c>
      <c r="F135" s="36">
        <v>44964</v>
      </c>
      <c r="G135" s="35" t="s">
        <v>1980</v>
      </c>
      <c r="H135" s="40" t="s">
        <v>878</v>
      </c>
      <c r="I135" s="40" t="s">
        <v>1420</v>
      </c>
      <c r="J135" s="57">
        <v>7520568</v>
      </c>
      <c r="K135" s="41">
        <v>5562216</v>
      </c>
      <c r="L135" s="30">
        <v>5562216</v>
      </c>
      <c r="M135" s="30">
        <v>5562216</v>
      </c>
      <c r="N135" s="40" t="s">
        <v>1421</v>
      </c>
      <c r="O135" s="40" t="s">
        <v>1422</v>
      </c>
      <c r="P135" s="40" t="s">
        <v>218</v>
      </c>
      <c r="Q135" s="44">
        <v>0</v>
      </c>
      <c r="R135" s="37">
        <v>100</v>
      </c>
      <c r="S135" s="37" t="s">
        <v>1964</v>
      </c>
      <c r="T135" s="48">
        <v>60</v>
      </c>
      <c r="U135" s="30">
        <v>2317.59</v>
      </c>
      <c r="V135" s="41">
        <v>139055.40000000002</v>
      </c>
      <c r="W135" s="41">
        <v>2400</v>
      </c>
      <c r="X135" s="41">
        <v>2400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c r="AN135" s="41">
        <v>40</v>
      </c>
      <c r="AO135" s="41">
        <v>40</v>
      </c>
      <c r="AP135" s="40" t="s">
        <v>1981</v>
      </c>
      <c r="AQ135" s="36">
        <v>44986</v>
      </c>
      <c r="AR135" s="36"/>
      <c r="AS135" s="36"/>
      <c r="AT135" s="36">
        <v>45000</v>
      </c>
      <c r="AU135" s="36"/>
      <c r="AV135" s="38"/>
      <c r="AW135" s="40" t="s">
        <v>87</v>
      </c>
    </row>
    <row r="136" spans="1:49" s="34" customFormat="1" ht="79.5" customHeight="1" x14ac:dyDescent="0.3">
      <c r="A136" s="35" t="s">
        <v>1982</v>
      </c>
      <c r="B136" s="38">
        <v>44945</v>
      </c>
      <c r="C136" s="40">
        <v>545</v>
      </c>
      <c r="D136" s="39" t="s">
        <v>1983</v>
      </c>
      <c r="E136" s="1" t="s">
        <v>1984</v>
      </c>
      <c r="F136" s="36">
        <v>44964</v>
      </c>
      <c r="G136" s="35" t="s">
        <v>1985</v>
      </c>
      <c r="H136" s="40" t="s">
        <v>878</v>
      </c>
      <c r="I136" s="40" t="s">
        <v>1427</v>
      </c>
      <c r="J136" s="57">
        <v>1772998.2</v>
      </c>
      <c r="K136" s="41">
        <v>1296108</v>
      </c>
      <c r="L136" s="30">
        <v>1296108</v>
      </c>
      <c r="M136" s="30">
        <v>1296108</v>
      </c>
      <c r="N136" s="40" t="s">
        <v>1421</v>
      </c>
      <c r="O136" s="40" t="s">
        <v>1428</v>
      </c>
      <c r="P136" s="40" t="s">
        <v>218</v>
      </c>
      <c r="Q136" s="44">
        <v>0</v>
      </c>
      <c r="R136" s="37">
        <v>100</v>
      </c>
      <c r="S136" s="37" t="s">
        <v>1964</v>
      </c>
      <c r="T136" s="48">
        <v>60</v>
      </c>
      <c r="U136" s="30">
        <v>2400.1999999999998</v>
      </c>
      <c r="V136" s="41">
        <v>144012</v>
      </c>
      <c r="W136" s="41">
        <v>540</v>
      </c>
      <c r="X136" s="41">
        <v>540</v>
      </c>
      <c r="Y136" s="41">
        <v>0</v>
      </c>
      <c r="Z136" s="41">
        <v>0</v>
      </c>
      <c r="AA136" s="41">
        <v>0</v>
      </c>
      <c r="AB136" s="41">
        <v>0</v>
      </c>
      <c r="AC136" s="41">
        <v>0</v>
      </c>
      <c r="AD136" s="41">
        <v>0</v>
      </c>
      <c r="AE136" s="41">
        <v>0</v>
      </c>
      <c r="AF136" s="41">
        <v>0</v>
      </c>
      <c r="AG136" s="41">
        <v>0</v>
      </c>
      <c r="AH136" s="41">
        <v>0</v>
      </c>
      <c r="AI136" s="41">
        <v>0</v>
      </c>
      <c r="AJ136" s="41">
        <v>0</v>
      </c>
      <c r="AK136" s="41">
        <v>0</v>
      </c>
      <c r="AL136" s="41">
        <v>0</v>
      </c>
      <c r="AM136" s="41"/>
      <c r="AN136" s="41">
        <v>9</v>
      </c>
      <c r="AO136" s="41">
        <v>9</v>
      </c>
      <c r="AP136" s="40" t="s">
        <v>1986</v>
      </c>
      <c r="AQ136" s="36">
        <v>44986</v>
      </c>
      <c r="AR136" s="36"/>
      <c r="AS136" s="36"/>
      <c r="AT136" s="36">
        <v>45000</v>
      </c>
      <c r="AU136" s="36"/>
      <c r="AV136" s="38"/>
      <c r="AW136" s="40" t="s">
        <v>87</v>
      </c>
    </row>
    <row r="137" spans="1:49" s="34" customFormat="1" ht="48" customHeight="1" x14ac:dyDescent="0.3">
      <c r="A137" s="35" t="s">
        <v>1987</v>
      </c>
      <c r="B137" s="38">
        <v>44945</v>
      </c>
      <c r="C137" s="40">
        <v>545</v>
      </c>
      <c r="D137" s="39" t="s">
        <v>1988</v>
      </c>
      <c r="E137" s="1" t="s">
        <v>1989</v>
      </c>
      <c r="F137" s="36">
        <v>44974</v>
      </c>
      <c r="G137" s="35" t="s">
        <v>1990</v>
      </c>
      <c r="H137" s="40" t="s">
        <v>224</v>
      </c>
      <c r="I137" s="40" t="s">
        <v>1972</v>
      </c>
      <c r="J137" s="57">
        <v>7199500000</v>
      </c>
      <c r="K137" s="41">
        <v>7077108500</v>
      </c>
      <c r="L137" s="30">
        <v>7077108500</v>
      </c>
      <c r="M137" s="30">
        <v>7077108500</v>
      </c>
      <c r="N137" s="40" t="s">
        <v>1973</v>
      </c>
      <c r="O137" s="40" t="s">
        <v>1974</v>
      </c>
      <c r="P137" s="40" t="s">
        <v>1032</v>
      </c>
      <c r="Q137" s="44">
        <v>0</v>
      </c>
      <c r="R137" s="37">
        <v>100</v>
      </c>
      <c r="S137" s="37" t="s">
        <v>1964</v>
      </c>
      <c r="T137" s="48">
        <v>1</v>
      </c>
      <c r="U137" s="30">
        <v>91910500</v>
      </c>
      <c r="V137" s="41">
        <v>91910500</v>
      </c>
      <c r="W137" s="41">
        <v>77</v>
      </c>
      <c r="X137" s="41">
        <v>77</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c r="AN137" s="41">
        <v>77</v>
      </c>
      <c r="AO137" s="41">
        <v>77</v>
      </c>
      <c r="AP137" s="40" t="s">
        <v>1991</v>
      </c>
      <c r="AQ137" s="36"/>
      <c r="AR137" s="36"/>
      <c r="AS137" s="36"/>
      <c r="AT137" s="36"/>
      <c r="AU137" s="36"/>
      <c r="AV137" s="38"/>
      <c r="AW137" s="40" t="s">
        <v>49</v>
      </c>
    </row>
    <row r="138" spans="1:49" ht="78" x14ac:dyDescent="0.3">
      <c r="A138" s="35" t="s">
        <v>2022</v>
      </c>
      <c r="B138" s="38">
        <v>44950</v>
      </c>
      <c r="C138" s="40">
        <v>545</v>
      </c>
      <c r="D138" s="39" t="s">
        <v>459</v>
      </c>
      <c r="E138" s="1" t="s">
        <v>2023</v>
      </c>
      <c r="F138" s="36" t="s">
        <v>459</v>
      </c>
      <c r="G138" s="37" t="s">
        <v>459</v>
      </c>
      <c r="H138" s="40" t="s">
        <v>459</v>
      </c>
      <c r="I138" s="40" t="s">
        <v>1966</v>
      </c>
      <c r="J138" s="57">
        <v>15675660</v>
      </c>
      <c r="K138" s="41">
        <v>0</v>
      </c>
      <c r="L138" s="30">
        <v>0</v>
      </c>
      <c r="M138" s="30">
        <v>0</v>
      </c>
      <c r="N138" s="40"/>
      <c r="O138" s="40"/>
      <c r="P138" s="40"/>
      <c r="Q138" s="44"/>
      <c r="R138" s="37"/>
      <c r="S138" s="37"/>
      <c r="T138" s="48"/>
      <c r="U138" s="30" t="e">
        <v>#DIV/0!</v>
      </c>
      <c r="V138" s="41" t="e">
        <v>#DIV/0!</v>
      </c>
      <c r="W138" s="41">
        <v>0</v>
      </c>
      <c r="X138" s="41"/>
      <c r="Y138" s="41"/>
      <c r="Z138" s="41"/>
      <c r="AA138" s="41"/>
      <c r="AB138" s="41"/>
      <c r="AC138" s="41"/>
      <c r="AD138" s="41"/>
      <c r="AE138" s="41"/>
      <c r="AF138" s="41"/>
      <c r="AG138" s="41"/>
      <c r="AH138" s="41"/>
      <c r="AI138" s="41"/>
      <c r="AJ138" s="41"/>
      <c r="AK138" s="41"/>
      <c r="AL138" s="41"/>
      <c r="AM138" s="41"/>
      <c r="AN138" s="41" t="e">
        <v>#DIV/0!</v>
      </c>
      <c r="AO138" s="41" t="e">
        <v>#DIV/0!</v>
      </c>
      <c r="AP138" s="40"/>
      <c r="AQ138" s="36"/>
      <c r="AR138" s="36"/>
      <c r="AS138" s="36"/>
      <c r="AT138" s="36"/>
      <c r="AU138" s="36"/>
      <c r="AV138" s="38"/>
      <c r="AW138" s="40"/>
    </row>
    <row r="139" spans="1:49" ht="114.6" customHeight="1" x14ac:dyDescent="0.3">
      <c r="A139" s="35" t="s">
        <v>2161</v>
      </c>
      <c r="B139" s="38">
        <v>44957</v>
      </c>
      <c r="C139" s="37">
        <v>545</v>
      </c>
      <c r="D139" s="39" t="s">
        <v>491</v>
      </c>
      <c r="E139" s="40" t="s">
        <v>491</v>
      </c>
      <c r="F139" s="36" t="s">
        <v>491</v>
      </c>
      <c r="G139" s="37" t="s">
        <v>491</v>
      </c>
      <c r="H139" s="40" t="s">
        <v>491</v>
      </c>
      <c r="I139" s="40" t="s">
        <v>1479</v>
      </c>
      <c r="J139" s="57">
        <v>53160360</v>
      </c>
      <c r="K139" s="41">
        <v>0</v>
      </c>
      <c r="L139" s="30">
        <v>0</v>
      </c>
      <c r="M139" s="30">
        <v>0</v>
      </c>
      <c r="N139" s="40"/>
      <c r="O139" s="40"/>
      <c r="P139" s="40"/>
      <c r="Q139" s="44"/>
      <c r="R139" s="37"/>
      <c r="S139" s="37"/>
      <c r="T139" s="48"/>
      <c r="U139" s="30" t="e">
        <v>#DIV/0!</v>
      </c>
      <c r="V139" s="41" t="e">
        <v>#DIV/0!</v>
      </c>
      <c r="W139" s="41">
        <v>0</v>
      </c>
      <c r="X139" s="41"/>
      <c r="Y139" s="41"/>
      <c r="Z139" s="41"/>
      <c r="AA139" s="41"/>
      <c r="AB139" s="41"/>
      <c r="AC139" s="41"/>
      <c r="AD139" s="41"/>
      <c r="AE139" s="41"/>
      <c r="AF139" s="41"/>
      <c r="AG139" s="41"/>
      <c r="AH139" s="41"/>
      <c r="AI139" s="41"/>
      <c r="AJ139" s="41"/>
      <c r="AK139" s="41"/>
      <c r="AL139" s="41"/>
      <c r="AM139" s="41"/>
      <c r="AN139" s="41" t="e">
        <v>#DIV/0!</v>
      </c>
      <c r="AO139" s="41" t="e">
        <v>#DIV/0!</v>
      </c>
      <c r="AP139" s="40"/>
      <c r="AQ139" s="36"/>
      <c r="AR139" s="36"/>
      <c r="AS139" s="36"/>
      <c r="AT139" s="36"/>
      <c r="AU139" s="36"/>
      <c r="AV139" s="38"/>
      <c r="AW139" s="40"/>
    </row>
    <row r="140" spans="1:49" s="34" customFormat="1" ht="79.5" customHeight="1" x14ac:dyDescent="0.3">
      <c r="A140" s="35" t="s">
        <v>2194</v>
      </c>
      <c r="B140" s="38">
        <v>44959</v>
      </c>
      <c r="C140" s="40">
        <v>545</v>
      </c>
      <c r="D140" s="39" t="s">
        <v>2195</v>
      </c>
      <c r="E140" s="1" t="s">
        <v>2196</v>
      </c>
      <c r="F140" s="36">
        <v>44978</v>
      </c>
      <c r="G140" s="37" t="s">
        <v>2197</v>
      </c>
      <c r="H140" s="40" t="s">
        <v>224</v>
      </c>
      <c r="I140" s="40" t="s">
        <v>1314</v>
      </c>
      <c r="J140" s="57">
        <v>162690000</v>
      </c>
      <c r="K140" s="41">
        <v>162690000</v>
      </c>
      <c r="L140" s="30">
        <v>190634400</v>
      </c>
      <c r="M140" s="30">
        <v>190634400</v>
      </c>
      <c r="N140" s="40" t="s">
        <v>1300</v>
      </c>
      <c r="O140" s="40" t="s">
        <v>1308</v>
      </c>
      <c r="P140" s="40" t="s">
        <v>1032</v>
      </c>
      <c r="Q140" s="44">
        <v>0</v>
      </c>
      <c r="R140" s="37">
        <v>100</v>
      </c>
      <c r="S140" s="37" t="s">
        <v>1964</v>
      </c>
      <c r="T140" s="48">
        <v>60</v>
      </c>
      <c r="U140" s="30">
        <v>6380</v>
      </c>
      <c r="V140" s="41">
        <v>382800</v>
      </c>
      <c r="W140" s="41">
        <v>29880</v>
      </c>
      <c r="X140" s="41">
        <v>4740</v>
      </c>
      <c r="Y140" s="41">
        <v>0</v>
      </c>
      <c r="Z140" s="41">
        <v>0</v>
      </c>
      <c r="AA140" s="41">
        <v>0</v>
      </c>
      <c r="AB140" s="41">
        <v>0</v>
      </c>
      <c r="AC140" s="41">
        <v>19980</v>
      </c>
      <c r="AD140" s="41">
        <v>0</v>
      </c>
      <c r="AE140" s="41">
        <v>0</v>
      </c>
      <c r="AF140" s="41">
        <v>0</v>
      </c>
      <c r="AG140" s="41">
        <v>0</v>
      </c>
      <c r="AH140" s="41">
        <v>5160</v>
      </c>
      <c r="AI140" s="41">
        <v>0</v>
      </c>
      <c r="AJ140" s="41">
        <v>0</v>
      </c>
      <c r="AK140" s="41">
        <v>0</v>
      </c>
      <c r="AL140" s="41">
        <v>0</v>
      </c>
      <c r="AM140" s="41"/>
      <c r="AN140" s="41">
        <v>498</v>
      </c>
      <c r="AO140" s="41">
        <v>498</v>
      </c>
      <c r="AP140" s="40" t="s">
        <v>1273</v>
      </c>
      <c r="AQ140" s="36">
        <v>45016</v>
      </c>
      <c r="AR140" s="36">
        <v>45107</v>
      </c>
      <c r="AS140" s="36">
        <v>45169</v>
      </c>
      <c r="AT140" s="36">
        <v>45031</v>
      </c>
      <c r="AU140" s="36">
        <v>45122</v>
      </c>
      <c r="AV140" s="38">
        <v>45184</v>
      </c>
      <c r="AW140" s="40" t="s">
        <v>87</v>
      </c>
    </row>
    <row r="141" spans="1:49" s="34" customFormat="1" ht="79.5" customHeight="1" x14ac:dyDescent="0.3">
      <c r="A141" s="35" t="s">
        <v>2198</v>
      </c>
      <c r="B141" s="38">
        <v>44959</v>
      </c>
      <c r="C141" s="40">
        <v>545</v>
      </c>
      <c r="D141" s="39" t="s">
        <v>2199</v>
      </c>
      <c r="E141" s="1" t="s">
        <v>2200</v>
      </c>
      <c r="F141" s="36">
        <v>44978</v>
      </c>
      <c r="G141" s="37" t="s">
        <v>2201</v>
      </c>
      <c r="H141" s="40" t="s">
        <v>224</v>
      </c>
      <c r="I141" s="40" t="s">
        <v>1314</v>
      </c>
      <c r="J141" s="57">
        <v>274467600</v>
      </c>
      <c r="K141" s="57">
        <v>274467600</v>
      </c>
      <c r="L141" s="30">
        <v>332270400</v>
      </c>
      <c r="M141" s="30">
        <v>332270400</v>
      </c>
      <c r="N141" s="40" t="s">
        <v>1300</v>
      </c>
      <c r="O141" s="40" t="s">
        <v>1308</v>
      </c>
      <c r="P141" s="40" t="s">
        <v>1032</v>
      </c>
      <c r="Q141" s="44">
        <v>0</v>
      </c>
      <c r="R141" s="37">
        <v>100</v>
      </c>
      <c r="S141" s="37" t="s">
        <v>1964</v>
      </c>
      <c r="T141" s="48">
        <v>60</v>
      </c>
      <c r="U141" s="30">
        <v>6380</v>
      </c>
      <c r="V141" s="41">
        <v>382800</v>
      </c>
      <c r="W141" s="41">
        <v>52080</v>
      </c>
      <c r="X141" s="41">
        <v>7860</v>
      </c>
      <c r="Y141" s="41">
        <v>0</v>
      </c>
      <c r="Z141" s="41">
        <v>0</v>
      </c>
      <c r="AA141" s="41">
        <v>0</v>
      </c>
      <c r="AB141" s="41">
        <v>0</v>
      </c>
      <c r="AC141" s="41">
        <v>35400</v>
      </c>
      <c r="AD141" s="41">
        <v>0</v>
      </c>
      <c r="AE141" s="41">
        <v>0</v>
      </c>
      <c r="AF141" s="41">
        <v>0</v>
      </c>
      <c r="AG141" s="41">
        <v>0</v>
      </c>
      <c r="AH141" s="41">
        <v>8820</v>
      </c>
      <c r="AI141" s="41">
        <v>0</v>
      </c>
      <c r="AJ141" s="41">
        <v>0</v>
      </c>
      <c r="AK141" s="41">
        <v>0</v>
      </c>
      <c r="AL141" s="41">
        <v>0</v>
      </c>
      <c r="AM141" s="41"/>
      <c r="AN141" s="41">
        <v>868</v>
      </c>
      <c r="AO141" s="41">
        <v>868</v>
      </c>
      <c r="AP141" s="40" t="s">
        <v>1285</v>
      </c>
      <c r="AQ141" s="36">
        <v>45016</v>
      </c>
      <c r="AR141" s="36">
        <v>45107</v>
      </c>
      <c r="AS141" s="36">
        <v>45169</v>
      </c>
      <c r="AT141" s="36">
        <v>45031</v>
      </c>
      <c r="AU141" s="36">
        <v>45122</v>
      </c>
      <c r="AV141" s="38">
        <v>45184</v>
      </c>
      <c r="AW141" s="40" t="s">
        <v>87</v>
      </c>
    </row>
    <row r="142" spans="1:49" s="34" customFormat="1" ht="75.75" customHeight="1" x14ac:dyDescent="0.3">
      <c r="A142" s="35" t="s">
        <v>2202</v>
      </c>
      <c r="B142" s="38">
        <v>44959</v>
      </c>
      <c r="C142" s="40">
        <v>545</v>
      </c>
      <c r="D142" s="39" t="s">
        <v>2203</v>
      </c>
      <c r="E142" s="1" t="s">
        <v>2204</v>
      </c>
      <c r="F142" s="36">
        <v>44978</v>
      </c>
      <c r="G142" s="37" t="s">
        <v>2205</v>
      </c>
      <c r="H142" s="40" t="s">
        <v>224</v>
      </c>
      <c r="I142" s="40" t="s">
        <v>1270</v>
      </c>
      <c r="J142" s="57">
        <v>38579798.399999999</v>
      </c>
      <c r="K142" s="41">
        <v>38579798.399999999</v>
      </c>
      <c r="L142" s="30">
        <v>38579798.399999999</v>
      </c>
      <c r="M142" s="30">
        <v>38579798.399999999</v>
      </c>
      <c r="N142" s="40" t="s">
        <v>1271</v>
      </c>
      <c r="O142" s="40" t="s">
        <v>1284</v>
      </c>
      <c r="P142" s="40" t="s">
        <v>199</v>
      </c>
      <c r="Q142" s="44">
        <v>0</v>
      </c>
      <c r="R142" s="37">
        <v>100</v>
      </c>
      <c r="S142" s="37" t="s">
        <v>219</v>
      </c>
      <c r="T142" s="48">
        <v>12</v>
      </c>
      <c r="U142" s="30">
        <v>247306.4</v>
      </c>
      <c r="V142" s="41">
        <v>2967676.8</v>
      </c>
      <c r="W142" s="41">
        <v>156</v>
      </c>
      <c r="X142" s="41">
        <v>156</v>
      </c>
      <c r="Y142" s="41">
        <v>0</v>
      </c>
      <c r="Z142" s="41">
        <v>0</v>
      </c>
      <c r="AA142" s="41">
        <v>0</v>
      </c>
      <c r="AB142" s="41">
        <v>0</v>
      </c>
      <c r="AC142" s="41">
        <v>0</v>
      </c>
      <c r="AD142" s="41">
        <v>0</v>
      </c>
      <c r="AE142" s="41">
        <v>0</v>
      </c>
      <c r="AF142" s="41">
        <v>0</v>
      </c>
      <c r="AG142" s="41">
        <v>0</v>
      </c>
      <c r="AH142" s="41">
        <v>0</v>
      </c>
      <c r="AI142" s="41">
        <v>0</v>
      </c>
      <c r="AJ142" s="41">
        <v>0</v>
      </c>
      <c r="AK142" s="41">
        <v>0</v>
      </c>
      <c r="AL142" s="41">
        <v>0</v>
      </c>
      <c r="AM142" s="41"/>
      <c r="AN142" s="41">
        <v>13</v>
      </c>
      <c r="AO142" s="41">
        <v>13</v>
      </c>
      <c r="AP142" s="40" t="s">
        <v>2206</v>
      </c>
      <c r="AQ142" s="36">
        <v>45046</v>
      </c>
      <c r="AR142" s="36"/>
      <c r="AS142" s="36"/>
      <c r="AT142" s="36">
        <v>45061</v>
      </c>
      <c r="AU142" s="36"/>
      <c r="AV142" s="38"/>
      <c r="AW142" s="40" t="s">
        <v>87</v>
      </c>
    </row>
    <row r="143" spans="1:49" s="34" customFormat="1" ht="92.25" customHeight="1" x14ac:dyDescent="0.3">
      <c r="A143" s="35" t="s">
        <v>2218</v>
      </c>
      <c r="B143" s="36">
        <v>44960</v>
      </c>
      <c r="C143" s="37">
        <v>545</v>
      </c>
      <c r="D143" s="39" t="s">
        <v>2219</v>
      </c>
      <c r="E143" s="1" t="s">
        <v>2220</v>
      </c>
      <c r="F143" s="36">
        <v>44985</v>
      </c>
      <c r="G143" s="35" t="s">
        <v>2221</v>
      </c>
      <c r="H143" s="40" t="s">
        <v>2222</v>
      </c>
      <c r="I143" s="40" t="s">
        <v>1479</v>
      </c>
      <c r="J143" s="41">
        <v>53160360</v>
      </c>
      <c r="K143" s="41">
        <v>53160360</v>
      </c>
      <c r="L143" s="30">
        <v>68795760</v>
      </c>
      <c r="M143" s="30">
        <v>68795760</v>
      </c>
      <c r="N143" s="40" t="s">
        <v>1480</v>
      </c>
      <c r="O143" s="40" t="s">
        <v>1481</v>
      </c>
      <c r="P143" s="40" t="s">
        <v>1032</v>
      </c>
      <c r="Q143" s="44">
        <v>0</v>
      </c>
      <c r="R143" s="37">
        <v>100</v>
      </c>
      <c r="S143" s="37" t="s">
        <v>219</v>
      </c>
      <c r="T143" s="48">
        <v>2</v>
      </c>
      <c r="U143" s="30">
        <v>521180</v>
      </c>
      <c r="V143" s="41">
        <v>1042360</v>
      </c>
      <c r="W143" s="41">
        <v>132</v>
      </c>
      <c r="X143" s="41">
        <v>132</v>
      </c>
      <c r="Y143" s="41">
        <v>0</v>
      </c>
      <c r="Z143" s="41">
        <v>0</v>
      </c>
      <c r="AA143" s="41">
        <v>0</v>
      </c>
      <c r="AB143" s="41">
        <v>0</v>
      </c>
      <c r="AC143" s="41">
        <v>0</v>
      </c>
      <c r="AD143" s="41">
        <v>0</v>
      </c>
      <c r="AE143" s="41">
        <v>0</v>
      </c>
      <c r="AF143" s="41">
        <v>0</v>
      </c>
      <c r="AG143" s="41">
        <v>0</v>
      </c>
      <c r="AH143" s="41">
        <v>0</v>
      </c>
      <c r="AI143" s="41">
        <v>0</v>
      </c>
      <c r="AJ143" s="41">
        <v>0</v>
      </c>
      <c r="AK143" s="41">
        <v>0</v>
      </c>
      <c r="AL143" s="41">
        <v>0</v>
      </c>
      <c r="AM143" s="41"/>
      <c r="AN143" s="41">
        <v>66</v>
      </c>
      <c r="AO143" s="41">
        <v>66</v>
      </c>
      <c r="AP143" s="40" t="s">
        <v>1353</v>
      </c>
      <c r="AQ143" s="36">
        <v>45016</v>
      </c>
      <c r="AR143" s="36"/>
      <c r="AS143" s="36"/>
      <c r="AT143" s="36">
        <v>45000</v>
      </c>
      <c r="AU143" s="36"/>
      <c r="AV143" s="38"/>
      <c r="AW143" s="40" t="s">
        <v>87</v>
      </c>
    </row>
    <row r="144" spans="1:49" ht="114.6" customHeight="1" x14ac:dyDescent="0.3">
      <c r="A144" s="35" t="s">
        <v>2336</v>
      </c>
      <c r="B144" s="36">
        <v>44966</v>
      </c>
      <c r="C144" s="37">
        <v>545</v>
      </c>
      <c r="D144" s="39" t="s">
        <v>2337</v>
      </c>
      <c r="E144" s="1" t="s">
        <v>2338</v>
      </c>
      <c r="F144" s="36">
        <v>44986</v>
      </c>
      <c r="G144" s="35" t="s">
        <v>2339</v>
      </c>
      <c r="H144" s="40" t="s">
        <v>224</v>
      </c>
      <c r="I144" s="40" t="s">
        <v>1358</v>
      </c>
      <c r="J144" s="41">
        <v>79295287.5</v>
      </c>
      <c r="K144" s="41">
        <v>79295287.5</v>
      </c>
      <c r="L144" s="30">
        <v>79295287.5</v>
      </c>
      <c r="M144" s="30">
        <v>79295287.5</v>
      </c>
      <c r="N144" s="40" t="s">
        <v>936</v>
      </c>
      <c r="O144" s="40" t="s">
        <v>2340</v>
      </c>
      <c r="P144" s="40" t="s">
        <v>348</v>
      </c>
      <c r="Q144" s="44">
        <v>0</v>
      </c>
      <c r="R144" s="37">
        <v>100</v>
      </c>
      <c r="S144" s="37" t="s">
        <v>219</v>
      </c>
      <c r="T144" s="48">
        <v>1</v>
      </c>
      <c r="U144" s="30">
        <v>554512.5</v>
      </c>
      <c r="V144" s="41">
        <v>554512.5</v>
      </c>
      <c r="W144" s="41">
        <v>143</v>
      </c>
      <c r="X144" s="41">
        <v>143</v>
      </c>
      <c r="Y144" s="41">
        <v>0</v>
      </c>
      <c r="Z144" s="41">
        <v>0</v>
      </c>
      <c r="AA144" s="41">
        <v>0</v>
      </c>
      <c r="AB144" s="41">
        <v>0</v>
      </c>
      <c r="AC144" s="41">
        <v>0</v>
      </c>
      <c r="AD144" s="41">
        <v>0</v>
      </c>
      <c r="AE144" s="41">
        <v>0</v>
      </c>
      <c r="AF144" s="41">
        <v>0</v>
      </c>
      <c r="AG144" s="41">
        <v>0</v>
      </c>
      <c r="AH144" s="41">
        <v>0</v>
      </c>
      <c r="AI144" s="41">
        <v>0</v>
      </c>
      <c r="AJ144" s="41">
        <v>0</v>
      </c>
      <c r="AK144" s="41">
        <v>0</v>
      </c>
      <c r="AL144" s="41">
        <v>0</v>
      </c>
      <c r="AM144" s="41"/>
      <c r="AN144" s="41">
        <v>143</v>
      </c>
      <c r="AO144" s="41">
        <v>143</v>
      </c>
      <c r="AP144" s="40"/>
      <c r="AQ144" s="36">
        <v>45031</v>
      </c>
      <c r="AR144" s="36"/>
      <c r="AS144" s="36"/>
      <c r="AT144" s="36">
        <v>45046</v>
      </c>
      <c r="AU144" s="36"/>
      <c r="AV144" s="38"/>
      <c r="AW144" s="40" t="s">
        <v>87</v>
      </c>
    </row>
    <row r="145" spans="1:49" ht="114.6" customHeight="1" x14ac:dyDescent="0.3">
      <c r="A145" s="35" t="s">
        <v>2341</v>
      </c>
      <c r="B145" s="36">
        <v>44966</v>
      </c>
      <c r="C145" s="37">
        <v>545</v>
      </c>
      <c r="D145" s="39" t="s">
        <v>2342</v>
      </c>
      <c r="E145" s="1" t="s">
        <v>2343</v>
      </c>
      <c r="F145" s="36">
        <v>44986</v>
      </c>
      <c r="G145" s="35" t="s">
        <v>2344</v>
      </c>
      <c r="H145" s="40" t="s">
        <v>224</v>
      </c>
      <c r="I145" s="40" t="s">
        <v>1339</v>
      </c>
      <c r="J145" s="41">
        <v>278487000</v>
      </c>
      <c r="K145" s="41">
        <v>278487000</v>
      </c>
      <c r="L145" s="30">
        <v>278487000</v>
      </c>
      <c r="M145" s="30">
        <v>278487000</v>
      </c>
      <c r="N145" s="40" t="s">
        <v>1300</v>
      </c>
      <c r="O145" s="40" t="s">
        <v>1301</v>
      </c>
      <c r="P145" s="40" t="s">
        <v>1032</v>
      </c>
      <c r="Q145" s="44">
        <v>0</v>
      </c>
      <c r="R145" s="37">
        <v>100</v>
      </c>
      <c r="S145" s="37" t="s">
        <v>1964</v>
      </c>
      <c r="T145" s="48">
        <v>60</v>
      </c>
      <c r="U145" s="30">
        <v>15950</v>
      </c>
      <c r="V145" s="41">
        <v>957000</v>
      </c>
      <c r="W145" s="41">
        <v>17460</v>
      </c>
      <c r="X145" s="41">
        <v>17460</v>
      </c>
      <c r="Y145" s="41">
        <v>0</v>
      </c>
      <c r="Z145" s="41">
        <v>0</v>
      </c>
      <c r="AA145" s="41">
        <v>0</v>
      </c>
      <c r="AB145" s="41">
        <v>0</v>
      </c>
      <c r="AC145" s="41">
        <v>0</v>
      </c>
      <c r="AD145" s="41">
        <v>0</v>
      </c>
      <c r="AE145" s="41">
        <v>0</v>
      </c>
      <c r="AF145" s="41">
        <v>0</v>
      </c>
      <c r="AG145" s="41">
        <v>0</v>
      </c>
      <c r="AH145" s="41">
        <v>0</v>
      </c>
      <c r="AI145" s="41">
        <v>0</v>
      </c>
      <c r="AJ145" s="41">
        <v>0</v>
      </c>
      <c r="AK145" s="41">
        <v>0</v>
      </c>
      <c r="AL145" s="41">
        <v>0</v>
      </c>
      <c r="AM145" s="41"/>
      <c r="AN145" s="41">
        <v>291</v>
      </c>
      <c r="AO145" s="41">
        <v>291</v>
      </c>
      <c r="AP145" s="40"/>
      <c r="AQ145" s="36">
        <v>45016</v>
      </c>
      <c r="AR145" s="36"/>
      <c r="AS145" s="36"/>
      <c r="AT145" s="36">
        <v>45031</v>
      </c>
      <c r="AU145" s="36"/>
      <c r="AV145" s="38"/>
      <c r="AW145" s="40" t="s">
        <v>87</v>
      </c>
    </row>
    <row r="146" spans="1:49" ht="114.6" customHeight="1" x14ac:dyDescent="0.3">
      <c r="A146" s="35" t="s">
        <v>2377</v>
      </c>
      <c r="B146" s="38">
        <v>44974</v>
      </c>
      <c r="C146" s="40">
        <v>545</v>
      </c>
      <c r="D146" s="39" t="s">
        <v>2378</v>
      </c>
      <c r="E146" s="1" t="s">
        <v>2379</v>
      </c>
      <c r="F146" s="36">
        <v>44999</v>
      </c>
      <c r="G146" s="37" t="s">
        <v>2380</v>
      </c>
      <c r="H146" s="40" t="s">
        <v>224</v>
      </c>
      <c r="I146" s="40" t="s">
        <v>2381</v>
      </c>
      <c r="J146" s="57">
        <v>29557866</v>
      </c>
      <c r="K146" s="41">
        <v>29557866</v>
      </c>
      <c r="L146" s="30">
        <v>29557866</v>
      </c>
      <c r="M146" s="30">
        <v>29557866</v>
      </c>
      <c r="N146" s="40" t="s">
        <v>2382</v>
      </c>
      <c r="O146" s="40" t="s">
        <v>2383</v>
      </c>
      <c r="P146" s="40" t="s">
        <v>348</v>
      </c>
      <c r="Q146" s="44">
        <v>0</v>
      </c>
      <c r="R146" s="37">
        <v>100</v>
      </c>
      <c r="S146" s="37" t="s">
        <v>219</v>
      </c>
      <c r="T146" s="54" t="s">
        <v>2384</v>
      </c>
      <c r="U146" s="30">
        <v>668.73</v>
      </c>
      <c r="V146" s="57" t="s">
        <v>2385</v>
      </c>
      <c r="W146" s="41">
        <v>44200</v>
      </c>
      <c r="X146" s="41">
        <v>44200</v>
      </c>
      <c r="Y146" s="41">
        <v>0</v>
      </c>
      <c r="Z146" s="41">
        <v>0</v>
      </c>
      <c r="AA146" s="41">
        <v>0</v>
      </c>
      <c r="AB146" s="41">
        <v>0</v>
      </c>
      <c r="AC146" s="41">
        <v>0</v>
      </c>
      <c r="AD146" s="41">
        <v>0</v>
      </c>
      <c r="AE146" s="41">
        <v>0</v>
      </c>
      <c r="AF146" s="41">
        <v>0</v>
      </c>
      <c r="AG146" s="41">
        <v>0</v>
      </c>
      <c r="AH146" s="41">
        <v>0</v>
      </c>
      <c r="AI146" s="41">
        <v>0</v>
      </c>
      <c r="AJ146" s="41">
        <v>0</v>
      </c>
      <c r="AK146" s="41">
        <v>0</v>
      </c>
      <c r="AL146" s="41">
        <v>0</v>
      </c>
      <c r="AM146" s="41"/>
      <c r="AN146" s="57" t="s">
        <v>2386</v>
      </c>
      <c r="AO146" s="57" t="s">
        <v>2386</v>
      </c>
      <c r="AP146" s="40" t="s">
        <v>1353</v>
      </c>
      <c r="AQ146" s="36">
        <v>45031</v>
      </c>
      <c r="AR146" s="36"/>
      <c r="AS146" s="36"/>
      <c r="AT146" s="36">
        <v>45046</v>
      </c>
      <c r="AU146" s="36"/>
      <c r="AV146" s="38"/>
      <c r="AW146" s="40" t="s">
        <v>87</v>
      </c>
    </row>
    <row r="147" spans="1:49" ht="93" customHeight="1" x14ac:dyDescent="0.3">
      <c r="A147" s="35" t="s">
        <v>2387</v>
      </c>
      <c r="B147" s="38">
        <v>44974</v>
      </c>
      <c r="C147" s="40">
        <v>545</v>
      </c>
      <c r="D147" s="39" t="s">
        <v>2388</v>
      </c>
      <c r="E147" s="1" t="s">
        <v>2389</v>
      </c>
      <c r="F147" s="36">
        <v>44999</v>
      </c>
      <c r="G147" s="37" t="s">
        <v>2390</v>
      </c>
      <c r="H147" s="40" t="s">
        <v>224</v>
      </c>
      <c r="I147" s="40" t="s">
        <v>2391</v>
      </c>
      <c r="J147" s="57">
        <v>175788777.30000001</v>
      </c>
      <c r="K147" s="41">
        <v>175788777.30000001</v>
      </c>
      <c r="L147" s="30">
        <v>175788777.30000001</v>
      </c>
      <c r="M147" s="30">
        <v>175788777.30000001</v>
      </c>
      <c r="N147" s="40" t="s">
        <v>2392</v>
      </c>
      <c r="O147" s="40" t="s">
        <v>2393</v>
      </c>
      <c r="P147" s="40" t="s">
        <v>2394</v>
      </c>
      <c r="Q147" s="44">
        <v>0</v>
      </c>
      <c r="R147" s="37">
        <v>100</v>
      </c>
      <c r="S147" s="37" t="s">
        <v>1489</v>
      </c>
      <c r="T147" s="48">
        <v>30</v>
      </c>
      <c r="U147" s="30">
        <v>25813.33</v>
      </c>
      <c r="V147" s="41">
        <v>774399.9</v>
      </c>
      <c r="W147" s="41">
        <v>6810</v>
      </c>
      <c r="X147" s="41">
        <v>6810</v>
      </c>
      <c r="Y147" s="41">
        <v>0</v>
      </c>
      <c r="Z147" s="41">
        <v>0</v>
      </c>
      <c r="AA147" s="41">
        <v>0</v>
      </c>
      <c r="AB147" s="41">
        <v>0</v>
      </c>
      <c r="AC147" s="41">
        <v>0</v>
      </c>
      <c r="AD147" s="41">
        <v>0</v>
      </c>
      <c r="AE147" s="41">
        <v>0</v>
      </c>
      <c r="AF147" s="41">
        <v>0</v>
      </c>
      <c r="AG147" s="41">
        <v>0</v>
      </c>
      <c r="AH147" s="41">
        <v>0</v>
      </c>
      <c r="AI147" s="41">
        <v>0</v>
      </c>
      <c r="AJ147" s="41">
        <v>0</v>
      </c>
      <c r="AK147" s="41">
        <v>0</v>
      </c>
      <c r="AL147" s="41">
        <v>0</v>
      </c>
      <c r="AM147" s="41"/>
      <c r="AN147" s="41">
        <v>227</v>
      </c>
      <c r="AO147" s="41">
        <v>227</v>
      </c>
      <c r="AP147" s="40" t="s">
        <v>1409</v>
      </c>
      <c r="AQ147" s="36">
        <v>45061</v>
      </c>
      <c r="AR147" s="36"/>
      <c r="AS147" s="36"/>
      <c r="AT147" s="36">
        <v>45076</v>
      </c>
      <c r="AU147" s="36"/>
      <c r="AV147" s="38"/>
      <c r="AW147" s="40" t="s">
        <v>87</v>
      </c>
    </row>
    <row r="148" spans="1:49" ht="93" customHeight="1" x14ac:dyDescent="0.3">
      <c r="A148" s="35" t="s">
        <v>2395</v>
      </c>
      <c r="B148" s="38">
        <v>44974</v>
      </c>
      <c r="C148" s="40">
        <v>545</v>
      </c>
      <c r="D148" s="39" t="s">
        <v>2396</v>
      </c>
      <c r="E148" s="1" t="s">
        <v>2397</v>
      </c>
      <c r="F148" s="36">
        <v>44999</v>
      </c>
      <c r="G148" s="37" t="s">
        <v>2398</v>
      </c>
      <c r="H148" s="40" t="s">
        <v>224</v>
      </c>
      <c r="I148" s="40" t="s">
        <v>1706</v>
      </c>
      <c r="J148" s="57">
        <v>179660776.80000001</v>
      </c>
      <c r="K148" s="41">
        <v>179660776.80000001</v>
      </c>
      <c r="L148" s="30">
        <v>179660776.80000001</v>
      </c>
      <c r="M148" s="30">
        <v>179660776.80000001</v>
      </c>
      <c r="N148" s="40" t="s">
        <v>2392</v>
      </c>
      <c r="O148" s="40" t="s">
        <v>2393</v>
      </c>
      <c r="P148" s="40" t="s">
        <v>2394</v>
      </c>
      <c r="Q148" s="44">
        <v>0</v>
      </c>
      <c r="R148" s="37">
        <v>100</v>
      </c>
      <c r="S148" s="37" t="s">
        <v>1489</v>
      </c>
      <c r="T148" s="48">
        <v>30</v>
      </c>
      <c r="U148" s="30">
        <v>25813.33</v>
      </c>
      <c r="V148" s="41">
        <v>774399.9</v>
      </c>
      <c r="W148" s="41">
        <v>6960</v>
      </c>
      <c r="X148" s="41">
        <v>6960</v>
      </c>
      <c r="Y148" s="41">
        <v>0</v>
      </c>
      <c r="Z148" s="41">
        <v>0</v>
      </c>
      <c r="AA148" s="41">
        <v>0</v>
      </c>
      <c r="AB148" s="41">
        <v>0</v>
      </c>
      <c r="AC148" s="41">
        <v>0</v>
      </c>
      <c r="AD148" s="41">
        <v>0</v>
      </c>
      <c r="AE148" s="41">
        <v>0</v>
      </c>
      <c r="AF148" s="41">
        <v>0</v>
      </c>
      <c r="AG148" s="41">
        <v>0</v>
      </c>
      <c r="AH148" s="41">
        <v>0</v>
      </c>
      <c r="AI148" s="41">
        <v>0</v>
      </c>
      <c r="AJ148" s="41">
        <v>0</v>
      </c>
      <c r="AK148" s="41">
        <v>0</v>
      </c>
      <c r="AL148" s="41">
        <v>0</v>
      </c>
      <c r="AM148" s="41"/>
      <c r="AN148" s="41">
        <v>232</v>
      </c>
      <c r="AO148" s="41">
        <v>232</v>
      </c>
      <c r="AP148" s="40" t="s">
        <v>1353</v>
      </c>
      <c r="AQ148" s="36">
        <v>45061</v>
      </c>
      <c r="AR148" s="36"/>
      <c r="AS148" s="36"/>
      <c r="AT148" s="36">
        <v>45076</v>
      </c>
      <c r="AU148" s="36"/>
      <c r="AV148" s="38"/>
      <c r="AW148" s="40" t="s">
        <v>87</v>
      </c>
    </row>
    <row r="149" spans="1:49" ht="93" customHeight="1" x14ac:dyDescent="0.3">
      <c r="A149" s="35" t="s">
        <v>2399</v>
      </c>
      <c r="B149" s="38">
        <v>44974</v>
      </c>
      <c r="C149" s="40">
        <v>545</v>
      </c>
      <c r="D149" s="39" t="s">
        <v>2400</v>
      </c>
      <c r="E149" s="1" t="s">
        <v>2401</v>
      </c>
      <c r="F149" s="36">
        <v>44999</v>
      </c>
      <c r="G149" s="37" t="s">
        <v>2402</v>
      </c>
      <c r="H149" s="40" t="s">
        <v>224</v>
      </c>
      <c r="I149" s="40" t="s">
        <v>2391</v>
      </c>
      <c r="J149" s="57">
        <v>295820761.80000001</v>
      </c>
      <c r="K149" s="41">
        <v>295820761.80000001</v>
      </c>
      <c r="L149" s="30">
        <v>350803154.69999999</v>
      </c>
      <c r="M149" s="30">
        <v>350803154.69999999</v>
      </c>
      <c r="N149" s="40" t="s">
        <v>2392</v>
      </c>
      <c r="O149" s="40" t="s">
        <v>2393</v>
      </c>
      <c r="P149" s="40" t="s">
        <v>2394</v>
      </c>
      <c r="Q149" s="44">
        <v>0</v>
      </c>
      <c r="R149" s="37">
        <v>100</v>
      </c>
      <c r="S149" s="37" t="s">
        <v>1489</v>
      </c>
      <c r="T149" s="48">
        <v>30</v>
      </c>
      <c r="U149" s="30">
        <v>25813.329999999998</v>
      </c>
      <c r="V149" s="41">
        <v>774399.89999999991</v>
      </c>
      <c r="W149" s="41">
        <v>13590</v>
      </c>
      <c r="X149" s="41">
        <v>13590</v>
      </c>
      <c r="Y149" s="41">
        <v>0</v>
      </c>
      <c r="Z149" s="41">
        <v>0</v>
      </c>
      <c r="AA149" s="41">
        <v>0</v>
      </c>
      <c r="AB149" s="41">
        <v>0</v>
      </c>
      <c r="AC149" s="41">
        <v>0</v>
      </c>
      <c r="AD149" s="41">
        <v>0</v>
      </c>
      <c r="AE149" s="41">
        <v>0</v>
      </c>
      <c r="AF149" s="41">
        <v>0</v>
      </c>
      <c r="AG149" s="41">
        <v>0</v>
      </c>
      <c r="AH149" s="41">
        <v>0</v>
      </c>
      <c r="AI149" s="41">
        <v>0</v>
      </c>
      <c r="AJ149" s="41">
        <v>0</v>
      </c>
      <c r="AK149" s="41">
        <v>0</v>
      </c>
      <c r="AL149" s="41">
        <v>0</v>
      </c>
      <c r="AM149" s="41"/>
      <c r="AN149" s="41">
        <v>453</v>
      </c>
      <c r="AO149" s="41">
        <v>453</v>
      </c>
      <c r="AP149" s="40" t="s">
        <v>2403</v>
      </c>
      <c r="AQ149" s="36">
        <v>45061</v>
      </c>
      <c r="AR149" s="36"/>
      <c r="AS149" s="36"/>
      <c r="AT149" s="36">
        <v>45076</v>
      </c>
      <c r="AU149" s="36"/>
      <c r="AV149" s="38"/>
      <c r="AW149" s="40" t="s">
        <v>87</v>
      </c>
    </row>
    <row r="150" spans="1:49" ht="93" customHeight="1" x14ac:dyDescent="0.3">
      <c r="A150" s="35" t="s">
        <v>2404</v>
      </c>
      <c r="B150" s="38">
        <v>44974</v>
      </c>
      <c r="C150" s="40">
        <v>545</v>
      </c>
      <c r="D150" s="39" t="s">
        <v>2405</v>
      </c>
      <c r="E150" s="1" t="s">
        <v>2406</v>
      </c>
      <c r="F150" s="36">
        <v>44999</v>
      </c>
      <c r="G150" s="37" t="s">
        <v>2407</v>
      </c>
      <c r="H150" s="40" t="s">
        <v>224</v>
      </c>
      <c r="I150" s="40" t="s">
        <v>2391</v>
      </c>
      <c r="J150" s="57">
        <v>275686364.39999998</v>
      </c>
      <c r="K150" s="41">
        <v>275686364.39999998</v>
      </c>
      <c r="L150" s="30">
        <v>275686364.39999998</v>
      </c>
      <c r="M150" s="30">
        <v>275686364.39999998</v>
      </c>
      <c r="N150" s="40" t="s">
        <v>2392</v>
      </c>
      <c r="O150" s="40" t="s">
        <v>2393</v>
      </c>
      <c r="P150" s="40" t="s">
        <v>2394</v>
      </c>
      <c r="Q150" s="44">
        <v>0</v>
      </c>
      <c r="R150" s="37">
        <v>100</v>
      </c>
      <c r="S150" s="37" t="s">
        <v>1489</v>
      </c>
      <c r="T150" s="48">
        <v>30</v>
      </c>
      <c r="U150" s="30">
        <v>25813.329999999998</v>
      </c>
      <c r="V150" s="41">
        <v>774399.89999999991</v>
      </c>
      <c r="W150" s="41">
        <v>10680</v>
      </c>
      <c r="X150" s="41">
        <v>10680</v>
      </c>
      <c r="Y150" s="41">
        <v>0</v>
      </c>
      <c r="Z150" s="41">
        <v>0</v>
      </c>
      <c r="AA150" s="41">
        <v>0</v>
      </c>
      <c r="AB150" s="41">
        <v>0</v>
      </c>
      <c r="AC150" s="41">
        <v>0</v>
      </c>
      <c r="AD150" s="41">
        <v>0</v>
      </c>
      <c r="AE150" s="41">
        <v>0</v>
      </c>
      <c r="AF150" s="41">
        <v>0</v>
      </c>
      <c r="AG150" s="41">
        <v>0</v>
      </c>
      <c r="AH150" s="41">
        <v>0</v>
      </c>
      <c r="AI150" s="41">
        <v>0</v>
      </c>
      <c r="AJ150" s="41">
        <v>0</v>
      </c>
      <c r="AK150" s="41">
        <v>0</v>
      </c>
      <c r="AL150" s="41">
        <v>0</v>
      </c>
      <c r="AM150" s="41"/>
      <c r="AN150" s="41">
        <v>356</v>
      </c>
      <c r="AO150" s="41">
        <v>356</v>
      </c>
      <c r="AP150" s="40" t="s">
        <v>2408</v>
      </c>
      <c r="AQ150" s="36">
        <v>45061</v>
      </c>
      <c r="AR150" s="36"/>
      <c r="AS150" s="36"/>
      <c r="AT150" s="36">
        <v>45076</v>
      </c>
      <c r="AU150" s="36"/>
      <c r="AV150" s="38"/>
      <c r="AW150" s="40" t="s">
        <v>87</v>
      </c>
    </row>
    <row r="151" spans="1:49" ht="93" customHeight="1" x14ac:dyDescent="0.3">
      <c r="A151" s="35" t="s">
        <v>2409</v>
      </c>
      <c r="B151" s="38">
        <v>44974</v>
      </c>
      <c r="C151" s="40">
        <v>545</v>
      </c>
      <c r="D151" s="39" t="s">
        <v>2410</v>
      </c>
      <c r="E151" s="1" t="s">
        <v>2411</v>
      </c>
      <c r="F151" s="36">
        <v>44999</v>
      </c>
      <c r="G151" s="37" t="s">
        <v>2412</v>
      </c>
      <c r="H151" s="40" t="s">
        <v>224</v>
      </c>
      <c r="I151" s="40" t="s">
        <v>1660</v>
      </c>
      <c r="J151" s="57">
        <v>212573101.94999999</v>
      </c>
      <c r="K151" s="41">
        <v>212573101.94999999</v>
      </c>
      <c r="L151" s="30">
        <v>251680357.5</v>
      </c>
      <c r="M151" s="30">
        <v>251680357.5</v>
      </c>
      <c r="N151" s="40" t="s">
        <v>2392</v>
      </c>
      <c r="O151" s="40" t="s">
        <v>2413</v>
      </c>
      <c r="P151" s="40" t="s">
        <v>1032</v>
      </c>
      <c r="Q151" s="44">
        <v>0</v>
      </c>
      <c r="R151" s="37">
        <v>100</v>
      </c>
      <c r="S151" s="37" t="s">
        <v>1489</v>
      </c>
      <c r="T151" s="48">
        <v>15</v>
      </c>
      <c r="U151" s="30">
        <v>25813.37</v>
      </c>
      <c r="V151" s="41">
        <v>387200.55</v>
      </c>
      <c r="W151" s="41">
        <v>9750</v>
      </c>
      <c r="X151" s="41">
        <v>9750</v>
      </c>
      <c r="Y151" s="41">
        <v>0</v>
      </c>
      <c r="Z151" s="41">
        <v>0</v>
      </c>
      <c r="AA151" s="41">
        <v>0</v>
      </c>
      <c r="AB151" s="41">
        <v>0</v>
      </c>
      <c r="AC151" s="41">
        <v>0</v>
      </c>
      <c r="AD151" s="41">
        <v>0</v>
      </c>
      <c r="AE151" s="41">
        <v>0</v>
      </c>
      <c r="AF151" s="41">
        <v>0</v>
      </c>
      <c r="AG151" s="41">
        <v>0</v>
      </c>
      <c r="AH151" s="41">
        <v>0</v>
      </c>
      <c r="AI151" s="41">
        <v>0</v>
      </c>
      <c r="AJ151" s="41">
        <v>0</v>
      </c>
      <c r="AK151" s="41">
        <v>0</v>
      </c>
      <c r="AL151" s="41">
        <v>0</v>
      </c>
      <c r="AM151" s="41"/>
      <c r="AN151" s="41">
        <v>650</v>
      </c>
      <c r="AO151" s="41">
        <v>650</v>
      </c>
      <c r="AP151" s="40" t="s">
        <v>1353</v>
      </c>
      <c r="AQ151" s="36">
        <v>45061</v>
      </c>
      <c r="AR151" s="36"/>
      <c r="AS151" s="36"/>
      <c r="AT151" s="36">
        <v>45076</v>
      </c>
      <c r="AU151" s="36"/>
      <c r="AV151" s="38"/>
      <c r="AW151" s="40" t="s">
        <v>87</v>
      </c>
    </row>
    <row r="152" spans="1:49" ht="90.75" customHeight="1" x14ac:dyDescent="0.3">
      <c r="A152" s="35" t="s">
        <v>2436</v>
      </c>
      <c r="B152" s="38">
        <v>44977</v>
      </c>
      <c r="C152" s="40">
        <v>545</v>
      </c>
      <c r="D152" s="39" t="s">
        <v>2437</v>
      </c>
      <c r="E152" s="1" t="s">
        <v>2438</v>
      </c>
      <c r="F152" s="36">
        <v>45002</v>
      </c>
      <c r="G152" s="37" t="s">
        <v>2439</v>
      </c>
      <c r="H152" s="40" t="s">
        <v>224</v>
      </c>
      <c r="I152" s="40" t="s">
        <v>1906</v>
      </c>
      <c r="J152" s="57">
        <v>80537714.400000006</v>
      </c>
      <c r="K152" s="41">
        <v>80537714.400000006</v>
      </c>
      <c r="L152" s="30">
        <v>80537714.400000006</v>
      </c>
      <c r="M152" s="30">
        <v>80537714.400000006</v>
      </c>
      <c r="N152" s="40" t="s">
        <v>2392</v>
      </c>
      <c r="O152" s="40" t="s">
        <v>2440</v>
      </c>
      <c r="P152" s="40" t="s">
        <v>2394</v>
      </c>
      <c r="Q152" s="44">
        <v>100</v>
      </c>
      <c r="R152" s="37">
        <v>0</v>
      </c>
      <c r="S152" s="37" t="s">
        <v>1489</v>
      </c>
      <c r="T152" s="48">
        <v>120</v>
      </c>
      <c r="U152" s="30">
        <v>25813.370000000003</v>
      </c>
      <c r="V152" s="41">
        <v>3097604.4000000004</v>
      </c>
      <c r="W152" s="41">
        <v>3120</v>
      </c>
      <c r="X152" s="41">
        <v>3120</v>
      </c>
      <c r="Y152" s="41">
        <v>0</v>
      </c>
      <c r="Z152" s="41">
        <v>0</v>
      </c>
      <c r="AA152" s="41">
        <v>0</v>
      </c>
      <c r="AB152" s="41">
        <v>0</v>
      </c>
      <c r="AC152" s="41">
        <v>0</v>
      </c>
      <c r="AD152" s="41">
        <v>0</v>
      </c>
      <c r="AE152" s="41">
        <v>0</v>
      </c>
      <c r="AF152" s="41">
        <v>0</v>
      </c>
      <c r="AG152" s="41">
        <v>0</v>
      </c>
      <c r="AH152" s="41">
        <v>0</v>
      </c>
      <c r="AI152" s="41">
        <v>0</v>
      </c>
      <c r="AJ152" s="41">
        <v>0</v>
      </c>
      <c r="AK152" s="41">
        <v>0</v>
      </c>
      <c r="AL152" s="41">
        <v>0</v>
      </c>
      <c r="AM152" s="41"/>
      <c r="AN152" s="41">
        <v>26</v>
      </c>
      <c r="AO152" s="41">
        <v>26</v>
      </c>
      <c r="AP152" s="40" t="s">
        <v>1353</v>
      </c>
      <c r="AQ152" s="36">
        <v>45061</v>
      </c>
      <c r="AR152" s="36"/>
      <c r="AS152" s="36"/>
      <c r="AT152" s="36">
        <v>45076</v>
      </c>
      <c r="AU152" s="36"/>
      <c r="AV152" s="38"/>
      <c r="AW152" s="40" t="s">
        <v>87</v>
      </c>
    </row>
    <row r="153" spans="1:49" ht="88.5" customHeight="1" x14ac:dyDescent="0.3">
      <c r="A153" s="35" t="s">
        <v>2508</v>
      </c>
      <c r="B153" s="38">
        <v>44984</v>
      </c>
      <c r="C153" s="40">
        <v>545</v>
      </c>
      <c r="D153" s="39" t="s">
        <v>2509</v>
      </c>
      <c r="E153" s="1" t="s">
        <v>2510</v>
      </c>
      <c r="F153" s="36">
        <v>45009</v>
      </c>
      <c r="G153" s="37" t="s">
        <v>2511</v>
      </c>
      <c r="H153" s="40" t="s">
        <v>878</v>
      </c>
      <c r="I153" s="40" t="s">
        <v>1535</v>
      </c>
      <c r="J153" s="57">
        <v>6478434.5999999996</v>
      </c>
      <c r="K153" s="41">
        <v>6478434.5999999996</v>
      </c>
      <c r="L153" s="30">
        <v>6478434.5999999996</v>
      </c>
      <c r="M153" s="30">
        <v>6478434.5999999996</v>
      </c>
      <c r="N153" s="40" t="s">
        <v>1536</v>
      </c>
      <c r="O153" s="40" t="s">
        <v>1537</v>
      </c>
      <c r="P153" s="40" t="s">
        <v>348</v>
      </c>
      <c r="Q153" s="44">
        <v>0</v>
      </c>
      <c r="R153" s="37">
        <v>100</v>
      </c>
      <c r="S153" s="37" t="s">
        <v>1964</v>
      </c>
      <c r="T153" s="48">
        <v>30</v>
      </c>
      <c r="U153" s="30">
        <v>2426.3799999999997</v>
      </c>
      <c r="V153" s="41">
        <v>72791.399999999994</v>
      </c>
      <c r="W153" s="41">
        <v>2670</v>
      </c>
      <c r="X153" s="41">
        <v>2670</v>
      </c>
      <c r="Y153" s="41">
        <v>0</v>
      </c>
      <c r="Z153" s="41">
        <v>0</v>
      </c>
      <c r="AA153" s="41">
        <v>0</v>
      </c>
      <c r="AB153" s="41">
        <v>0</v>
      </c>
      <c r="AC153" s="41">
        <v>0</v>
      </c>
      <c r="AD153" s="41">
        <v>0</v>
      </c>
      <c r="AE153" s="41">
        <v>0</v>
      </c>
      <c r="AF153" s="41">
        <v>0</v>
      </c>
      <c r="AG153" s="41">
        <v>0</v>
      </c>
      <c r="AH153" s="41">
        <v>0</v>
      </c>
      <c r="AI153" s="41">
        <v>0</v>
      </c>
      <c r="AJ153" s="41">
        <v>0</v>
      </c>
      <c r="AK153" s="41">
        <v>0</v>
      </c>
      <c r="AL153" s="41">
        <v>0</v>
      </c>
      <c r="AM153" s="41"/>
      <c r="AN153" s="41">
        <v>89</v>
      </c>
      <c r="AO153" s="41">
        <v>89</v>
      </c>
      <c r="AP153" s="40" t="s">
        <v>1353</v>
      </c>
      <c r="AQ153" s="36">
        <v>45122</v>
      </c>
      <c r="AR153" s="36"/>
      <c r="AS153" s="36"/>
      <c r="AT153" s="36">
        <v>45137</v>
      </c>
      <c r="AU153" s="36"/>
      <c r="AV153" s="38"/>
      <c r="AW153" s="40" t="s">
        <v>87</v>
      </c>
    </row>
    <row r="154" spans="1:49" ht="88.5" customHeight="1" x14ac:dyDescent="0.3">
      <c r="A154" s="35" t="s">
        <v>2550</v>
      </c>
      <c r="B154" s="38">
        <v>44988</v>
      </c>
      <c r="C154" s="40">
        <v>545</v>
      </c>
      <c r="D154" s="39" t="s">
        <v>2551</v>
      </c>
      <c r="E154" s="1" t="s">
        <v>2552</v>
      </c>
      <c r="F154" s="36">
        <v>45009</v>
      </c>
      <c r="G154" s="37" t="s">
        <v>2553</v>
      </c>
      <c r="H154" s="40" t="s">
        <v>878</v>
      </c>
      <c r="I154" s="40" t="s">
        <v>2554</v>
      </c>
      <c r="J154" s="57">
        <v>4236447.5999999996</v>
      </c>
      <c r="K154" s="41">
        <v>4236447.5999999996</v>
      </c>
      <c r="L154" s="30">
        <v>4236447.5999999996</v>
      </c>
      <c r="M154" s="30">
        <v>4236447.5999999996</v>
      </c>
      <c r="N154" s="40" t="s">
        <v>2555</v>
      </c>
      <c r="O154" s="40" t="s">
        <v>2556</v>
      </c>
      <c r="P154" s="40" t="s">
        <v>218</v>
      </c>
      <c r="Q154" s="44">
        <v>0</v>
      </c>
      <c r="R154" s="37">
        <v>100</v>
      </c>
      <c r="S154" s="37" t="s">
        <v>1964</v>
      </c>
      <c r="T154" s="48">
        <v>60</v>
      </c>
      <c r="U154" s="30">
        <v>4153.3799999999992</v>
      </c>
      <c r="V154" s="41">
        <v>249202.79999999996</v>
      </c>
      <c r="W154" s="41">
        <v>1020</v>
      </c>
      <c r="X154" s="41">
        <v>1020</v>
      </c>
      <c r="Y154" s="41">
        <v>0</v>
      </c>
      <c r="Z154" s="41">
        <v>0</v>
      </c>
      <c r="AA154" s="41">
        <v>0</v>
      </c>
      <c r="AB154" s="41">
        <v>0</v>
      </c>
      <c r="AC154" s="41">
        <v>0</v>
      </c>
      <c r="AD154" s="41">
        <v>0</v>
      </c>
      <c r="AE154" s="41">
        <v>0</v>
      </c>
      <c r="AF154" s="41">
        <v>0</v>
      </c>
      <c r="AG154" s="41">
        <v>0</v>
      </c>
      <c r="AH154" s="41">
        <v>0</v>
      </c>
      <c r="AI154" s="41">
        <v>0</v>
      </c>
      <c r="AJ154" s="41">
        <v>0</v>
      </c>
      <c r="AK154" s="41">
        <v>0</v>
      </c>
      <c r="AL154" s="41">
        <v>0</v>
      </c>
      <c r="AM154" s="41"/>
      <c r="AN154" s="41">
        <v>17</v>
      </c>
      <c r="AO154" s="41">
        <v>17</v>
      </c>
      <c r="AP154" s="40" t="s">
        <v>2557</v>
      </c>
      <c r="AQ154" s="36">
        <v>45031</v>
      </c>
      <c r="AR154" s="36"/>
      <c r="AS154" s="36"/>
      <c r="AT154" s="36">
        <v>45046</v>
      </c>
      <c r="AU154" s="36"/>
      <c r="AV154" s="38"/>
      <c r="AW154" s="40" t="s">
        <v>87</v>
      </c>
    </row>
    <row r="155" spans="1:49" s="34" customFormat="1" ht="88.5" customHeight="1" x14ac:dyDescent="0.3">
      <c r="A155" s="35" t="s">
        <v>2558</v>
      </c>
      <c r="B155" s="38">
        <v>44988</v>
      </c>
      <c r="C155" s="40">
        <v>545</v>
      </c>
      <c r="D155" s="39" t="s">
        <v>2559</v>
      </c>
      <c r="E155" s="1" t="s">
        <v>2560</v>
      </c>
      <c r="F155" s="36">
        <v>45009</v>
      </c>
      <c r="G155" s="37" t="s">
        <v>2561</v>
      </c>
      <c r="H155" s="40" t="s">
        <v>878</v>
      </c>
      <c r="I155" s="40" t="s">
        <v>1525</v>
      </c>
      <c r="J155" s="57">
        <v>29465290.800000001</v>
      </c>
      <c r="K155" s="41">
        <v>29465290.800000001</v>
      </c>
      <c r="L155" s="30">
        <v>37792438.200000003</v>
      </c>
      <c r="M155" s="30">
        <v>37792438.200000003</v>
      </c>
      <c r="N155" s="40" t="s">
        <v>1536</v>
      </c>
      <c r="O155" s="40" t="s">
        <v>1963</v>
      </c>
      <c r="P155" s="40" t="s">
        <v>348</v>
      </c>
      <c r="Q155" s="44">
        <v>0</v>
      </c>
      <c r="R155" s="37">
        <v>100</v>
      </c>
      <c r="S155" s="37" t="s">
        <v>1964</v>
      </c>
      <c r="T155" s="48">
        <v>30</v>
      </c>
      <c r="U155" s="30">
        <v>970.53000000000009</v>
      </c>
      <c r="V155" s="41">
        <v>29115.9</v>
      </c>
      <c r="W155" s="41">
        <v>38940</v>
      </c>
      <c r="X155" s="41">
        <v>38940</v>
      </c>
      <c r="Y155" s="41">
        <v>0</v>
      </c>
      <c r="Z155" s="41">
        <v>0</v>
      </c>
      <c r="AA155" s="41">
        <v>0</v>
      </c>
      <c r="AB155" s="41">
        <v>0</v>
      </c>
      <c r="AC155" s="41">
        <v>0</v>
      </c>
      <c r="AD155" s="41">
        <v>0</v>
      </c>
      <c r="AE155" s="41">
        <v>0</v>
      </c>
      <c r="AF155" s="41">
        <v>0</v>
      </c>
      <c r="AG155" s="41">
        <v>0</v>
      </c>
      <c r="AH155" s="41">
        <v>0</v>
      </c>
      <c r="AI155" s="41">
        <v>0</v>
      </c>
      <c r="AJ155" s="41">
        <v>0</v>
      </c>
      <c r="AK155" s="41">
        <v>0</v>
      </c>
      <c r="AL155" s="41">
        <v>0</v>
      </c>
      <c r="AM155" s="41"/>
      <c r="AN155" s="41">
        <v>1298</v>
      </c>
      <c r="AO155" s="41">
        <v>1298</v>
      </c>
      <c r="AP155" s="40" t="s">
        <v>1353</v>
      </c>
      <c r="AQ155" s="36">
        <v>45122</v>
      </c>
      <c r="AR155" s="36"/>
      <c r="AS155" s="36"/>
      <c r="AT155" s="36">
        <v>45137</v>
      </c>
      <c r="AU155" s="36"/>
      <c r="AV155" s="38"/>
      <c r="AW155" s="40" t="s">
        <v>87</v>
      </c>
    </row>
    <row r="156" spans="1:49" s="34" customFormat="1" ht="88.5" customHeight="1" x14ac:dyDescent="0.3">
      <c r="A156" s="35" t="s">
        <v>2577</v>
      </c>
      <c r="B156" s="38">
        <v>44991</v>
      </c>
      <c r="C156" s="40">
        <v>545</v>
      </c>
      <c r="D156" s="39" t="s">
        <v>2578</v>
      </c>
      <c r="E156" s="1" t="s">
        <v>2579</v>
      </c>
      <c r="F156" s="36">
        <v>45012</v>
      </c>
      <c r="G156" s="37" t="s">
        <v>2580</v>
      </c>
      <c r="H156" s="40" t="s">
        <v>802</v>
      </c>
      <c r="I156" s="40" t="s">
        <v>2581</v>
      </c>
      <c r="J156" s="57">
        <v>202607401.91999999</v>
      </c>
      <c r="K156" s="41">
        <v>202607401.91999999</v>
      </c>
      <c r="L156" s="30">
        <v>261000801.59999999</v>
      </c>
      <c r="M156" s="30">
        <v>261000801.59999999</v>
      </c>
      <c r="N156" s="40" t="s">
        <v>2582</v>
      </c>
      <c r="O156" s="40" t="s">
        <v>2583</v>
      </c>
      <c r="P156" s="40" t="s">
        <v>1436</v>
      </c>
      <c r="Q156" s="44">
        <v>0</v>
      </c>
      <c r="R156" s="37">
        <v>100</v>
      </c>
      <c r="S156" s="37" t="s">
        <v>1964</v>
      </c>
      <c r="T156" s="48">
        <v>112</v>
      </c>
      <c r="U156" s="30">
        <v>7899.54</v>
      </c>
      <c r="V156" s="41">
        <v>884748.48</v>
      </c>
      <c r="W156" s="41">
        <v>33040</v>
      </c>
      <c r="X156" s="41">
        <v>24976</v>
      </c>
      <c r="Y156" s="41">
        <v>0</v>
      </c>
      <c r="Z156" s="41">
        <v>0</v>
      </c>
      <c r="AA156" s="41">
        <v>0</v>
      </c>
      <c r="AB156" s="41">
        <v>0</v>
      </c>
      <c r="AC156" s="41">
        <v>8064</v>
      </c>
      <c r="AD156" s="41">
        <v>0</v>
      </c>
      <c r="AE156" s="41">
        <v>0</v>
      </c>
      <c r="AF156" s="41">
        <v>0</v>
      </c>
      <c r="AG156" s="41">
        <v>0</v>
      </c>
      <c r="AH156" s="41">
        <v>0</v>
      </c>
      <c r="AI156" s="41">
        <v>0</v>
      </c>
      <c r="AJ156" s="41">
        <v>0</v>
      </c>
      <c r="AK156" s="41">
        <v>0</v>
      </c>
      <c r="AL156" s="41">
        <v>0</v>
      </c>
      <c r="AM156" s="41"/>
      <c r="AN156" s="41">
        <v>295</v>
      </c>
      <c r="AO156" s="41">
        <v>295</v>
      </c>
      <c r="AP156" s="40" t="s">
        <v>1353</v>
      </c>
      <c r="AQ156" s="36">
        <v>45078</v>
      </c>
      <c r="AR156" s="36">
        <v>45138</v>
      </c>
      <c r="AS156" s="36"/>
      <c r="AT156" s="36">
        <v>45092</v>
      </c>
      <c r="AU156" s="36">
        <v>45153</v>
      </c>
      <c r="AV156" s="38"/>
      <c r="AW156" s="40" t="s">
        <v>87</v>
      </c>
    </row>
    <row r="157" spans="1:49" s="34" customFormat="1" ht="88.5" customHeight="1" x14ac:dyDescent="0.3">
      <c r="A157" s="35" t="s">
        <v>2587</v>
      </c>
      <c r="B157" s="38">
        <v>44994</v>
      </c>
      <c r="C157" s="40">
        <v>545</v>
      </c>
      <c r="D157" s="39" t="s">
        <v>2588</v>
      </c>
      <c r="E157" s="1" t="s">
        <v>2589</v>
      </c>
      <c r="F157" s="36">
        <v>45013</v>
      </c>
      <c r="G157" s="37" t="s">
        <v>2590</v>
      </c>
      <c r="H157" s="40" t="s">
        <v>2591</v>
      </c>
      <c r="I157" s="40" t="s">
        <v>1486</v>
      </c>
      <c r="J157" s="57">
        <v>205845139.5</v>
      </c>
      <c r="K157" s="41">
        <v>205845139.5</v>
      </c>
      <c r="L157" s="30">
        <v>255141386.5</v>
      </c>
      <c r="M157" s="30">
        <v>255141386.5</v>
      </c>
      <c r="N157" s="40" t="s">
        <v>1487</v>
      </c>
      <c r="O157" s="40" t="s">
        <v>2592</v>
      </c>
      <c r="P157" s="40" t="s">
        <v>348</v>
      </c>
      <c r="Q157" s="44">
        <v>0</v>
      </c>
      <c r="R157" s="37">
        <v>100</v>
      </c>
      <c r="S157" s="37" t="s">
        <v>1489</v>
      </c>
      <c r="T157" s="48">
        <v>2</v>
      </c>
      <c r="U157" s="30">
        <v>333082.75</v>
      </c>
      <c r="V157" s="41">
        <v>666165.5</v>
      </c>
      <c r="W157" s="41">
        <v>766</v>
      </c>
      <c r="X157" s="41">
        <v>766</v>
      </c>
      <c r="Y157" s="41">
        <v>0</v>
      </c>
      <c r="Z157" s="41">
        <v>0</v>
      </c>
      <c r="AA157" s="41">
        <v>0</v>
      </c>
      <c r="AB157" s="41">
        <v>0</v>
      </c>
      <c r="AC157" s="41">
        <v>0</v>
      </c>
      <c r="AD157" s="41">
        <v>0</v>
      </c>
      <c r="AE157" s="41">
        <v>0</v>
      </c>
      <c r="AF157" s="41">
        <v>0</v>
      </c>
      <c r="AG157" s="41">
        <v>0</v>
      </c>
      <c r="AH157" s="41">
        <v>0</v>
      </c>
      <c r="AI157" s="41">
        <v>0</v>
      </c>
      <c r="AJ157" s="41">
        <v>0</v>
      </c>
      <c r="AK157" s="41">
        <v>0</v>
      </c>
      <c r="AL157" s="41">
        <v>0</v>
      </c>
      <c r="AM157" s="41"/>
      <c r="AN157" s="41">
        <v>383</v>
      </c>
      <c r="AO157" s="41">
        <v>383</v>
      </c>
      <c r="AP157" s="40" t="s">
        <v>1353</v>
      </c>
      <c r="AQ157" s="36">
        <v>45047</v>
      </c>
      <c r="AR157" s="36"/>
      <c r="AS157" s="36"/>
      <c r="AT157" s="36">
        <v>45061</v>
      </c>
      <c r="AU157" s="36"/>
      <c r="AV157" s="38"/>
      <c r="AW157" s="40" t="s">
        <v>87</v>
      </c>
    </row>
    <row r="158" spans="1:49" s="34" customFormat="1" ht="88.5" customHeight="1" x14ac:dyDescent="0.3">
      <c r="A158" s="35" t="s">
        <v>2593</v>
      </c>
      <c r="B158" s="38">
        <v>44994</v>
      </c>
      <c r="C158" s="40">
        <v>545</v>
      </c>
      <c r="D158" s="39" t="s">
        <v>2594</v>
      </c>
      <c r="E158" s="1" t="s">
        <v>2595</v>
      </c>
      <c r="F158" s="36">
        <v>45014</v>
      </c>
      <c r="G158" s="37" t="s">
        <v>2596</v>
      </c>
      <c r="H158" s="40" t="s">
        <v>186</v>
      </c>
      <c r="I158" s="40" t="s">
        <v>1747</v>
      </c>
      <c r="J158" s="57">
        <v>173646612</v>
      </c>
      <c r="K158" s="41">
        <v>173646612</v>
      </c>
      <c r="L158" s="30">
        <v>191011273.19999999</v>
      </c>
      <c r="M158" s="30">
        <v>191011273.19999999</v>
      </c>
      <c r="N158" s="40" t="s">
        <v>1748</v>
      </c>
      <c r="O158" s="40" t="s">
        <v>1749</v>
      </c>
      <c r="P158" s="40" t="s">
        <v>190</v>
      </c>
      <c r="Q158" s="44">
        <v>0</v>
      </c>
      <c r="R158" s="37">
        <v>100</v>
      </c>
      <c r="S158" s="37" t="s">
        <v>219</v>
      </c>
      <c r="T158" s="48">
        <v>5</v>
      </c>
      <c r="U158" s="30">
        <v>868233.05999999994</v>
      </c>
      <c r="V158" s="41">
        <v>4341165.3</v>
      </c>
      <c r="W158" s="41">
        <v>220</v>
      </c>
      <c r="X158" s="41">
        <v>220</v>
      </c>
      <c r="Y158" s="41">
        <v>0</v>
      </c>
      <c r="Z158" s="41">
        <v>0</v>
      </c>
      <c r="AA158" s="41">
        <v>0</v>
      </c>
      <c r="AB158" s="41">
        <v>0</v>
      </c>
      <c r="AC158" s="41">
        <v>0</v>
      </c>
      <c r="AD158" s="41">
        <v>0</v>
      </c>
      <c r="AE158" s="41">
        <v>0</v>
      </c>
      <c r="AF158" s="41">
        <v>0</v>
      </c>
      <c r="AG158" s="41">
        <v>0</v>
      </c>
      <c r="AH158" s="41">
        <v>0</v>
      </c>
      <c r="AI158" s="41">
        <v>0</v>
      </c>
      <c r="AJ158" s="41">
        <v>0</v>
      </c>
      <c r="AK158" s="41">
        <v>0</v>
      </c>
      <c r="AL158" s="41">
        <v>0</v>
      </c>
      <c r="AM158" s="41"/>
      <c r="AN158" s="41">
        <v>44</v>
      </c>
      <c r="AO158" s="41">
        <v>44</v>
      </c>
      <c r="AP158" s="40" t="s">
        <v>1353</v>
      </c>
      <c r="AQ158" s="36">
        <v>45077</v>
      </c>
      <c r="AR158" s="36"/>
      <c r="AS158" s="36"/>
      <c r="AT158" s="36">
        <v>45092</v>
      </c>
      <c r="AU158" s="36"/>
      <c r="AV158" s="38"/>
      <c r="AW158" s="40" t="s">
        <v>87</v>
      </c>
    </row>
    <row r="159" spans="1:49" s="34" customFormat="1" ht="88.5" customHeight="1" x14ac:dyDescent="0.3">
      <c r="A159" s="35" t="s">
        <v>2604</v>
      </c>
      <c r="B159" s="38">
        <v>44999</v>
      </c>
      <c r="C159" s="40">
        <v>545</v>
      </c>
      <c r="D159" s="39" t="s">
        <v>2605</v>
      </c>
      <c r="E159" s="1" t="s">
        <v>2606</v>
      </c>
      <c r="F159" s="36">
        <v>45019</v>
      </c>
      <c r="G159" s="37" t="s">
        <v>2607</v>
      </c>
      <c r="H159" s="40" t="s">
        <v>224</v>
      </c>
      <c r="I159" s="40" t="s">
        <v>1906</v>
      </c>
      <c r="J159" s="57">
        <v>114611362.8</v>
      </c>
      <c r="K159" s="41">
        <v>114611362.8</v>
      </c>
      <c r="L159" s="30">
        <v>114611362.8</v>
      </c>
      <c r="M159" s="30">
        <v>114611362.8</v>
      </c>
      <c r="N159" s="40" t="s">
        <v>2392</v>
      </c>
      <c r="O159" s="40" t="s">
        <v>2440</v>
      </c>
      <c r="P159" s="40" t="s">
        <v>2394</v>
      </c>
      <c r="Q159" s="44">
        <v>0</v>
      </c>
      <c r="R159" s="37">
        <v>100</v>
      </c>
      <c r="S159" s="37" t="s">
        <v>1489</v>
      </c>
      <c r="T159" s="48">
        <v>120</v>
      </c>
      <c r="U159" s="30">
        <v>25813.37</v>
      </c>
      <c r="V159" s="41">
        <v>3097604.4</v>
      </c>
      <c r="W159" s="41">
        <v>4440</v>
      </c>
      <c r="X159" s="41">
        <v>4440</v>
      </c>
      <c r="Y159" s="41">
        <v>0</v>
      </c>
      <c r="Z159" s="41">
        <v>0</v>
      </c>
      <c r="AA159" s="41">
        <v>0</v>
      </c>
      <c r="AB159" s="41">
        <v>0</v>
      </c>
      <c r="AC159" s="41">
        <v>0</v>
      </c>
      <c r="AD159" s="41">
        <v>0</v>
      </c>
      <c r="AE159" s="41">
        <v>0</v>
      </c>
      <c r="AF159" s="41">
        <v>0</v>
      </c>
      <c r="AG159" s="41">
        <v>0</v>
      </c>
      <c r="AH159" s="41">
        <v>0</v>
      </c>
      <c r="AI159" s="41">
        <v>0</v>
      </c>
      <c r="AJ159" s="41">
        <v>0</v>
      </c>
      <c r="AK159" s="41">
        <v>0</v>
      </c>
      <c r="AL159" s="41">
        <v>0</v>
      </c>
      <c r="AM159" s="41"/>
      <c r="AN159" s="41">
        <v>37</v>
      </c>
      <c r="AO159" s="41">
        <v>37</v>
      </c>
      <c r="AP159" s="40" t="s">
        <v>2608</v>
      </c>
      <c r="AQ159" s="36">
        <v>45078</v>
      </c>
      <c r="AR159" s="36"/>
      <c r="AS159" s="36"/>
      <c r="AT159" s="36">
        <v>45092</v>
      </c>
      <c r="AU159" s="36"/>
      <c r="AV159" s="38"/>
      <c r="AW159" s="40" t="s">
        <v>87</v>
      </c>
    </row>
    <row r="160" spans="1:49" s="34" customFormat="1" ht="88.5" customHeight="1" x14ac:dyDescent="0.3">
      <c r="A160" s="35" t="s">
        <v>2623</v>
      </c>
      <c r="B160" s="38">
        <v>45002</v>
      </c>
      <c r="C160" s="40">
        <v>545</v>
      </c>
      <c r="D160" s="39" t="s">
        <v>459</v>
      </c>
      <c r="E160" s="1" t="s">
        <v>2624</v>
      </c>
      <c r="F160" s="36" t="s">
        <v>459</v>
      </c>
      <c r="G160" s="37" t="s">
        <v>459</v>
      </c>
      <c r="H160" s="40" t="s">
        <v>459</v>
      </c>
      <c r="I160" s="40" t="s">
        <v>1420</v>
      </c>
      <c r="J160" s="57">
        <v>8760490.1999999993</v>
      </c>
      <c r="K160" s="41">
        <v>0</v>
      </c>
      <c r="L160" s="30">
        <v>0</v>
      </c>
      <c r="M160" s="30">
        <v>0</v>
      </c>
      <c r="N160" s="40"/>
      <c r="O160" s="40"/>
      <c r="P160" s="40"/>
      <c r="Q160" s="44"/>
      <c r="R160" s="37"/>
      <c r="S160" s="37"/>
      <c r="T160" s="48"/>
      <c r="U160" s="30" t="e">
        <v>#DIV/0!</v>
      </c>
      <c r="V160" s="41" t="e">
        <v>#DIV/0!</v>
      </c>
      <c r="W160" s="41">
        <v>0</v>
      </c>
      <c r="X160" s="41">
        <v>0</v>
      </c>
      <c r="Y160" s="41">
        <v>0</v>
      </c>
      <c r="Z160" s="41">
        <v>0</v>
      </c>
      <c r="AA160" s="41">
        <v>0</v>
      </c>
      <c r="AB160" s="41">
        <v>0</v>
      </c>
      <c r="AC160" s="41">
        <v>0</v>
      </c>
      <c r="AD160" s="41">
        <v>0</v>
      </c>
      <c r="AE160" s="41">
        <v>0</v>
      </c>
      <c r="AF160" s="41">
        <v>0</v>
      </c>
      <c r="AG160" s="41">
        <v>0</v>
      </c>
      <c r="AH160" s="41">
        <v>0</v>
      </c>
      <c r="AI160" s="41">
        <v>0</v>
      </c>
      <c r="AJ160" s="41">
        <v>0</v>
      </c>
      <c r="AK160" s="41">
        <v>0</v>
      </c>
      <c r="AL160" s="41">
        <v>0</v>
      </c>
      <c r="AM160" s="41"/>
      <c r="AN160" s="41" t="e">
        <v>#DIV/0!</v>
      </c>
      <c r="AO160" s="41" t="e">
        <v>#DIV/0!</v>
      </c>
      <c r="AP160" s="40"/>
      <c r="AQ160" s="36"/>
      <c r="AR160" s="36"/>
      <c r="AS160" s="36"/>
      <c r="AT160" s="36"/>
      <c r="AU160" s="36"/>
      <c r="AV160" s="38"/>
      <c r="AW160" s="40"/>
    </row>
    <row r="161" spans="1:49" s="34" customFormat="1" ht="88.5" customHeight="1" x14ac:dyDescent="0.3">
      <c r="A161" s="35" t="s">
        <v>2625</v>
      </c>
      <c r="B161" s="38">
        <v>45002</v>
      </c>
      <c r="C161" s="40">
        <v>545</v>
      </c>
      <c r="D161" s="39" t="s">
        <v>2626</v>
      </c>
      <c r="E161" s="1" t="s">
        <v>2627</v>
      </c>
      <c r="F161" s="36">
        <v>45023</v>
      </c>
      <c r="G161" s="37" t="s">
        <v>2628</v>
      </c>
      <c r="H161" s="40" t="s">
        <v>224</v>
      </c>
      <c r="I161" s="40" t="s">
        <v>2629</v>
      </c>
      <c r="J161" s="57">
        <v>112771718.40000001</v>
      </c>
      <c r="K161" s="57">
        <v>112771718.40000001</v>
      </c>
      <c r="L161" s="30">
        <v>112771718.40000001</v>
      </c>
      <c r="M161" s="30">
        <v>112771718.40000001</v>
      </c>
      <c r="N161" s="40" t="s">
        <v>1271</v>
      </c>
      <c r="O161" s="40" t="s">
        <v>1364</v>
      </c>
      <c r="P161" s="40" t="s">
        <v>199</v>
      </c>
      <c r="Q161" s="44">
        <v>0</v>
      </c>
      <c r="R161" s="37">
        <v>100</v>
      </c>
      <c r="S161" s="37" t="s">
        <v>219</v>
      </c>
      <c r="T161" s="67">
        <v>9.6</v>
      </c>
      <c r="U161" s="30">
        <v>618266</v>
      </c>
      <c r="V161" s="41">
        <v>5935353.5999999996</v>
      </c>
      <c r="W161" s="41">
        <v>182.4</v>
      </c>
      <c r="X161" s="41">
        <v>182.4</v>
      </c>
      <c r="Y161" s="41">
        <v>0</v>
      </c>
      <c r="Z161" s="41">
        <v>0</v>
      </c>
      <c r="AA161" s="41">
        <v>0</v>
      </c>
      <c r="AB161" s="41">
        <v>0</v>
      </c>
      <c r="AC161" s="41">
        <v>0</v>
      </c>
      <c r="AD161" s="41">
        <v>0</v>
      </c>
      <c r="AE161" s="41">
        <v>0</v>
      </c>
      <c r="AF161" s="41">
        <v>0</v>
      </c>
      <c r="AG161" s="41">
        <v>0</v>
      </c>
      <c r="AH161" s="41">
        <v>0</v>
      </c>
      <c r="AI161" s="41">
        <v>0</v>
      </c>
      <c r="AJ161" s="41">
        <v>0</v>
      </c>
      <c r="AK161" s="41">
        <v>0</v>
      </c>
      <c r="AL161" s="41">
        <v>0</v>
      </c>
      <c r="AM161" s="41"/>
      <c r="AN161" s="41">
        <v>19</v>
      </c>
      <c r="AO161" s="41">
        <v>19</v>
      </c>
      <c r="AP161" s="40" t="s">
        <v>2630</v>
      </c>
      <c r="AQ161" s="36">
        <v>45061</v>
      </c>
      <c r="AR161" s="36"/>
      <c r="AS161" s="36"/>
      <c r="AT161" s="36">
        <v>45076</v>
      </c>
      <c r="AU161" s="36"/>
      <c r="AV161" s="38"/>
      <c r="AW161" s="40" t="s">
        <v>87</v>
      </c>
    </row>
    <row r="162" spans="1:49" s="34" customFormat="1" ht="88.5" customHeight="1" x14ac:dyDescent="0.3">
      <c r="A162" s="35" t="s">
        <v>2631</v>
      </c>
      <c r="B162" s="38">
        <v>45002</v>
      </c>
      <c r="C162" s="40">
        <v>545</v>
      </c>
      <c r="D162" s="39" t="s">
        <v>2632</v>
      </c>
      <c r="E162" s="1" t="s">
        <v>2633</v>
      </c>
      <c r="F162" s="36">
        <v>45023</v>
      </c>
      <c r="G162" s="37" t="s">
        <v>2634</v>
      </c>
      <c r="H162" s="40" t="s">
        <v>802</v>
      </c>
      <c r="I162" s="40" t="s">
        <v>1350</v>
      </c>
      <c r="J162" s="57">
        <v>14220608.5</v>
      </c>
      <c r="K162" s="41">
        <v>14220608.5</v>
      </c>
      <c r="L162" s="30">
        <v>14220608.5</v>
      </c>
      <c r="M162" s="30">
        <v>14220608.5</v>
      </c>
      <c r="N162" s="40" t="s">
        <v>1351</v>
      </c>
      <c r="O162" s="40" t="s">
        <v>2635</v>
      </c>
      <c r="P162" s="40" t="s">
        <v>199</v>
      </c>
      <c r="Q162" s="44">
        <v>0</v>
      </c>
      <c r="R162" s="37">
        <v>100</v>
      </c>
      <c r="S162" s="37" t="s">
        <v>584</v>
      </c>
      <c r="T162" s="48">
        <v>50</v>
      </c>
      <c r="U162" s="30">
        <v>1004.99</v>
      </c>
      <c r="V162" s="41">
        <v>50249.5</v>
      </c>
      <c r="W162" s="41">
        <v>14150</v>
      </c>
      <c r="X162" s="41">
        <v>14150</v>
      </c>
      <c r="Y162" s="41">
        <v>0</v>
      </c>
      <c r="Z162" s="41">
        <v>0</v>
      </c>
      <c r="AA162" s="41">
        <v>0</v>
      </c>
      <c r="AB162" s="41">
        <v>0</v>
      </c>
      <c r="AC162" s="41">
        <v>0</v>
      </c>
      <c r="AD162" s="41">
        <v>0</v>
      </c>
      <c r="AE162" s="41">
        <v>0</v>
      </c>
      <c r="AF162" s="41">
        <v>0</v>
      </c>
      <c r="AG162" s="41">
        <v>0</v>
      </c>
      <c r="AH162" s="41">
        <v>0</v>
      </c>
      <c r="AI162" s="41">
        <v>0</v>
      </c>
      <c r="AJ162" s="41">
        <v>0</v>
      </c>
      <c r="AK162" s="41">
        <v>0</v>
      </c>
      <c r="AL162" s="41">
        <v>0</v>
      </c>
      <c r="AM162" s="41"/>
      <c r="AN162" s="41">
        <v>283</v>
      </c>
      <c r="AO162" s="41">
        <v>283</v>
      </c>
      <c r="AP162" s="40" t="s">
        <v>1353</v>
      </c>
      <c r="AQ162" s="36">
        <v>45138</v>
      </c>
      <c r="AR162" s="36"/>
      <c r="AS162" s="36"/>
      <c r="AT162" s="36">
        <v>45153</v>
      </c>
      <c r="AU162" s="36"/>
      <c r="AV162" s="38"/>
      <c r="AW162" s="40" t="s">
        <v>87</v>
      </c>
    </row>
    <row r="163" spans="1:49" ht="88.5" customHeight="1" x14ac:dyDescent="0.3">
      <c r="A163" s="35" t="s">
        <v>2655</v>
      </c>
      <c r="B163" s="38">
        <v>45006</v>
      </c>
      <c r="C163" s="40">
        <v>545</v>
      </c>
      <c r="D163" s="39" t="s">
        <v>2656</v>
      </c>
      <c r="E163" s="1" t="s">
        <v>2657</v>
      </c>
      <c r="F163" s="36">
        <v>45026</v>
      </c>
      <c r="G163" s="37" t="s">
        <v>2658</v>
      </c>
      <c r="H163" s="40" t="s">
        <v>224</v>
      </c>
      <c r="I163" s="40" t="s">
        <v>1314</v>
      </c>
      <c r="J163" s="57">
        <v>268342800</v>
      </c>
      <c r="K163" s="41">
        <v>268342800</v>
      </c>
      <c r="L163" s="30">
        <v>348730800</v>
      </c>
      <c r="M163" s="30">
        <v>348730800</v>
      </c>
      <c r="N163" s="40" t="s">
        <v>1300</v>
      </c>
      <c r="O163" s="40" t="s">
        <v>1308</v>
      </c>
      <c r="P163" s="40" t="s">
        <v>1032</v>
      </c>
      <c r="Q163" s="44">
        <v>0</v>
      </c>
      <c r="R163" s="37">
        <v>100</v>
      </c>
      <c r="S163" s="37" t="s">
        <v>1964</v>
      </c>
      <c r="T163" s="48">
        <v>60</v>
      </c>
      <c r="U163" s="30">
        <v>6380</v>
      </c>
      <c r="V163" s="41">
        <v>382800</v>
      </c>
      <c r="W163" s="41">
        <v>54660</v>
      </c>
      <c r="X163" s="41">
        <v>48600</v>
      </c>
      <c r="Y163" s="41">
        <v>0</v>
      </c>
      <c r="Z163" s="41">
        <v>0</v>
      </c>
      <c r="AA163" s="41">
        <v>0</v>
      </c>
      <c r="AB163" s="41">
        <v>0</v>
      </c>
      <c r="AC163" s="41">
        <v>6060</v>
      </c>
      <c r="AD163" s="41">
        <v>0</v>
      </c>
      <c r="AE163" s="41">
        <v>0</v>
      </c>
      <c r="AF163" s="41">
        <v>0</v>
      </c>
      <c r="AG163" s="41">
        <v>0</v>
      </c>
      <c r="AH163" s="41">
        <v>0</v>
      </c>
      <c r="AI163" s="41">
        <v>0</v>
      </c>
      <c r="AJ163" s="41">
        <v>0</v>
      </c>
      <c r="AK163" s="41">
        <v>0</v>
      </c>
      <c r="AL163" s="41">
        <v>0</v>
      </c>
      <c r="AM163" s="41"/>
      <c r="AN163" s="41">
        <v>911</v>
      </c>
      <c r="AO163" s="41">
        <v>911</v>
      </c>
      <c r="AP163" s="40"/>
      <c r="AQ163" s="36">
        <v>45138</v>
      </c>
      <c r="AR163" s="36">
        <v>45199</v>
      </c>
      <c r="AS163" s="36"/>
      <c r="AT163" s="36">
        <v>45153</v>
      </c>
      <c r="AU163" s="36">
        <v>45214</v>
      </c>
      <c r="AV163" s="38"/>
      <c r="AW163" s="40" t="s">
        <v>75</v>
      </c>
    </row>
    <row r="164" spans="1:49" ht="77.25" customHeight="1" x14ac:dyDescent="0.3">
      <c r="A164" s="35" t="s">
        <v>2659</v>
      </c>
      <c r="B164" s="38">
        <v>45006</v>
      </c>
      <c r="C164" s="40">
        <v>545</v>
      </c>
      <c r="D164" s="39" t="s">
        <v>2660</v>
      </c>
      <c r="E164" s="1" t="s">
        <v>2661</v>
      </c>
      <c r="F164" s="36">
        <v>45026</v>
      </c>
      <c r="G164" s="37" t="s">
        <v>2662</v>
      </c>
      <c r="H164" s="40" t="s">
        <v>224</v>
      </c>
      <c r="I164" s="40" t="s">
        <v>1339</v>
      </c>
      <c r="J164" s="57">
        <v>115797000</v>
      </c>
      <c r="K164" s="41">
        <v>115797000</v>
      </c>
      <c r="L164" s="30">
        <v>115797000</v>
      </c>
      <c r="M164" s="30">
        <v>115797000</v>
      </c>
      <c r="N164" s="40" t="s">
        <v>1300</v>
      </c>
      <c r="O164" s="40" t="s">
        <v>1301</v>
      </c>
      <c r="P164" s="40" t="s">
        <v>1032</v>
      </c>
      <c r="Q164" s="44">
        <v>0</v>
      </c>
      <c r="R164" s="37">
        <v>100</v>
      </c>
      <c r="S164" s="37" t="s">
        <v>1964</v>
      </c>
      <c r="T164" s="48">
        <v>60</v>
      </c>
      <c r="U164" s="30">
        <v>15950</v>
      </c>
      <c r="V164" s="41">
        <v>957000</v>
      </c>
      <c r="W164" s="41">
        <v>7260</v>
      </c>
      <c r="X164" s="41">
        <v>7260</v>
      </c>
      <c r="Y164" s="41">
        <v>0</v>
      </c>
      <c r="Z164" s="41">
        <v>0</v>
      </c>
      <c r="AA164" s="41">
        <v>0</v>
      </c>
      <c r="AB164" s="41">
        <v>0</v>
      </c>
      <c r="AC164" s="41">
        <v>0</v>
      </c>
      <c r="AD164" s="41">
        <v>0</v>
      </c>
      <c r="AE164" s="41">
        <v>0</v>
      </c>
      <c r="AF164" s="41">
        <v>0</v>
      </c>
      <c r="AG164" s="41">
        <v>0</v>
      </c>
      <c r="AH164" s="41">
        <v>0</v>
      </c>
      <c r="AI164" s="41">
        <v>0</v>
      </c>
      <c r="AJ164" s="41">
        <v>0</v>
      </c>
      <c r="AK164" s="41">
        <v>0</v>
      </c>
      <c r="AL164" s="41">
        <v>0</v>
      </c>
      <c r="AM164" s="41"/>
      <c r="AN164" s="41">
        <v>121</v>
      </c>
      <c r="AO164" s="41">
        <v>121</v>
      </c>
      <c r="AP164" s="40" t="s">
        <v>1353</v>
      </c>
      <c r="AQ164" s="36">
        <v>45046</v>
      </c>
      <c r="AR164" s="36"/>
      <c r="AS164" s="36"/>
      <c r="AT164" s="36">
        <v>45061</v>
      </c>
      <c r="AU164" s="36"/>
      <c r="AV164" s="38"/>
      <c r="AW164" s="40" t="s">
        <v>87</v>
      </c>
    </row>
    <row r="165" spans="1:49" ht="64.5" customHeight="1" x14ac:dyDescent="0.3">
      <c r="A165" s="35" t="s">
        <v>2665</v>
      </c>
      <c r="B165" s="38">
        <v>45008</v>
      </c>
      <c r="C165" s="40">
        <v>545</v>
      </c>
      <c r="D165" s="39" t="s">
        <v>2666</v>
      </c>
      <c r="E165" s="1" t="s">
        <v>2667</v>
      </c>
      <c r="F165" s="36">
        <v>45030</v>
      </c>
      <c r="G165" s="37" t="s">
        <v>2668</v>
      </c>
      <c r="H165" s="40" t="s">
        <v>878</v>
      </c>
      <c r="I165" s="40" t="s">
        <v>2554</v>
      </c>
      <c r="J165" s="57">
        <v>2250001.7999999998</v>
      </c>
      <c r="K165" s="41">
        <v>2249953.2000000002</v>
      </c>
      <c r="L165" s="30">
        <v>2249953.2000000002</v>
      </c>
      <c r="M165" s="30">
        <v>2249953.2000000002</v>
      </c>
      <c r="N165" s="40" t="s">
        <v>2555</v>
      </c>
      <c r="O165" s="40" t="s">
        <v>2669</v>
      </c>
      <c r="P165" s="40" t="s">
        <v>218</v>
      </c>
      <c r="Q165" s="44">
        <v>0</v>
      </c>
      <c r="R165" s="37">
        <v>100</v>
      </c>
      <c r="S165" s="37" t="s">
        <v>1964</v>
      </c>
      <c r="T165" s="48">
        <v>60</v>
      </c>
      <c r="U165" s="30">
        <v>4166.58</v>
      </c>
      <c r="V165" s="41">
        <v>249994.8</v>
      </c>
      <c r="W165" s="41">
        <v>540</v>
      </c>
      <c r="X165" s="41">
        <v>540</v>
      </c>
      <c r="Y165" s="41">
        <v>0</v>
      </c>
      <c r="Z165" s="41">
        <v>0</v>
      </c>
      <c r="AA165" s="41">
        <v>0</v>
      </c>
      <c r="AB165" s="41">
        <v>0</v>
      </c>
      <c r="AC165" s="41">
        <v>0</v>
      </c>
      <c r="AD165" s="41">
        <v>0</v>
      </c>
      <c r="AE165" s="41">
        <v>0</v>
      </c>
      <c r="AF165" s="41">
        <v>0</v>
      </c>
      <c r="AG165" s="41">
        <v>0</v>
      </c>
      <c r="AH165" s="41">
        <v>0</v>
      </c>
      <c r="AI165" s="41">
        <v>0</v>
      </c>
      <c r="AJ165" s="41">
        <v>0</v>
      </c>
      <c r="AK165" s="41">
        <v>0</v>
      </c>
      <c r="AL165" s="41">
        <v>0</v>
      </c>
      <c r="AM165" s="41"/>
      <c r="AN165" s="41">
        <v>9</v>
      </c>
      <c r="AO165" s="41">
        <v>9</v>
      </c>
      <c r="AP165" s="40" t="s">
        <v>2670</v>
      </c>
      <c r="AQ165" s="36">
        <v>45047</v>
      </c>
      <c r="AR165" s="36"/>
      <c r="AS165" s="36"/>
      <c r="AT165" s="36">
        <v>45061</v>
      </c>
      <c r="AU165" s="36"/>
      <c r="AV165" s="38"/>
      <c r="AW165" s="40" t="s">
        <v>87</v>
      </c>
    </row>
    <row r="166" spans="1:49" ht="72" x14ac:dyDescent="0.3">
      <c r="A166" s="35" t="s">
        <v>2691</v>
      </c>
      <c r="B166" s="38">
        <v>45012</v>
      </c>
      <c r="C166" s="40">
        <v>545</v>
      </c>
      <c r="D166" s="39" t="s">
        <v>459</v>
      </c>
      <c r="E166" s="1" t="s">
        <v>2692</v>
      </c>
      <c r="F166" s="36" t="s">
        <v>459</v>
      </c>
      <c r="G166" s="37" t="s">
        <v>459</v>
      </c>
      <c r="H166" s="40" t="s">
        <v>459</v>
      </c>
      <c r="I166" s="40" t="s">
        <v>1427</v>
      </c>
      <c r="J166" s="57">
        <v>862804.8</v>
      </c>
      <c r="K166" s="41">
        <v>0</v>
      </c>
      <c r="L166" s="30">
        <v>0</v>
      </c>
      <c r="M166" s="30">
        <v>0</v>
      </c>
      <c r="N166" s="40"/>
      <c r="O166" s="40"/>
      <c r="P166" s="40"/>
      <c r="Q166" s="44"/>
      <c r="R166" s="37"/>
      <c r="S166" s="37"/>
      <c r="T166" s="48"/>
      <c r="U166" s="30" t="e">
        <v>#DIV/0!</v>
      </c>
      <c r="V166" s="41" t="e">
        <v>#DIV/0!</v>
      </c>
      <c r="W166" s="41">
        <v>0</v>
      </c>
      <c r="X166" s="41">
        <v>0</v>
      </c>
      <c r="Y166" s="41">
        <v>0</v>
      </c>
      <c r="Z166" s="41">
        <v>0</v>
      </c>
      <c r="AA166" s="41">
        <v>0</v>
      </c>
      <c r="AB166" s="41">
        <v>0</v>
      </c>
      <c r="AC166" s="41">
        <v>0</v>
      </c>
      <c r="AD166" s="41">
        <v>0</v>
      </c>
      <c r="AE166" s="41">
        <v>0</v>
      </c>
      <c r="AF166" s="41">
        <v>0</v>
      </c>
      <c r="AG166" s="41">
        <v>0</v>
      </c>
      <c r="AH166" s="41">
        <v>0</v>
      </c>
      <c r="AI166" s="41">
        <v>0</v>
      </c>
      <c r="AJ166" s="41">
        <v>0</v>
      </c>
      <c r="AK166" s="41">
        <v>0</v>
      </c>
      <c r="AL166" s="41">
        <v>0</v>
      </c>
      <c r="AM166" s="41"/>
      <c r="AN166" s="41" t="e">
        <v>#DIV/0!</v>
      </c>
      <c r="AO166" s="41" t="e">
        <v>#DIV/0!</v>
      </c>
      <c r="AP166" s="40"/>
      <c r="AQ166" s="36">
        <v>45047</v>
      </c>
      <c r="AR166" s="36"/>
      <c r="AS166" s="36"/>
      <c r="AT166" s="36"/>
      <c r="AU166" s="36"/>
      <c r="AV166" s="38"/>
      <c r="AW166" s="40"/>
    </row>
    <row r="167" spans="1:49" ht="54" customHeight="1" x14ac:dyDescent="0.3">
      <c r="A167" s="35" t="s">
        <v>2693</v>
      </c>
      <c r="B167" s="38">
        <v>45012</v>
      </c>
      <c r="C167" s="40">
        <v>545</v>
      </c>
      <c r="D167" s="39" t="s">
        <v>2694</v>
      </c>
      <c r="E167" s="1" t="s">
        <v>2695</v>
      </c>
      <c r="F167" s="36">
        <v>45033</v>
      </c>
      <c r="G167" s="35" t="s">
        <v>2696</v>
      </c>
      <c r="H167" s="40" t="s">
        <v>224</v>
      </c>
      <c r="I167" s="40" t="s">
        <v>1706</v>
      </c>
      <c r="J167" s="57">
        <v>282655963.5</v>
      </c>
      <c r="K167" s="41">
        <v>282655963.5</v>
      </c>
      <c r="L167" s="30">
        <v>348479955</v>
      </c>
      <c r="M167" s="30">
        <v>348479955</v>
      </c>
      <c r="N167" s="40" t="s">
        <v>2392</v>
      </c>
      <c r="O167" s="40" t="s">
        <v>2393</v>
      </c>
      <c r="P167" s="40" t="s">
        <v>2394</v>
      </c>
      <c r="Q167" s="44">
        <v>0</v>
      </c>
      <c r="R167" s="37">
        <v>100</v>
      </c>
      <c r="S167" s="37" t="s">
        <v>1489</v>
      </c>
      <c r="T167" s="48">
        <v>30</v>
      </c>
      <c r="U167" s="30">
        <v>25813.33</v>
      </c>
      <c r="V167" s="41">
        <v>774399.9</v>
      </c>
      <c r="W167" s="41">
        <v>13500</v>
      </c>
      <c r="X167" s="41">
        <v>13500</v>
      </c>
      <c r="Y167" s="41">
        <v>0</v>
      </c>
      <c r="Z167" s="41">
        <v>0</v>
      </c>
      <c r="AA167" s="41">
        <v>0</v>
      </c>
      <c r="AB167" s="41">
        <v>0</v>
      </c>
      <c r="AC167" s="41">
        <v>0</v>
      </c>
      <c r="AD167" s="41">
        <v>0</v>
      </c>
      <c r="AE167" s="41">
        <v>0</v>
      </c>
      <c r="AF167" s="41">
        <v>0</v>
      </c>
      <c r="AG167" s="41">
        <v>0</v>
      </c>
      <c r="AH167" s="41">
        <v>0</v>
      </c>
      <c r="AI167" s="41">
        <v>0</v>
      </c>
      <c r="AJ167" s="41">
        <v>0</v>
      </c>
      <c r="AK167" s="41">
        <v>0</v>
      </c>
      <c r="AL167" s="41">
        <v>0</v>
      </c>
      <c r="AM167" s="41"/>
      <c r="AN167" s="41">
        <v>450</v>
      </c>
      <c r="AO167" s="41">
        <v>450</v>
      </c>
      <c r="AP167" s="40" t="s">
        <v>1353</v>
      </c>
      <c r="AQ167" s="36">
        <v>45078</v>
      </c>
      <c r="AR167" s="36"/>
      <c r="AS167" s="36"/>
      <c r="AT167" s="36">
        <v>45092</v>
      </c>
      <c r="AU167" s="36"/>
      <c r="AV167" s="38"/>
      <c r="AW167" s="40" t="s">
        <v>87</v>
      </c>
    </row>
    <row r="168" spans="1:49" s="34" customFormat="1" ht="66" customHeight="1" x14ac:dyDescent="0.3">
      <c r="A168" s="35" t="s">
        <v>2735</v>
      </c>
      <c r="B168" s="38">
        <v>45013</v>
      </c>
      <c r="C168" s="40">
        <v>545</v>
      </c>
      <c r="D168" s="39" t="s">
        <v>2736</v>
      </c>
      <c r="E168" s="1" t="s">
        <v>2737</v>
      </c>
      <c r="F168" s="36">
        <v>45033</v>
      </c>
      <c r="G168" s="37" t="s">
        <v>2738</v>
      </c>
      <c r="H168" s="40" t="s">
        <v>2739</v>
      </c>
      <c r="I168" s="40" t="s">
        <v>1393</v>
      </c>
      <c r="J168" s="57">
        <v>79886391.200000003</v>
      </c>
      <c r="K168" s="41">
        <v>79886391.200000003</v>
      </c>
      <c r="L168" s="30">
        <v>79886391.200000003</v>
      </c>
      <c r="M168" s="30">
        <v>79886391.200000003</v>
      </c>
      <c r="N168" s="40" t="s">
        <v>1394</v>
      </c>
      <c r="O168" s="40" t="s">
        <v>2740</v>
      </c>
      <c r="P168" s="40" t="s">
        <v>190</v>
      </c>
      <c r="Q168" s="44">
        <v>0</v>
      </c>
      <c r="R168" s="37">
        <v>100</v>
      </c>
      <c r="S168" s="37" t="s">
        <v>584</v>
      </c>
      <c r="T168" s="48">
        <v>140</v>
      </c>
      <c r="U168" s="30">
        <v>10766.36</v>
      </c>
      <c r="V168" s="41">
        <v>1507290.4000000001</v>
      </c>
      <c r="W168" s="41">
        <v>7420</v>
      </c>
      <c r="X168" s="41">
        <v>7420</v>
      </c>
      <c r="Y168" s="41">
        <v>0</v>
      </c>
      <c r="Z168" s="41">
        <v>0</v>
      </c>
      <c r="AA168" s="41">
        <v>0</v>
      </c>
      <c r="AB168" s="41">
        <v>0</v>
      </c>
      <c r="AC168" s="41">
        <v>0</v>
      </c>
      <c r="AD168" s="41">
        <v>0</v>
      </c>
      <c r="AE168" s="41">
        <v>0</v>
      </c>
      <c r="AF168" s="41">
        <v>0</v>
      </c>
      <c r="AG168" s="41">
        <v>0</v>
      </c>
      <c r="AH168" s="41">
        <v>0</v>
      </c>
      <c r="AI168" s="41">
        <v>0</v>
      </c>
      <c r="AJ168" s="41">
        <v>0</v>
      </c>
      <c r="AK168" s="41">
        <v>0</v>
      </c>
      <c r="AL168" s="41">
        <v>0</v>
      </c>
      <c r="AM168" s="41"/>
      <c r="AN168" s="41">
        <v>53</v>
      </c>
      <c r="AO168" s="41">
        <v>53</v>
      </c>
      <c r="AP168" s="40" t="s">
        <v>2741</v>
      </c>
      <c r="AQ168" s="36">
        <v>45077</v>
      </c>
      <c r="AR168" s="36"/>
      <c r="AS168" s="36"/>
      <c r="AT168" s="36">
        <v>45092</v>
      </c>
      <c r="AU168" s="36"/>
      <c r="AV168" s="38"/>
      <c r="AW168" s="40" t="s">
        <v>87</v>
      </c>
    </row>
    <row r="169" spans="1:49" s="34" customFormat="1" ht="66" customHeight="1" x14ac:dyDescent="0.3">
      <c r="A169" s="35" t="s">
        <v>2750</v>
      </c>
      <c r="B169" s="38">
        <v>45014</v>
      </c>
      <c r="C169" s="40">
        <v>545</v>
      </c>
      <c r="D169" s="39" t="s">
        <v>2751</v>
      </c>
      <c r="E169" s="1" t="s">
        <v>2752</v>
      </c>
      <c r="F169" s="36">
        <v>45037</v>
      </c>
      <c r="G169" s="37" t="s">
        <v>2753</v>
      </c>
      <c r="H169" s="40" t="s">
        <v>2754</v>
      </c>
      <c r="I169" s="40" t="s">
        <v>1486</v>
      </c>
      <c r="J169" s="57">
        <v>180530850.5</v>
      </c>
      <c r="K169" s="41">
        <v>180530850.5</v>
      </c>
      <c r="L169" s="30">
        <v>226496270</v>
      </c>
      <c r="M169" s="30">
        <v>226496270</v>
      </c>
      <c r="N169" s="40" t="s">
        <v>1487</v>
      </c>
      <c r="O169" s="40" t="s">
        <v>2592</v>
      </c>
      <c r="P169" s="40" t="s">
        <v>348</v>
      </c>
      <c r="Q169" s="44">
        <v>0</v>
      </c>
      <c r="R169" s="37">
        <v>100</v>
      </c>
      <c r="S169" s="37" t="s">
        <v>1489</v>
      </c>
      <c r="T169" s="48">
        <v>2</v>
      </c>
      <c r="U169" s="30">
        <v>333082.75</v>
      </c>
      <c r="V169" s="41">
        <v>666165.5</v>
      </c>
      <c r="W169" s="41">
        <v>680</v>
      </c>
      <c r="X169" s="41">
        <v>680</v>
      </c>
      <c r="Y169" s="41">
        <v>0</v>
      </c>
      <c r="Z169" s="41">
        <v>0</v>
      </c>
      <c r="AA169" s="41">
        <v>0</v>
      </c>
      <c r="AB169" s="41">
        <v>0</v>
      </c>
      <c r="AC169" s="41">
        <v>0</v>
      </c>
      <c r="AD169" s="41">
        <v>0</v>
      </c>
      <c r="AE169" s="41">
        <v>0</v>
      </c>
      <c r="AF169" s="41">
        <v>0</v>
      </c>
      <c r="AG169" s="41">
        <v>0</v>
      </c>
      <c r="AH169" s="41">
        <v>0</v>
      </c>
      <c r="AI169" s="41">
        <v>0</v>
      </c>
      <c r="AJ169" s="41">
        <v>0</v>
      </c>
      <c r="AK169" s="41">
        <v>0</v>
      </c>
      <c r="AL169" s="41">
        <v>0</v>
      </c>
      <c r="AM169" s="41"/>
      <c r="AN169" s="41">
        <v>340</v>
      </c>
      <c r="AO169" s="41">
        <v>340</v>
      </c>
      <c r="AP169" s="40" t="s">
        <v>1353</v>
      </c>
      <c r="AQ169" s="36">
        <v>45107</v>
      </c>
      <c r="AR169" s="36"/>
      <c r="AS169" s="36"/>
      <c r="AT169" s="36">
        <v>45122</v>
      </c>
      <c r="AU169" s="36"/>
      <c r="AV169" s="38"/>
      <c r="AW169" s="40" t="s">
        <v>87</v>
      </c>
    </row>
    <row r="170" spans="1:49" s="34" customFormat="1" ht="66" customHeight="1" x14ac:dyDescent="0.3">
      <c r="A170" s="35" t="s">
        <v>2766</v>
      </c>
      <c r="B170" s="38">
        <v>45015</v>
      </c>
      <c r="C170" s="40">
        <v>545</v>
      </c>
      <c r="D170" s="39" t="s">
        <v>2767</v>
      </c>
      <c r="E170" s="1" t="s">
        <v>2768</v>
      </c>
      <c r="F170" s="36">
        <v>45034</v>
      </c>
      <c r="G170" s="37" t="s">
        <v>2769</v>
      </c>
      <c r="H170" s="40" t="s">
        <v>224</v>
      </c>
      <c r="I170" s="40" t="s">
        <v>1261</v>
      </c>
      <c r="J170" s="57">
        <v>18913984</v>
      </c>
      <c r="K170" s="41">
        <v>18913984</v>
      </c>
      <c r="L170" s="30">
        <v>18913984</v>
      </c>
      <c r="M170" s="30">
        <v>18913984</v>
      </c>
      <c r="N170" s="40" t="s">
        <v>2770</v>
      </c>
      <c r="O170" s="40" t="s">
        <v>2771</v>
      </c>
      <c r="P170" s="40" t="s">
        <v>2772</v>
      </c>
      <c r="Q170" s="44">
        <v>0</v>
      </c>
      <c r="R170" s="37">
        <v>100</v>
      </c>
      <c r="S170" s="37" t="s">
        <v>219</v>
      </c>
      <c r="T170" s="48">
        <v>10</v>
      </c>
      <c r="U170" s="30">
        <v>47284.959999999999</v>
      </c>
      <c r="V170" s="41">
        <v>472849.6</v>
      </c>
      <c r="W170" s="41">
        <v>400</v>
      </c>
      <c r="X170" s="41">
        <v>400</v>
      </c>
      <c r="Y170" s="41">
        <v>0</v>
      </c>
      <c r="Z170" s="41">
        <v>0</v>
      </c>
      <c r="AA170" s="41">
        <v>0</v>
      </c>
      <c r="AB170" s="41">
        <v>0</v>
      </c>
      <c r="AC170" s="41">
        <v>0</v>
      </c>
      <c r="AD170" s="41">
        <v>0</v>
      </c>
      <c r="AE170" s="41">
        <v>0</v>
      </c>
      <c r="AF170" s="41">
        <v>0</v>
      </c>
      <c r="AG170" s="41">
        <v>0</v>
      </c>
      <c r="AH170" s="41">
        <v>0</v>
      </c>
      <c r="AI170" s="41">
        <v>0</v>
      </c>
      <c r="AJ170" s="41">
        <v>0</v>
      </c>
      <c r="AK170" s="41">
        <v>0</v>
      </c>
      <c r="AL170" s="41">
        <v>0</v>
      </c>
      <c r="AM170" s="41"/>
      <c r="AN170" s="41">
        <v>40</v>
      </c>
      <c r="AO170" s="41">
        <v>40</v>
      </c>
      <c r="AP170" s="40" t="s">
        <v>2773</v>
      </c>
      <c r="AQ170" s="36">
        <v>45092</v>
      </c>
      <c r="AR170" s="36"/>
      <c r="AS170" s="36"/>
      <c r="AT170" s="36">
        <v>45108</v>
      </c>
      <c r="AU170" s="36"/>
      <c r="AV170" s="38"/>
      <c r="AW170" s="40" t="s">
        <v>87</v>
      </c>
    </row>
    <row r="171" spans="1:49" s="34" customFormat="1" ht="66" customHeight="1" x14ac:dyDescent="0.3">
      <c r="A171" s="35" t="s">
        <v>2784</v>
      </c>
      <c r="B171" s="38">
        <v>45027</v>
      </c>
      <c r="C171" s="40">
        <v>545</v>
      </c>
      <c r="D171" s="39" t="s">
        <v>459</v>
      </c>
      <c r="E171" s="1" t="s">
        <v>2785</v>
      </c>
      <c r="F171" s="36" t="s">
        <v>459</v>
      </c>
      <c r="G171" s="37" t="s">
        <v>459</v>
      </c>
      <c r="H171" s="40" t="s">
        <v>459</v>
      </c>
      <c r="I171" s="40" t="s">
        <v>2786</v>
      </c>
      <c r="J171" s="57">
        <v>21234044.16</v>
      </c>
      <c r="K171" s="41">
        <v>0</v>
      </c>
      <c r="L171" s="30">
        <v>0</v>
      </c>
      <c r="M171" s="30">
        <v>0</v>
      </c>
      <c r="N171" s="40"/>
      <c r="O171" s="40"/>
      <c r="P171" s="40"/>
      <c r="Q171" s="44"/>
      <c r="R171" s="37"/>
      <c r="S171" s="37"/>
      <c r="T171" s="48"/>
      <c r="U171" s="30" t="e">
        <v>#DIV/0!</v>
      </c>
      <c r="V171" s="41" t="e">
        <v>#DIV/0!</v>
      </c>
      <c r="W171" s="41">
        <v>0</v>
      </c>
      <c r="X171" s="41">
        <v>0</v>
      </c>
      <c r="Y171" s="41">
        <v>0</v>
      </c>
      <c r="Z171" s="41">
        <v>0</v>
      </c>
      <c r="AA171" s="41">
        <v>0</v>
      </c>
      <c r="AB171" s="41">
        <v>0</v>
      </c>
      <c r="AC171" s="41">
        <v>0</v>
      </c>
      <c r="AD171" s="41">
        <v>0</v>
      </c>
      <c r="AE171" s="41">
        <v>0</v>
      </c>
      <c r="AF171" s="41">
        <v>0</v>
      </c>
      <c r="AG171" s="41">
        <v>0</v>
      </c>
      <c r="AH171" s="41">
        <v>0</v>
      </c>
      <c r="AI171" s="41">
        <v>0</v>
      </c>
      <c r="AJ171" s="41">
        <v>0</v>
      </c>
      <c r="AK171" s="41">
        <v>0</v>
      </c>
      <c r="AL171" s="41">
        <v>0</v>
      </c>
      <c r="AM171" s="41"/>
      <c r="AN171" s="41" t="e">
        <v>#DIV/0!</v>
      </c>
      <c r="AO171" s="41" t="e">
        <v>#DIV/0!</v>
      </c>
      <c r="AP171" s="40"/>
      <c r="AQ171" s="36">
        <v>45138</v>
      </c>
      <c r="AR171" s="36"/>
      <c r="AS171" s="36"/>
      <c r="AT171" s="36"/>
      <c r="AU171" s="36"/>
      <c r="AV171" s="38"/>
      <c r="AW171" s="40"/>
    </row>
    <row r="172" spans="1:49" s="34" customFormat="1" ht="66" customHeight="1" x14ac:dyDescent="0.3">
      <c r="A172" s="35" t="s">
        <v>2787</v>
      </c>
      <c r="B172" s="38">
        <v>45028</v>
      </c>
      <c r="C172" s="40">
        <v>545</v>
      </c>
      <c r="D172" s="39" t="s">
        <v>2788</v>
      </c>
      <c r="E172" s="1" t="s">
        <v>2789</v>
      </c>
      <c r="F172" s="36">
        <v>45049</v>
      </c>
      <c r="G172" s="37" t="s">
        <v>2790</v>
      </c>
      <c r="H172" s="40" t="s">
        <v>802</v>
      </c>
      <c r="I172" s="40" t="s">
        <v>2791</v>
      </c>
      <c r="J172" s="57">
        <v>48674481.240000002</v>
      </c>
      <c r="K172" s="41">
        <v>48674481.240000002</v>
      </c>
      <c r="L172" s="30">
        <v>48674481.240000002</v>
      </c>
      <c r="M172" s="30">
        <v>48674481.240000002</v>
      </c>
      <c r="N172" s="40" t="s">
        <v>1521</v>
      </c>
      <c r="O172" s="40" t="s">
        <v>2792</v>
      </c>
      <c r="P172" s="40" t="s">
        <v>1436</v>
      </c>
      <c r="Q172" s="44">
        <v>0</v>
      </c>
      <c r="R172" s="37">
        <v>100</v>
      </c>
      <c r="S172" s="37" t="s">
        <v>584</v>
      </c>
      <c r="T172" s="67">
        <v>18541.599999999999</v>
      </c>
      <c r="U172" s="30">
        <v>47.730000000000004</v>
      </c>
      <c r="V172" s="41">
        <v>884990.56799999997</v>
      </c>
      <c r="W172" s="41">
        <v>1019788</v>
      </c>
      <c r="X172" s="41">
        <v>1019788</v>
      </c>
      <c r="Y172" s="41">
        <v>0</v>
      </c>
      <c r="Z172" s="41">
        <v>0</v>
      </c>
      <c r="AA172" s="41">
        <v>0</v>
      </c>
      <c r="AB172" s="41">
        <v>0</v>
      </c>
      <c r="AC172" s="41">
        <v>0</v>
      </c>
      <c r="AD172" s="41">
        <v>0</v>
      </c>
      <c r="AE172" s="41">
        <v>0</v>
      </c>
      <c r="AF172" s="41">
        <v>0</v>
      </c>
      <c r="AG172" s="41">
        <v>0</v>
      </c>
      <c r="AH172" s="41">
        <v>0</v>
      </c>
      <c r="AI172" s="41">
        <v>0</v>
      </c>
      <c r="AJ172" s="41">
        <v>0</v>
      </c>
      <c r="AK172" s="41">
        <v>0</v>
      </c>
      <c r="AL172" s="41">
        <v>0</v>
      </c>
      <c r="AM172" s="41"/>
      <c r="AN172" s="41">
        <v>55.000000000000007</v>
      </c>
      <c r="AO172" s="41">
        <v>55</v>
      </c>
      <c r="AP172" s="40"/>
      <c r="AQ172" s="36">
        <v>45138</v>
      </c>
      <c r="AR172" s="36"/>
      <c r="AS172" s="36"/>
      <c r="AT172" s="36">
        <v>45153</v>
      </c>
      <c r="AU172" s="36"/>
      <c r="AV172" s="38"/>
      <c r="AW172" s="40" t="s">
        <v>87</v>
      </c>
    </row>
    <row r="173" spans="1:49" s="34" customFormat="1" ht="66" customHeight="1" x14ac:dyDescent="0.3">
      <c r="A173" s="35" t="s">
        <v>2793</v>
      </c>
      <c r="B173" s="38">
        <v>45028</v>
      </c>
      <c r="C173" s="40">
        <v>545</v>
      </c>
      <c r="D173" s="39" t="s">
        <v>459</v>
      </c>
      <c r="E173" s="1" t="s">
        <v>2794</v>
      </c>
      <c r="F173" s="36" t="s">
        <v>459</v>
      </c>
      <c r="G173" s="37" t="s">
        <v>459</v>
      </c>
      <c r="H173" s="40" t="s">
        <v>459</v>
      </c>
      <c r="I173" s="40" t="s">
        <v>1420</v>
      </c>
      <c r="J173" s="57">
        <v>10806642</v>
      </c>
      <c r="K173" s="41">
        <v>0</v>
      </c>
      <c r="L173" s="30">
        <v>0</v>
      </c>
      <c r="M173" s="30">
        <v>0</v>
      </c>
      <c r="N173" s="40"/>
      <c r="O173" s="40"/>
      <c r="P173" s="40"/>
      <c r="Q173" s="44"/>
      <c r="R173" s="37"/>
      <c r="S173" s="37"/>
      <c r="T173" s="48"/>
      <c r="U173" s="30" t="e">
        <v>#DIV/0!</v>
      </c>
      <c r="V173" s="41" t="e">
        <v>#DIV/0!</v>
      </c>
      <c r="W173" s="41">
        <v>0</v>
      </c>
      <c r="X173" s="41">
        <v>0</v>
      </c>
      <c r="Y173" s="41">
        <v>0</v>
      </c>
      <c r="Z173" s="41">
        <v>0</v>
      </c>
      <c r="AA173" s="41">
        <v>0</v>
      </c>
      <c r="AB173" s="41">
        <v>0</v>
      </c>
      <c r="AC173" s="41">
        <v>0</v>
      </c>
      <c r="AD173" s="41">
        <v>0</v>
      </c>
      <c r="AE173" s="41">
        <v>0</v>
      </c>
      <c r="AF173" s="41">
        <v>0</v>
      </c>
      <c r="AG173" s="41">
        <v>0</v>
      </c>
      <c r="AH173" s="41">
        <v>0</v>
      </c>
      <c r="AI173" s="41">
        <v>0</v>
      </c>
      <c r="AJ173" s="41">
        <v>0</v>
      </c>
      <c r="AK173" s="41">
        <v>0</v>
      </c>
      <c r="AL173" s="41">
        <v>0</v>
      </c>
      <c r="AM173" s="41"/>
      <c r="AN173" s="41" t="e">
        <v>#DIV/0!</v>
      </c>
      <c r="AO173" s="41" t="e">
        <v>#DIV/0!</v>
      </c>
      <c r="AP173" s="40"/>
      <c r="AQ173" s="36">
        <v>45078</v>
      </c>
      <c r="AR173" s="36"/>
      <c r="AS173" s="36"/>
      <c r="AT173" s="36"/>
      <c r="AU173" s="36"/>
      <c r="AV173" s="38"/>
      <c r="AW173" s="40"/>
    </row>
    <row r="174" spans="1:49" s="34" customFormat="1" ht="78" x14ac:dyDescent="0.3">
      <c r="A174" s="35" t="s">
        <v>2862</v>
      </c>
      <c r="B174" s="36">
        <v>45034</v>
      </c>
      <c r="C174" s="37">
        <v>545</v>
      </c>
      <c r="D174" s="39" t="s">
        <v>2863</v>
      </c>
      <c r="E174" s="1" t="s">
        <v>2864</v>
      </c>
      <c r="F174" s="36">
        <v>45056</v>
      </c>
      <c r="G174" s="37" t="s">
        <v>2865</v>
      </c>
      <c r="H174" s="40" t="s">
        <v>802</v>
      </c>
      <c r="I174" s="40" t="s">
        <v>1520</v>
      </c>
      <c r="J174" s="41">
        <v>46016582.979999997</v>
      </c>
      <c r="K174" s="41">
        <v>46016582.979999997</v>
      </c>
      <c r="L174" s="30">
        <v>46016582.979999997</v>
      </c>
      <c r="M174" s="30">
        <v>46016582.979999997</v>
      </c>
      <c r="N174" s="40" t="s">
        <v>1434</v>
      </c>
      <c r="O174" s="40" t="s">
        <v>1522</v>
      </c>
      <c r="P174" s="40" t="s">
        <v>1436</v>
      </c>
      <c r="Q174" s="44">
        <v>0</v>
      </c>
      <c r="R174" s="37">
        <v>100</v>
      </c>
      <c r="S174" s="37" t="s">
        <v>584</v>
      </c>
      <c r="T174" s="67">
        <v>27854.400000000001</v>
      </c>
      <c r="U174" s="30">
        <v>31.770000002761609</v>
      </c>
      <c r="V174" s="41">
        <v>884934.288076923</v>
      </c>
      <c r="W174" s="41">
        <v>1448428.8</v>
      </c>
      <c r="X174" s="41">
        <v>1448428.8</v>
      </c>
      <c r="Y174" s="41">
        <v>0</v>
      </c>
      <c r="Z174" s="41">
        <v>0</v>
      </c>
      <c r="AA174" s="41">
        <v>0</v>
      </c>
      <c r="AB174" s="41">
        <v>0</v>
      </c>
      <c r="AC174" s="41">
        <v>0</v>
      </c>
      <c r="AD174" s="41">
        <v>0</v>
      </c>
      <c r="AE174" s="41">
        <v>0</v>
      </c>
      <c r="AF174" s="41">
        <v>0</v>
      </c>
      <c r="AG174" s="41">
        <v>0</v>
      </c>
      <c r="AH174" s="41">
        <v>0</v>
      </c>
      <c r="AI174" s="41">
        <v>0</v>
      </c>
      <c r="AJ174" s="41">
        <v>0</v>
      </c>
      <c r="AK174" s="41">
        <v>0</v>
      </c>
      <c r="AL174" s="41">
        <v>0</v>
      </c>
      <c r="AM174" s="41"/>
      <c r="AN174" s="41">
        <v>52</v>
      </c>
      <c r="AO174" s="41">
        <v>52</v>
      </c>
      <c r="AP174" s="40" t="s">
        <v>2866</v>
      </c>
      <c r="AQ174" s="36">
        <v>45138</v>
      </c>
      <c r="AR174" s="36"/>
      <c r="AS174" s="36"/>
      <c r="AT174" s="36">
        <v>45122</v>
      </c>
      <c r="AU174" s="36"/>
      <c r="AV174" s="38"/>
      <c r="AW174" s="40" t="s">
        <v>87</v>
      </c>
    </row>
    <row r="175" spans="1:49" s="34" customFormat="1" ht="78" customHeight="1" x14ac:dyDescent="0.3">
      <c r="A175" s="35" t="s">
        <v>3017</v>
      </c>
      <c r="B175" s="36">
        <v>45042</v>
      </c>
      <c r="C175" s="37">
        <v>545</v>
      </c>
      <c r="D175" s="39" t="s">
        <v>3018</v>
      </c>
      <c r="E175" s="1" t="s">
        <v>3019</v>
      </c>
      <c r="F175" s="36">
        <v>45063</v>
      </c>
      <c r="G175" s="37" t="s">
        <v>3020</v>
      </c>
      <c r="H175" s="40" t="s">
        <v>1392</v>
      </c>
      <c r="I175" s="40" t="s">
        <v>1479</v>
      </c>
      <c r="J175" s="41">
        <v>17720120</v>
      </c>
      <c r="K175" s="41">
        <v>17720120</v>
      </c>
      <c r="L175" s="30">
        <v>17720120</v>
      </c>
      <c r="M175" s="30">
        <v>17720120</v>
      </c>
      <c r="N175" s="40" t="s">
        <v>3021</v>
      </c>
      <c r="O175" s="40" t="s">
        <v>3022</v>
      </c>
      <c r="P175" s="40" t="s">
        <v>218</v>
      </c>
      <c r="Q175" s="44">
        <v>0</v>
      </c>
      <c r="R175" s="37">
        <v>100</v>
      </c>
      <c r="S175" s="37" t="s">
        <v>219</v>
      </c>
      <c r="T175" s="48">
        <v>2</v>
      </c>
      <c r="U175" s="30">
        <v>521180</v>
      </c>
      <c r="V175" s="41">
        <v>1042360</v>
      </c>
      <c r="W175" s="41">
        <v>34</v>
      </c>
      <c r="X175" s="41">
        <v>34</v>
      </c>
      <c r="Y175" s="41">
        <v>0</v>
      </c>
      <c r="Z175" s="41">
        <v>0</v>
      </c>
      <c r="AA175" s="41">
        <v>0</v>
      </c>
      <c r="AB175" s="41">
        <v>0</v>
      </c>
      <c r="AC175" s="41">
        <v>0</v>
      </c>
      <c r="AD175" s="41">
        <v>0</v>
      </c>
      <c r="AE175" s="41">
        <v>0</v>
      </c>
      <c r="AF175" s="41">
        <v>0</v>
      </c>
      <c r="AG175" s="41">
        <v>0</v>
      </c>
      <c r="AH175" s="41">
        <v>0</v>
      </c>
      <c r="AI175" s="41">
        <v>0</v>
      </c>
      <c r="AJ175" s="41">
        <v>0</v>
      </c>
      <c r="AK175" s="41">
        <v>0</v>
      </c>
      <c r="AL175" s="41">
        <v>0</v>
      </c>
      <c r="AM175" s="41">
        <v>0</v>
      </c>
      <c r="AN175" s="41">
        <v>17</v>
      </c>
      <c r="AO175" s="41">
        <v>17</v>
      </c>
      <c r="AP175" s="40"/>
      <c r="AQ175" s="36">
        <v>45078</v>
      </c>
      <c r="AR175" s="36"/>
      <c r="AS175" s="36"/>
      <c r="AT175" s="36">
        <v>45092</v>
      </c>
      <c r="AU175" s="36"/>
      <c r="AV175" s="38"/>
      <c r="AW175" s="40" t="s">
        <v>87</v>
      </c>
    </row>
    <row r="176" spans="1:49" s="34" customFormat="1" ht="52.5" customHeight="1" x14ac:dyDescent="0.3">
      <c r="A176" s="35" t="s">
        <v>3030</v>
      </c>
      <c r="B176" s="36">
        <v>45042</v>
      </c>
      <c r="C176" s="37">
        <v>545</v>
      </c>
      <c r="D176" s="39" t="s">
        <v>459</v>
      </c>
      <c r="E176" s="1" t="s">
        <v>3031</v>
      </c>
      <c r="F176" s="36" t="s">
        <v>459</v>
      </c>
      <c r="G176" s="37" t="s">
        <v>459</v>
      </c>
      <c r="H176" s="40" t="s">
        <v>459</v>
      </c>
      <c r="I176" s="40" t="s">
        <v>1427</v>
      </c>
      <c r="J176" s="41">
        <v>864072</v>
      </c>
      <c r="K176" s="41">
        <v>0</v>
      </c>
      <c r="L176" s="30">
        <v>0</v>
      </c>
      <c r="M176" s="30">
        <v>0</v>
      </c>
      <c r="N176" s="40"/>
      <c r="O176" s="40"/>
      <c r="P176" s="40"/>
      <c r="Q176" s="44"/>
      <c r="R176" s="37"/>
      <c r="S176" s="37"/>
      <c r="T176" s="48"/>
      <c r="U176" s="30" t="e">
        <v>#DIV/0!</v>
      </c>
      <c r="V176" s="41" t="e">
        <v>#DIV/0!</v>
      </c>
      <c r="W176" s="41">
        <v>0</v>
      </c>
      <c r="X176" s="41">
        <v>0</v>
      </c>
      <c r="Y176" s="41">
        <v>0</v>
      </c>
      <c r="Z176" s="41" t="e">
        <v>#DIV/0!</v>
      </c>
      <c r="AA176" s="41">
        <v>0</v>
      </c>
      <c r="AB176" s="41" t="e">
        <v>#DIV/0!</v>
      </c>
      <c r="AC176" s="41">
        <v>0</v>
      </c>
      <c r="AD176" s="41">
        <v>0</v>
      </c>
      <c r="AE176" s="41" t="e">
        <v>#DIV/0!</v>
      </c>
      <c r="AF176" s="41">
        <v>0</v>
      </c>
      <c r="AG176" s="41" t="e">
        <v>#DIV/0!</v>
      </c>
      <c r="AH176" s="41">
        <v>0</v>
      </c>
      <c r="AI176" s="41">
        <v>0</v>
      </c>
      <c r="AJ176" s="41">
        <v>0</v>
      </c>
      <c r="AK176" s="41">
        <v>0</v>
      </c>
      <c r="AL176" s="41">
        <v>0</v>
      </c>
      <c r="AM176" s="41" t="e">
        <v>#DIV/0!</v>
      </c>
      <c r="AN176" s="41" t="e">
        <v>#DIV/0!</v>
      </c>
      <c r="AO176" s="41" t="e">
        <v>#DIV/0!</v>
      </c>
      <c r="AP176" s="40"/>
      <c r="AQ176" s="36">
        <v>45078</v>
      </c>
      <c r="AR176" s="36"/>
      <c r="AS176" s="36"/>
      <c r="AT176" s="36"/>
      <c r="AU176" s="36"/>
      <c r="AV176" s="38"/>
      <c r="AW176" s="40"/>
    </row>
    <row r="177" spans="1:49" s="34" customFormat="1" ht="42" customHeight="1" x14ac:dyDescent="0.3">
      <c r="A177" s="35" t="s">
        <v>3104</v>
      </c>
      <c r="B177" s="38">
        <v>45048</v>
      </c>
      <c r="C177" s="40">
        <v>545</v>
      </c>
      <c r="D177" s="39" t="s">
        <v>459</v>
      </c>
      <c r="E177" s="1" t="s">
        <v>3105</v>
      </c>
      <c r="F177" s="36" t="s">
        <v>459</v>
      </c>
      <c r="G177" s="37" t="s">
        <v>459</v>
      </c>
      <c r="H177" s="40" t="s">
        <v>459</v>
      </c>
      <c r="I177" s="40" t="s">
        <v>2554</v>
      </c>
      <c r="J177" s="57">
        <v>3882978</v>
      </c>
      <c r="K177" s="41">
        <v>0</v>
      </c>
      <c r="L177" s="30">
        <v>0</v>
      </c>
      <c r="M177" s="30">
        <v>0</v>
      </c>
      <c r="N177" s="40"/>
      <c r="O177" s="40"/>
      <c r="P177" s="40"/>
      <c r="Q177" s="44"/>
      <c r="R177" s="37"/>
      <c r="S177" s="37"/>
      <c r="T177" s="48"/>
      <c r="U177" s="30" t="e">
        <v>#DIV/0!</v>
      </c>
      <c r="V177" s="41" t="e">
        <v>#DIV/0!</v>
      </c>
      <c r="W177" s="41">
        <v>0</v>
      </c>
      <c r="X177" s="41">
        <v>0</v>
      </c>
      <c r="Y177" s="41">
        <v>0</v>
      </c>
      <c r="Z177" s="41" t="e">
        <v>#DIV/0!</v>
      </c>
      <c r="AA177" s="41">
        <v>0</v>
      </c>
      <c r="AB177" s="41" t="e">
        <v>#DIV/0!</v>
      </c>
      <c r="AC177" s="41">
        <v>0</v>
      </c>
      <c r="AD177" s="41">
        <v>0</v>
      </c>
      <c r="AE177" s="41" t="e">
        <v>#DIV/0!</v>
      </c>
      <c r="AF177" s="41">
        <v>0</v>
      </c>
      <c r="AG177" s="41" t="e">
        <v>#DIV/0!</v>
      </c>
      <c r="AH177" s="41">
        <v>0</v>
      </c>
      <c r="AI177" s="41">
        <v>0</v>
      </c>
      <c r="AJ177" s="41">
        <v>0</v>
      </c>
      <c r="AK177" s="41">
        <v>0</v>
      </c>
      <c r="AL177" s="41">
        <v>0</v>
      </c>
      <c r="AM177" s="41" t="e">
        <v>#DIV/0!</v>
      </c>
      <c r="AN177" s="41" t="e">
        <v>#DIV/0!</v>
      </c>
      <c r="AO177" s="41" t="e">
        <v>#DIV/0!</v>
      </c>
      <c r="AP177" s="40"/>
      <c r="AQ177" s="36">
        <v>45078</v>
      </c>
      <c r="AR177" s="36"/>
      <c r="AS177" s="36"/>
      <c r="AT177" s="36"/>
      <c r="AU177" s="36"/>
      <c r="AV177" s="38"/>
      <c r="AW177" s="40"/>
    </row>
    <row r="178" spans="1:49" s="34" customFormat="1" ht="42" customHeight="1" x14ac:dyDescent="0.3">
      <c r="A178" s="35" t="s">
        <v>3106</v>
      </c>
      <c r="B178" s="38">
        <v>45048</v>
      </c>
      <c r="C178" s="40">
        <v>545</v>
      </c>
      <c r="D178" s="39" t="s">
        <v>459</v>
      </c>
      <c r="E178" s="1" t="s">
        <v>3107</v>
      </c>
      <c r="F178" s="36" t="s">
        <v>459</v>
      </c>
      <c r="G178" s="37" t="s">
        <v>459</v>
      </c>
      <c r="H178" s="40" t="s">
        <v>459</v>
      </c>
      <c r="I178" s="40" t="s">
        <v>1966</v>
      </c>
      <c r="J178" s="57">
        <v>3209904</v>
      </c>
      <c r="K178" s="41">
        <v>0</v>
      </c>
      <c r="L178" s="30">
        <v>0</v>
      </c>
      <c r="M178" s="30">
        <v>0</v>
      </c>
      <c r="N178" s="40"/>
      <c r="O178" s="40"/>
      <c r="P178" s="40"/>
      <c r="Q178" s="44"/>
      <c r="R178" s="37"/>
      <c r="S178" s="37"/>
      <c r="T178" s="48"/>
      <c r="U178" s="30" t="e">
        <v>#DIV/0!</v>
      </c>
      <c r="V178" s="41" t="e">
        <v>#DIV/0!</v>
      </c>
      <c r="W178" s="41">
        <v>0</v>
      </c>
      <c r="X178" s="41">
        <v>0</v>
      </c>
      <c r="Y178" s="41">
        <v>0</v>
      </c>
      <c r="Z178" s="41" t="e">
        <v>#DIV/0!</v>
      </c>
      <c r="AA178" s="41">
        <v>0</v>
      </c>
      <c r="AB178" s="41" t="e">
        <v>#DIV/0!</v>
      </c>
      <c r="AC178" s="41">
        <v>0</v>
      </c>
      <c r="AD178" s="41">
        <v>0</v>
      </c>
      <c r="AE178" s="41" t="e">
        <v>#DIV/0!</v>
      </c>
      <c r="AF178" s="41">
        <v>0</v>
      </c>
      <c r="AG178" s="41" t="e">
        <v>#DIV/0!</v>
      </c>
      <c r="AH178" s="41">
        <v>0</v>
      </c>
      <c r="AI178" s="41">
        <v>0</v>
      </c>
      <c r="AJ178" s="41">
        <v>0</v>
      </c>
      <c r="AK178" s="41">
        <v>0</v>
      </c>
      <c r="AL178" s="41">
        <v>0</v>
      </c>
      <c r="AM178" s="41" t="e">
        <v>#DIV/0!</v>
      </c>
      <c r="AN178" s="41" t="e">
        <v>#DIV/0!</v>
      </c>
      <c r="AO178" s="41" t="e">
        <v>#DIV/0!</v>
      </c>
      <c r="AP178" s="40"/>
      <c r="AQ178" s="36">
        <v>45078</v>
      </c>
      <c r="AR178" s="36"/>
      <c r="AS178" s="36"/>
      <c r="AT178" s="36"/>
      <c r="AU178" s="36"/>
      <c r="AV178" s="38"/>
      <c r="AW178" s="40"/>
    </row>
    <row r="179" spans="1:49" s="34" customFormat="1" ht="49.5" customHeight="1" x14ac:dyDescent="0.3">
      <c r="A179" s="35" t="s">
        <v>3108</v>
      </c>
      <c r="B179" s="38">
        <v>45048</v>
      </c>
      <c r="C179" s="40">
        <v>545</v>
      </c>
      <c r="D179" s="39" t="s">
        <v>3109</v>
      </c>
      <c r="E179" s="1" t="s">
        <v>3110</v>
      </c>
      <c r="F179" s="36">
        <v>45072</v>
      </c>
      <c r="G179" s="37" t="s">
        <v>3111</v>
      </c>
      <c r="H179" s="40" t="s">
        <v>224</v>
      </c>
      <c r="I179" s="40" t="s">
        <v>3112</v>
      </c>
      <c r="J179" s="57">
        <v>41033925</v>
      </c>
      <c r="K179" s="41">
        <v>41033925</v>
      </c>
      <c r="L179" s="30">
        <v>41033925</v>
      </c>
      <c r="M179" s="30">
        <v>41033925</v>
      </c>
      <c r="N179" s="40" t="s">
        <v>936</v>
      </c>
      <c r="O179" s="40" t="s">
        <v>3113</v>
      </c>
      <c r="P179" s="40" t="s">
        <v>348</v>
      </c>
      <c r="Q179" s="44">
        <v>0</v>
      </c>
      <c r="R179" s="37">
        <v>100</v>
      </c>
      <c r="S179" s="37" t="s">
        <v>219</v>
      </c>
      <c r="T179" s="48">
        <v>1</v>
      </c>
      <c r="U179" s="30">
        <v>554512.5</v>
      </c>
      <c r="V179" s="41">
        <v>554512.5</v>
      </c>
      <c r="W179" s="41">
        <v>74</v>
      </c>
      <c r="X179" s="41">
        <v>74</v>
      </c>
      <c r="Y179" s="41">
        <v>0</v>
      </c>
      <c r="Z179" s="41">
        <v>0</v>
      </c>
      <c r="AA179" s="41">
        <v>0</v>
      </c>
      <c r="AB179" s="41">
        <v>0</v>
      </c>
      <c r="AC179" s="41">
        <v>0</v>
      </c>
      <c r="AD179" s="41">
        <v>0</v>
      </c>
      <c r="AE179" s="41">
        <v>0</v>
      </c>
      <c r="AF179" s="41">
        <v>0</v>
      </c>
      <c r="AG179" s="41">
        <v>0</v>
      </c>
      <c r="AH179" s="41">
        <v>0</v>
      </c>
      <c r="AI179" s="41">
        <v>0</v>
      </c>
      <c r="AJ179" s="41">
        <v>0</v>
      </c>
      <c r="AK179" s="41">
        <v>0</v>
      </c>
      <c r="AL179" s="41">
        <v>0</v>
      </c>
      <c r="AM179" s="41">
        <v>0</v>
      </c>
      <c r="AN179" s="41">
        <v>74</v>
      </c>
      <c r="AO179" s="41">
        <v>74</v>
      </c>
      <c r="AP179" s="40"/>
      <c r="AQ179" s="36">
        <v>45092</v>
      </c>
      <c r="AR179" s="36"/>
      <c r="AS179" s="36"/>
      <c r="AT179" s="36">
        <v>45107</v>
      </c>
      <c r="AU179" s="36"/>
      <c r="AV179" s="38"/>
      <c r="AW179" s="40" t="s">
        <v>87</v>
      </c>
    </row>
    <row r="180" spans="1:49" s="34" customFormat="1" ht="49.5" customHeight="1" x14ac:dyDescent="0.3">
      <c r="A180" s="35" t="s">
        <v>3139</v>
      </c>
      <c r="B180" s="38">
        <v>45050</v>
      </c>
      <c r="C180" s="40">
        <v>545</v>
      </c>
      <c r="D180" s="39" t="s">
        <v>3140</v>
      </c>
      <c r="E180" s="1" t="s">
        <v>3141</v>
      </c>
      <c r="F180" s="36">
        <v>45069</v>
      </c>
      <c r="G180" s="37" t="s">
        <v>3142</v>
      </c>
      <c r="H180" s="40" t="s">
        <v>802</v>
      </c>
      <c r="I180" s="40" t="s">
        <v>2786</v>
      </c>
      <c r="J180" s="57">
        <v>21234044.16</v>
      </c>
      <c r="K180" s="41">
        <v>21234044.16</v>
      </c>
      <c r="L180" s="30">
        <v>21234044.16</v>
      </c>
      <c r="M180" s="30">
        <v>21234044.16</v>
      </c>
      <c r="N180" s="40" t="s">
        <v>2582</v>
      </c>
      <c r="O180" s="40" t="s">
        <v>3143</v>
      </c>
      <c r="P180" s="40" t="s">
        <v>1436</v>
      </c>
      <c r="Q180" s="44">
        <v>0</v>
      </c>
      <c r="R180" s="37">
        <v>100</v>
      </c>
      <c r="S180" s="37" t="s">
        <v>1964</v>
      </c>
      <c r="T180" s="48">
        <v>112</v>
      </c>
      <c r="U180" s="30">
        <v>7899.57</v>
      </c>
      <c r="V180" s="41">
        <v>884751.84</v>
      </c>
      <c r="W180" s="41">
        <v>2688</v>
      </c>
      <c r="X180" s="41">
        <v>2688</v>
      </c>
      <c r="Y180" s="41">
        <v>0</v>
      </c>
      <c r="Z180" s="41">
        <v>0</v>
      </c>
      <c r="AA180" s="41">
        <v>0</v>
      </c>
      <c r="AB180" s="41">
        <v>0</v>
      </c>
      <c r="AC180" s="41">
        <v>0</v>
      </c>
      <c r="AD180" s="41">
        <v>0</v>
      </c>
      <c r="AE180" s="41">
        <v>0</v>
      </c>
      <c r="AF180" s="41">
        <v>0</v>
      </c>
      <c r="AG180" s="41">
        <v>0</v>
      </c>
      <c r="AH180" s="41">
        <v>0</v>
      </c>
      <c r="AI180" s="41">
        <v>0</v>
      </c>
      <c r="AJ180" s="41">
        <v>0</v>
      </c>
      <c r="AK180" s="41">
        <v>0</v>
      </c>
      <c r="AL180" s="41">
        <v>0</v>
      </c>
      <c r="AM180" s="41">
        <v>0</v>
      </c>
      <c r="AN180" s="41">
        <v>24</v>
      </c>
      <c r="AO180" s="41">
        <v>24</v>
      </c>
      <c r="AP180" s="40" t="s">
        <v>3144</v>
      </c>
      <c r="AQ180" s="36">
        <v>45138</v>
      </c>
      <c r="AR180" s="36"/>
      <c r="AS180" s="36"/>
      <c r="AT180" s="36">
        <v>45153</v>
      </c>
      <c r="AU180" s="36"/>
      <c r="AV180" s="38"/>
      <c r="AW180" s="40" t="s">
        <v>87</v>
      </c>
    </row>
    <row r="181" spans="1:49" s="34" customFormat="1" ht="49.5" customHeight="1" x14ac:dyDescent="0.3">
      <c r="A181" s="35" t="s">
        <v>3152</v>
      </c>
      <c r="B181" s="38">
        <v>45051</v>
      </c>
      <c r="C181" s="40">
        <v>545</v>
      </c>
      <c r="D181" s="39" t="s">
        <v>3153</v>
      </c>
      <c r="E181" s="1" t="s">
        <v>3147</v>
      </c>
      <c r="F181" s="36">
        <v>45072</v>
      </c>
      <c r="G181" s="37" t="s">
        <v>3154</v>
      </c>
      <c r="H181" s="40" t="s">
        <v>224</v>
      </c>
      <c r="I181" s="40" t="s">
        <v>1660</v>
      </c>
      <c r="J181" s="57">
        <v>14326420.35</v>
      </c>
      <c r="K181" s="41">
        <v>14326420.35</v>
      </c>
      <c r="L181" s="30">
        <v>14326420.35</v>
      </c>
      <c r="M181" s="30">
        <v>14326420.35</v>
      </c>
      <c r="N181" s="40" t="s">
        <v>2392</v>
      </c>
      <c r="O181" s="40" t="s">
        <v>2413</v>
      </c>
      <c r="P181" s="40" t="s">
        <v>2394</v>
      </c>
      <c r="Q181" s="44">
        <v>0</v>
      </c>
      <c r="R181" s="37">
        <v>100</v>
      </c>
      <c r="S181" s="37" t="s">
        <v>1489</v>
      </c>
      <c r="T181" s="48">
        <v>15</v>
      </c>
      <c r="U181" s="30">
        <v>25813.37</v>
      </c>
      <c r="V181" s="41">
        <v>387200.55</v>
      </c>
      <c r="W181" s="41">
        <v>555</v>
      </c>
      <c r="X181" s="41">
        <v>555</v>
      </c>
      <c r="Y181" s="41">
        <v>0</v>
      </c>
      <c r="Z181" s="41">
        <v>0</v>
      </c>
      <c r="AA181" s="41">
        <v>0</v>
      </c>
      <c r="AB181" s="41">
        <v>0</v>
      </c>
      <c r="AC181" s="41">
        <v>0</v>
      </c>
      <c r="AD181" s="41">
        <v>0</v>
      </c>
      <c r="AE181" s="41">
        <v>0</v>
      </c>
      <c r="AF181" s="41">
        <v>0</v>
      </c>
      <c r="AG181" s="41">
        <v>0</v>
      </c>
      <c r="AH181" s="41">
        <v>0</v>
      </c>
      <c r="AI181" s="41">
        <v>0</v>
      </c>
      <c r="AJ181" s="41">
        <v>0</v>
      </c>
      <c r="AK181" s="41">
        <v>0</v>
      </c>
      <c r="AL181" s="41">
        <v>0</v>
      </c>
      <c r="AM181" s="41">
        <v>0</v>
      </c>
      <c r="AN181" s="41">
        <v>37</v>
      </c>
      <c r="AO181" s="41">
        <v>37</v>
      </c>
      <c r="AP181" s="40"/>
      <c r="AQ181" s="36">
        <v>45108</v>
      </c>
      <c r="AR181" s="36"/>
      <c r="AS181" s="36"/>
      <c r="AT181" s="36">
        <v>45122</v>
      </c>
      <c r="AU181" s="36"/>
      <c r="AV181" s="38"/>
      <c r="AW181" s="40" t="s">
        <v>87</v>
      </c>
    </row>
    <row r="182" spans="1:49" s="34" customFormat="1" ht="49.5" customHeight="1" x14ac:dyDescent="0.3">
      <c r="A182" s="35" t="s">
        <v>3155</v>
      </c>
      <c r="B182" s="38">
        <v>45051</v>
      </c>
      <c r="C182" s="40">
        <v>545</v>
      </c>
      <c r="D182" s="39" t="s">
        <v>3156</v>
      </c>
      <c r="E182" s="1" t="s">
        <v>3157</v>
      </c>
      <c r="F182" s="36">
        <v>45072</v>
      </c>
      <c r="G182" s="37" t="s">
        <v>3158</v>
      </c>
      <c r="H182" s="40" t="s">
        <v>224</v>
      </c>
      <c r="I182" s="40" t="s">
        <v>1339</v>
      </c>
      <c r="J182" s="57">
        <v>44022000</v>
      </c>
      <c r="K182" s="41">
        <v>44022000</v>
      </c>
      <c r="L182" s="30">
        <v>44022000</v>
      </c>
      <c r="M182" s="30">
        <v>44022000</v>
      </c>
      <c r="N182" s="40" t="s">
        <v>1300</v>
      </c>
      <c r="O182" s="40" t="s">
        <v>1301</v>
      </c>
      <c r="P182" s="40" t="s">
        <v>1032</v>
      </c>
      <c r="Q182" s="44">
        <v>0</v>
      </c>
      <c r="R182" s="37">
        <v>100</v>
      </c>
      <c r="S182" s="37" t="s">
        <v>1964</v>
      </c>
      <c r="T182" s="48">
        <v>2760</v>
      </c>
      <c r="U182" s="30">
        <v>15950</v>
      </c>
      <c r="V182" s="41">
        <v>44022000</v>
      </c>
      <c r="W182" s="41">
        <v>2760</v>
      </c>
      <c r="X182" s="41">
        <v>2760</v>
      </c>
      <c r="Y182" s="41">
        <v>0</v>
      </c>
      <c r="Z182" s="41">
        <v>0</v>
      </c>
      <c r="AA182" s="41">
        <v>0</v>
      </c>
      <c r="AB182" s="41">
        <v>0</v>
      </c>
      <c r="AC182" s="41">
        <v>0</v>
      </c>
      <c r="AD182" s="41">
        <v>0</v>
      </c>
      <c r="AE182" s="41">
        <v>0</v>
      </c>
      <c r="AF182" s="41">
        <v>0</v>
      </c>
      <c r="AG182" s="41">
        <v>0</v>
      </c>
      <c r="AH182" s="41">
        <v>0</v>
      </c>
      <c r="AI182" s="41">
        <v>0</v>
      </c>
      <c r="AJ182" s="41">
        <v>0</v>
      </c>
      <c r="AK182" s="41">
        <v>0</v>
      </c>
      <c r="AL182" s="41">
        <v>0</v>
      </c>
      <c r="AM182" s="41">
        <v>0</v>
      </c>
      <c r="AN182" s="41">
        <v>1</v>
      </c>
      <c r="AO182" s="41">
        <v>1</v>
      </c>
      <c r="AP182" s="40" t="s">
        <v>3159</v>
      </c>
      <c r="AQ182" s="36">
        <v>45108</v>
      </c>
      <c r="AR182" s="36"/>
      <c r="AS182" s="36"/>
      <c r="AT182" s="36">
        <v>45122</v>
      </c>
      <c r="AU182" s="36"/>
      <c r="AV182" s="38"/>
      <c r="AW182" s="40" t="s">
        <v>87</v>
      </c>
    </row>
    <row r="183" spans="1:49" s="34" customFormat="1" ht="49.5" customHeight="1" x14ac:dyDescent="0.3">
      <c r="A183" s="35" t="s">
        <v>3160</v>
      </c>
      <c r="B183" s="38">
        <v>45051</v>
      </c>
      <c r="C183" s="40">
        <v>545</v>
      </c>
      <c r="D183" s="39" t="s">
        <v>3161</v>
      </c>
      <c r="E183" s="1" t="s">
        <v>3162</v>
      </c>
      <c r="F183" s="36">
        <v>45072</v>
      </c>
      <c r="G183" s="37" t="s">
        <v>3163</v>
      </c>
      <c r="H183" s="40" t="s">
        <v>878</v>
      </c>
      <c r="I183" s="40" t="s">
        <v>1420</v>
      </c>
      <c r="J183" s="57">
        <v>24402464.399999999</v>
      </c>
      <c r="K183" s="41">
        <v>24402464.399999999</v>
      </c>
      <c r="L183" s="30">
        <v>24402464.399999999</v>
      </c>
      <c r="M183" s="30">
        <v>24402464.399999999</v>
      </c>
      <c r="N183" s="40" t="s">
        <v>1421</v>
      </c>
      <c r="O183" s="40" t="s">
        <v>1422</v>
      </c>
      <c r="P183" s="40" t="s">
        <v>218</v>
      </c>
      <c r="Q183" s="44">
        <v>0</v>
      </c>
      <c r="R183" s="37">
        <v>100</v>
      </c>
      <c r="S183" s="37" t="s">
        <v>1964</v>
      </c>
      <c r="T183" s="48">
        <v>60</v>
      </c>
      <c r="U183" s="30">
        <v>3333.6699999999996</v>
      </c>
      <c r="V183" s="41">
        <v>200020.19999999998</v>
      </c>
      <c r="W183" s="41">
        <v>7320</v>
      </c>
      <c r="X183" s="41">
        <v>7320</v>
      </c>
      <c r="Y183" s="41">
        <v>0</v>
      </c>
      <c r="Z183" s="41">
        <v>0</v>
      </c>
      <c r="AA183" s="41">
        <v>0</v>
      </c>
      <c r="AB183" s="41">
        <v>0</v>
      </c>
      <c r="AC183" s="41">
        <v>0</v>
      </c>
      <c r="AD183" s="41">
        <v>0</v>
      </c>
      <c r="AE183" s="41">
        <v>0</v>
      </c>
      <c r="AF183" s="41">
        <v>0</v>
      </c>
      <c r="AG183" s="41">
        <v>0</v>
      </c>
      <c r="AH183" s="41">
        <v>0</v>
      </c>
      <c r="AI183" s="41">
        <v>0</v>
      </c>
      <c r="AJ183" s="41">
        <v>0</v>
      </c>
      <c r="AK183" s="41">
        <v>0</v>
      </c>
      <c r="AL183" s="41">
        <v>0</v>
      </c>
      <c r="AM183" s="41">
        <v>0</v>
      </c>
      <c r="AN183" s="41">
        <v>122</v>
      </c>
      <c r="AO183" s="41">
        <v>122</v>
      </c>
      <c r="AP183" s="40" t="s">
        <v>3164</v>
      </c>
      <c r="AQ183" s="36">
        <v>45092</v>
      </c>
      <c r="AR183" s="36"/>
      <c r="AS183" s="36"/>
      <c r="AT183" s="36">
        <v>45107</v>
      </c>
      <c r="AU183" s="36"/>
      <c r="AV183" s="38"/>
      <c r="AW183" s="40" t="s">
        <v>87</v>
      </c>
    </row>
    <row r="184" spans="1:49" s="34" customFormat="1" ht="49.5" customHeight="1" x14ac:dyDescent="0.3">
      <c r="A184" s="35" t="s">
        <v>3165</v>
      </c>
      <c r="B184" s="38">
        <v>45051</v>
      </c>
      <c r="C184" s="40">
        <v>545</v>
      </c>
      <c r="D184" s="39" t="s">
        <v>459</v>
      </c>
      <c r="E184" s="1" t="s">
        <v>3166</v>
      </c>
      <c r="F184" s="36" t="s">
        <v>459</v>
      </c>
      <c r="G184" s="37" t="s">
        <v>459</v>
      </c>
      <c r="H184" s="40" t="s">
        <v>459</v>
      </c>
      <c r="I184" s="40" t="s">
        <v>3167</v>
      </c>
      <c r="J184" s="57">
        <v>13819192.199999999</v>
      </c>
      <c r="K184" s="41">
        <v>0</v>
      </c>
      <c r="L184" s="30">
        <v>0</v>
      </c>
      <c r="M184" s="30">
        <v>0</v>
      </c>
      <c r="N184" s="40"/>
      <c r="O184" s="40"/>
      <c r="P184" s="40"/>
      <c r="Q184" s="44"/>
      <c r="R184" s="37"/>
      <c r="S184" s="37"/>
      <c r="T184" s="48"/>
      <c r="U184" s="30" t="e">
        <v>#DIV/0!</v>
      </c>
      <c r="V184" s="41" t="e">
        <v>#DIV/0!</v>
      </c>
      <c r="W184" s="41">
        <v>0</v>
      </c>
      <c r="X184" s="41">
        <v>0</v>
      </c>
      <c r="Y184" s="41">
        <v>0</v>
      </c>
      <c r="Z184" s="41" t="e">
        <v>#DIV/0!</v>
      </c>
      <c r="AA184" s="41">
        <v>0</v>
      </c>
      <c r="AB184" s="41" t="e">
        <v>#DIV/0!</v>
      </c>
      <c r="AC184" s="41">
        <v>0</v>
      </c>
      <c r="AD184" s="41">
        <v>0</v>
      </c>
      <c r="AE184" s="41" t="e">
        <v>#DIV/0!</v>
      </c>
      <c r="AF184" s="41">
        <v>0</v>
      </c>
      <c r="AG184" s="41" t="e">
        <v>#DIV/0!</v>
      </c>
      <c r="AH184" s="41">
        <v>0</v>
      </c>
      <c r="AI184" s="41">
        <v>0</v>
      </c>
      <c r="AJ184" s="41">
        <v>0</v>
      </c>
      <c r="AK184" s="41">
        <v>0</v>
      </c>
      <c r="AL184" s="41">
        <v>0</v>
      </c>
      <c r="AM184" s="41" t="e">
        <v>#DIV/0!</v>
      </c>
      <c r="AN184" s="41" t="e">
        <v>#DIV/0!</v>
      </c>
      <c r="AO184" s="41" t="e">
        <v>#DIV/0!</v>
      </c>
      <c r="AP184" s="40"/>
      <c r="AQ184" s="36">
        <v>45122</v>
      </c>
      <c r="AR184" s="36">
        <v>45170</v>
      </c>
      <c r="AS184" s="36"/>
      <c r="AT184" s="36"/>
      <c r="AU184" s="36"/>
      <c r="AV184" s="38"/>
      <c r="AW184" s="40"/>
    </row>
    <row r="185" spans="1:49" s="34" customFormat="1" ht="49.5" customHeight="1" x14ac:dyDescent="0.3">
      <c r="A185" s="35" t="s">
        <v>3168</v>
      </c>
      <c r="B185" s="38">
        <v>45057</v>
      </c>
      <c r="C185" s="40">
        <v>545</v>
      </c>
      <c r="D185" s="39" t="s">
        <v>3169</v>
      </c>
      <c r="E185" s="1" t="s">
        <v>3170</v>
      </c>
      <c r="F185" s="36">
        <v>45076</v>
      </c>
      <c r="G185" s="37" t="s">
        <v>3171</v>
      </c>
      <c r="H185" s="40" t="s">
        <v>878</v>
      </c>
      <c r="I185" s="40" t="s">
        <v>3172</v>
      </c>
      <c r="J185" s="57">
        <v>6352491.5999999996</v>
      </c>
      <c r="K185" s="41">
        <v>6352491.5999999996</v>
      </c>
      <c r="L185" s="30">
        <v>6352491.5999999996</v>
      </c>
      <c r="M185" s="30">
        <v>6352491.5999999996</v>
      </c>
      <c r="N185" s="40" t="s">
        <v>3173</v>
      </c>
      <c r="O185" s="40" t="s">
        <v>3174</v>
      </c>
      <c r="P185" s="40" t="s">
        <v>1032</v>
      </c>
      <c r="Q185" s="44">
        <v>0</v>
      </c>
      <c r="R185" s="37">
        <v>100</v>
      </c>
      <c r="S185" s="37" t="s">
        <v>1964</v>
      </c>
      <c r="T185" s="48">
        <v>90</v>
      </c>
      <c r="U185" s="30">
        <v>5041.66</v>
      </c>
      <c r="V185" s="41">
        <v>453749.39999999997</v>
      </c>
      <c r="W185" s="41">
        <v>1260</v>
      </c>
      <c r="X185" s="41">
        <v>1260</v>
      </c>
      <c r="Y185" s="41">
        <v>0</v>
      </c>
      <c r="Z185" s="41">
        <v>0</v>
      </c>
      <c r="AA185" s="41">
        <v>0</v>
      </c>
      <c r="AB185" s="41">
        <v>0</v>
      </c>
      <c r="AC185" s="41">
        <v>0</v>
      </c>
      <c r="AD185" s="41">
        <v>0</v>
      </c>
      <c r="AE185" s="41">
        <v>0</v>
      </c>
      <c r="AF185" s="41">
        <v>0</v>
      </c>
      <c r="AG185" s="41">
        <v>0</v>
      </c>
      <c r="AH185" s="41">
        <v>0</v>
      </c>
      <c r="AI185" s="41">
        <v>0</v>
      </c>
      <c r="AJ185" s="41">
        <v>0</v>
      </c>
      <c r="AK185" s="41">
        <v>0</v>
      </c>
      <c r="AL185" s="41">
        <v>0</v>
      </c>
      <c r="AM185" s="41">
        <v>0</v>
      </c>
      <c r="AN185" s="41">
        <v>14</v>
      </c>
      <c r="AO185" s="41">
        <v>14</v>
      </c>
      <c r="AP185" s="40" t="s">
        <v>3175</v>
      </c>
      <c r="AQ185" s="36">
        <v>45097</v>
      </c>
      <c r="AR185" s="36"/>
      <c r="AS185" s="36"/>
      <c r="AT185" s="36"/>
      <c r="AU185" s="36"/>
      <c r="AV185" s="38"/>
      <c r="AW185" s="40" t="s">
        <v>87</v>
      </c>
    </row>
    <row r="186" spans="1:49" s="34" customFormat="1" ht="49.5" customHeight="1" x14ac:dyDescent="0.3">
      <c r="A186" s="35" t="s">
        <v>3176</v>
      </c>
      <c r="B186" s="38">
        <v>45061</v>
      </c>
      <c r="C186" s="40">
        <v>545</v>
      </c>
      <c r="D186" s="39" t="s">
        <v>3177</v>
      </c>
      <c r="E186" s="1" t="s">
        <v>3178</v>
      </c>
      <c r="F186" s="36">
        <v>45082</v>
      </c>
      <c r="G186" s="37" t="s">
        <v>3179</v>
      </c>
      <c r="H186" s="40" t="s">
        <v>186</v>
      </c>
      <c r="I186" s="40" t="s">
        <v>1747</v>
      </c>
      <c r="J186" s="57">
        <v>169305446.69999999</v>
      </c>
      <c r="K186" s="41">
        <v>169305446.69999999</v>
      </c>
      <c r="L186" s="30">
        <v>217058265</v>
      </c>
      <c r="M186" s="30">
        <v>217058265</v>
      </c>
      <c r="N186" s="40" t="s">
        <v>1748</v>
      </c>
      <c r="O186" s="40" t="s">
        <v>1749</v>
      </c>
      <c r="P186" s="40" t="s">
        <v>190</v>
      </c>
      <c r="Q186" s="44">
        <v>0</v>
      </c>
      <c r="R186" s="37">
        <v>100</v>
      </c>
      <c r="S186" s="37" t="s">
        <v>219</v>
      </c>
      <c r="T186" s="48">
        <v>5</v>
      </c>
      <c r="U186" s="30">
        <v>868233.06</v>
      </c>
      <c r="V186" s="41">
        <v>4341165.3000000007</v>
      </c>
      <c r="W186" s="41">
        <v>250</v>
      </c>
      <c r="X186" s="41">
        <v>250</v>
      </c>
      <c r="Y186" s="41">
        <v>0</v>
      </c>
      <c r="Z186" s="41">
        <v>0</v>
      </c>
      <c r="AA186" s="41">
        <v>0</v>
      </c>
      <c r="AB186" s="41">
        <v>0</v>
      </c>
      <c r="AC186" s="41">
        <v>0</v>
      </c>
      <c r="AD186" s="41">
        <v>0</v>
      </c>
      <c r="AE186" s="41">
        <v>0</v>
      </c>
      <c r="AF186" s="41">
        <v>0</v>
      </c>
      <c r="AG186" s="41">
        <v>0</v>
      </c>
      <c r="AH186" s="41">
        <v>0</v>
      </c>
      <c r="AI186" s="41">
        <v>0</v>
      </c>
      <c r="AJ186" s="41">
        <v>0</v>
      </c>
      <c r="AK186" s="41">
        <v>0</v>
      </c>
      <c r="AL186" s="41">
        <v>0</v>
      </c>
      <c r="AM186" s="41">
        <v>0</v>
      </c>
      <c r="AN186" s="41">
        <v>50</v>
      </c>
      <c r="AO186" s="41">
        <v>50</v>
      </c>
      <c r="AP186" s="40" t="s">
        <v>1353</v>
      </c>
      <c r="AQ186" s="36">
        <v>45112</v>
      </c>
      <c r="AR186" s="36"/>
      <c r="AS186" s="36"/>
      <c r="AT186" s="36">
        <v>45127</v>
      </c>
      <c r="AU186" s="36"/>
      <c r="AV186" s="38"/>
      <c r="AW186" s="40" t="s">
        <v>49</v>
      </c>
    </row>
    <row r="187" spans="1:49" s="34" customFormat="1" ht="64.5" customHeight="1" x14ac:dyDescent="0.3">
      <c r="A187" s="35" t="s">
        <v>3236</v>
      </c>
      <c r="B187" s="38">
        <v>45063</v>
      </c>
      <c r="C187" s="40">
        <v>545</v>
      </c>
      <c r="D187" s="39" t="s">
        <v>3237</v>
      </c>
      <c r="E187" s="1" t="s">
        <v>3238</v>
      </c>
      <c r="F187" s="36">
        <v>45083</v>
      </c>
      <c r="G187" s="37" t="s">
        <v>3239</v>
      </c>
      <c r="H187" s="40" t="s">
        <v>878</v>
      </c>
      <c r="I187" s="40" t="s">
        <v>1427</v>
      </c>
      <c r="J187" s="57">
        <v>2600262.6</v>
      </c>
      <c r="K187" s="57">
        <v>2600262.6</v>
      </c>
      <c r="L187" s="30">
        <v>2600262.6</v>
      </c>
      <c r="M187" s="30">
        <v>2600262.6</v>
      </c>
      <c r="N187" s="40" t="s">
        <v>1421</v>
      </c>
      <c r="O187" s="40" t="s">
        <v>1428</v>
      </c>
      <c r="P187" s="40" t="s">
        <v>218</v>
      </c>
      <c r="Q187" s="44">
        <v>0</v>
      </c>
      <c r="R187" s="37">
        <v>100</v>
      </c>
      <c r="S187" s="37" t="s">
        <v>1964</v>
      </c>
      <c r="T187" s="48">
        <v>60</v>
      </c>
      <c r="U187" s="30">
        <v>3333.67</v>
      </c>
      <c r="V187" s="41">
        <v>200020.2</v>
      </c>
      <c r="W187" s="41">
        <v>780</v>
      </c>
      <c r="X187" s="41">
        <v>780</v>
      </c>
      <c r="Y187" s="41">
        <v>0</v>
      </c>
      <c r="Z187" s="41">
        <v>0</v>
      </c>
      <c r="AA187" s="41">
        <v>0</v>
      </c>
      <c r="AB187" s="41">
        <v>0</v>
      </c>
      <c r="AC187" s="41">
        <v>0</v>
      </c>
      <c r="AD187" s="41">
        <v>0</v>
      </c>
      <c r="AE187" s="41">
        <v>0</v>
      </c>
      <c r="AF187" s="41">
        <v>0</v>
      </c>
      <c r="AG187" s="41">
        <v>0</v>
      </c>
      <c r="AH187" s="41">
        <v>0</v>
      </c>
      <c r="AI187" s="41">
        <v>0</v>
      </c>
      <c r="AJ187" s="41">
        <v>0</v>
      </c>
      <c r="AK187" s="41">
        <v>0</v>
      </c>
      <c r="AL187" s="41">
        <v>0</v>
      </c>
      <c r="AM187" s="41">
        <v>0</v>
      </c>
      <c r="AN187" s="41">
        <v>13</v>
      </c>
      <c r="AO187" s="41">
        <v>13</v>
      </c>
      <c r="AP187" s="40"/>
      <c r="AQ187" s="36">
        <v>45107</v>
      </c>
      <c r="AR187" s="36"/>
      <c r="AS187" s="36"/>
      <c r="AT187" s="36">
        <v>45122</v>
      </c>
      <c r="AU187" s="36"/>
      <c r="AV187" s="38"/>
      <c r="AW187" s="40" t="s">
        <v>87</v>
      </c>
    </row>
    <row r="188" spans="1:49" s="34" customFormat="1" ht="64.5" customHeight="1" x14ac:dyDescent="0.3">
      <c r="A188" s="35" t="s">
        <v>3240</v>
      </c>
      <c r="B188" s="38">
        <v>45063</v>
      </c>
      <c r="C188" s="40">
        <v>545</v>
      </c>
      <c r="D188" s="39" t="s">
        <v>3241</v>
      </c>
      <c r="E188" s="1" t="s">
        <v>3242</v>
      </c>
      <c r="F188" s="36">
        <v>45083</v>
      </c>
      <c r="G188" s="37" t="s">
        <v>3243</v>
      </c>
      <c r="H188" s="40" t="s">
        <v>224</v>
      </c>
      <c r="I188" s="40" t="s">
        <v>1906</v>
      </c>
      <c r="J188" s="57">
        <v>55756879.200000003</v>
      </c>
      <c r="K188" s="41">
        <v>55756879.200000003</v>
      </c>
      <c r="L188" s="30">
        <v>55756879.200000003</v>
      </c>
      <c r="M188" s="30">
        <v>55756879.200000003</v>
      </c>
      <c r="N188" s="40" t="s">
        <v>2392</v>
      </c>
      <c r="O188" s="40" t="s">
        <v>2440</v>
      </c>
      <c r="P188" s="40" t="s">
        <v>2394</v>
      </c>
      <c r="Q188" s="44">
        <v>0</v>
      </c>
      <c r="R188" s="37">
        <v>100</v>
      </c>
      <c r="S188" s="37" t="s">
        <v>1489</v>
      </c>
      <c r="T188" s="48">
        <v>120</v>
      </c>
      <c r="U188" s="30">
        <v>25813.370000000003</v>
      </c>
      <c r="V188" s="41">
        <v>3097604.4000000004</v>
      </c>
      <c r="W188" s="41">
        <v>2160</v>
      </c>
      <c r="X188" s="41">
        <v>2160</v>
      </c>
      <c r="Y188" s="41">
        <v>0</v>
      </c>
      <c r="Z188" s="41">
        <v>0</v>
      </c>
      <c r="AA188" s="41">
        <v>0</v>
      </c>
      <c r="AB188" s="41">
        <v>0</v>
      </c>
      <c r="AC188" s="41">
        <v>0</v>
      </c>
      <c r="AD188" s="41">
        <v>0</v>
      </c>
      <c r="AE188" s="41">
        <v>0</v>
      </c>
      <c r="AF188" s="41">
        <v>0</v>
      </c>
      <c r="AG188" s="41">
        <v>0</v>
      </c>
      <c r="AH188" s="41">
        <v>0</v>
      </c>
      <c r="AI188" s="41">
        <v>0</v>
      </c>
      <c r="AJ188" s="41">
        <v>0</v>
      </c>
      <c r="AK188" s="41">
        <v>0</v>
      </c>
      <c r="AL188" s="41">
        <v>0</v>
      </c>
      <c r="AM188" s="41">
        <v>0</v>
      </c>
      <c r="AN188" s="41">
        <v>18</v>
      </c>
      <c r="AO188" s="41">
        <v>18</v>
      </c>
      <c r="AP188" s="40"/>
      <c r="AQ188" s="36">
        <v>45108</v>
      </c>
      <c r="AR188" s="36"/>
      <c r="AS188" s="36"/>
      <c r="AT188" s="36">
        <v>45122</v>
      </c>
      <c r="AU188" s="36"/>
      <c r="AV188" s="38"/>
      <c r="AW188" s="40" t="s">
        <v>87</v>
      </c>
    </row>
    <row r="189" spans="1:49" ht="62.25" customHeight="1" x14ac:dyDescent="0.3">
      <c r="A189" s="35" t="s">
        <v>3281</v>
      </c>
      <c r="B189" s="38">
        <v>45068</v>
      </c>
      <c r="C189" s="40">
        <v>545</v>
      </c>
      <c r="D189" s="39" t="s">
        <v>3282</v>
      </c>
      <c r="E189" s="1" t="s">
        <v>3283</v>
      </c>
      <c r="F189" s="36">
        <v>45090</v>
      </c>
      <c r="G189" s="37" t="s">
        <v>3284</v>
      </c>
      <c r="H189" s="40" t="s">
        <v>878</v>
      </c>
      <c r="I189" s="40" t="s">
        <v>2554</v>
      </c>
      <c r="J189" s="57">
        <v>3691987.2</v>
      </c>
      <c r="K189" s="41">
        <v>3691987.2</v>
      </c>
      <c r="L189" s="30">
        <v>3691987.2</v>
      </c>
      <c r="M189" s="30">
        <v>3691987.2</v>
      </c>
      <c r="N189" s="40" t="s">
        <v>3285</v>
      </c>
      <c r="O189" s="40" t="s">
        <v>3286</v>
      </c>
      <c r="P189" s="40" t="s">
        <v>218</v>
      </c>
      <c r="Q189" s="44">
        <v>0</v>
      </c>
      <c r="R189" s="37">
        <v>100</v>
      </c>
      <c r="S189" s="37" t="s">
        <v>1964</v>
      </c>
      <c r="T189" s="48">
        <v>60</v>
      </c>
      <c r="U189" s="30">
        <v>3845.82</v>
      </c>
      <c r="V189" s="41">
        <v>230749.2</v>
      </c>
      <c r="W189" s="41">
        <v>960</v>
      </c>
      <c r="X189" s="41">
        <v>960</v>
      </c>
      <c r="Y189" s="41">
        <v>0</v>
      </c>
      <c r="Z189" s="41">
        <v>0</v>
      </c>
      <c r="AA189" s="41">
        <v>0</v>
      </c>
      <c r="AB189" s="41">
        <v>0</v>
      </c>
      <c r="AC189" s="41">
        <v>0</v>
      </c>
      <c r="AD189" s="41">
        <v>0</v>
      </c>
      <c r="AE189" s="41">
        <v>0</v>
      </c>
      <c r="AF189" s="41">
        <v>0</v>
      </c>
      <c r="AG189" s="41">
        <v>0</v>
      </c>
      <c r="AH189" s="41">
        <v>0</v>
      </c>
      <c r="AI189" s="41">
        <v>0</v>
      </c>
      <c r="AJ189" s="41">
        <v>0</v>
      </c>
      <c r="AK189" s="41">
        <v>0</v>
      </c>
      <c r="AL189" s="41">
        <v>0</v>
      </c>
      <c r="AM189" s="41">
        <v>0</v>
      </c>
      <c r="AN189" s="41">
        <v>16</v>
      </c>
      <c r="AO189" s="41">
        <v>16</v>
      </c>
      <c r="AP189" s="40"/>
      <c r="AQ189" s="36">
        <v>45108</v>
      </c>
      <c r="AR189" s="36"/>
      <c r="AS189" s="36"/>
      <c r="AT189" s="36">
        <v>45122</v>
      </c>
      <c r="AU189" s="36"/>
      <c r="AV189" s="38"/>
      <c r="AW189" s="40" t="s">
        <v>87</v>
      </c>
    </row>
    <row r="190" spans="1:49" ht="62.25" customHeight="1" x14ac:dyDescent="0.3">
      <c r="A190" s="35" t="s">
        <v>3328</v>
      </c>
      <c r="B190" s="38">
        <v>45077</v>
      </c>
      <c r="C190" s="40">
        <v>545</v>
      </c>
      <c r="D190" s="39" t="s">
        <v>459</v>
      </c>
      <c r="E190" s="1" t="s">
        <v>3329</v>
      </c>
      <c r="F190" s="36" t="s">
        <v>459</v>
      </c>
      <c r="G190" s="37" t="s">
        <v>459</v>
      </c>
      <c r="H190" s="40" t="s">
        <v>459</v>
      </c>
      <c r="I190" s="40" t="s">
        <v>3167</v>
      </c>
      <c r="J190" s="57">
        <v>47352263.399999999</v>
      </c>
      <c r="K190" s="41">
        <v>0</v>
      </c>
      <c r="L190" s="30">
        <v>0</v>
      </c>
      <c r="M190" s="30">
        <v>0</v>
      </c>
      <c r="N190" s="40"/>
      <c r="O190" s="40"/>
      <c r="P190" s="40"/>
      <c r="Q190" s="44"/>
      <c r="R190" s="37"/>
      <c r="S190" s="37"/>
      <c r="T190" s="48"/>
      <c r="U190" s="30" t="e">
        <v>#DIV/0!</v>
      </c>
      <c r="V190" s="41" t="e">
        <v>#DIV/0!</v>
      </c>
      <c r="W190" s="41">
        <v>0</v>
      </c>
      <c r="X190" s="41">
        <v>0</v>
      </c>
      <c r="Y190" s="41">
        <v>0</v>
      </c>
      <c r="Z190" s="41" t="e">
        <v>#DIV/0!</v>
      </c>
      <c r="AA190" s="41">
        <v>0</v>
      </c>
      <c r="AB190" s="41" t="e">
        <v>#DIV/0!</v>
      </c>
      <c r="AC190" s="41">
        <v>0</v>
      </c>
      <c r="AD190" s="41">
        <v>0</v>
      </c>
      <c r="AE190" s="41" t="e">
        <v>#DIV/0!</v>
      </c>
      <c r="AF190" s="41">
        <v>0</v>
      </c>
      <c r="AG190" s="41" t="e">
        <v>#DIV/0!</v>
      </c>
      <c r="AH190" s="41">
        <v>0</v>
      </c>
      <c r="AI190" s="41">
        <v>0</v>
      </c>
      <c r="AJ190" s="41">
        <v>0</v>
      </c>
      <c r="AK190" s="41">
        <v>0</v>
      </c>
      <c r="AL190" s="41">
        <v>0</v>
      </c>
      <c r="AM190" s="41" t="e">
        <v>#DIV/0!</v>
      </c>
      <c r="AN190" s="41" t="e">
        <v>#DIV/0!</v>
      </c>
      <c r="AO190" s="41" t="e">
        <v>#DIV/0!</v>
      </c>
      <c r="AP190" s="40"/>
      <c r="AQ190" s="36">
        <v>44958</v>
      </c>
      <c r="AR190" s="36">
        <v>45017</v>
      </c>
      <c r="AS190" s="36"/>
      <c r="AT190" s="36"/>
      <c r="AU190" s="36"/>
      <c r="AV190" s="38"/>
      <c r="AW190" s="40"/>
    </row>
    <row r="191" spans="1:49" ht="37.200000000000003" customHeight="1" x14ac:dyDescent="0.3">
      <c r="A191" s="35" t="s">
        <v>3344</v>
      </c>
      <c r="B191" s="38">
        <v>45079</v>
      </c>
      <c r="C191" s="40">
        <v>545</v>
      </c>
      <c r="D191" s="39" t="s">
        <v>3345</v>
      </c>
      <c r="E191" s="1" t="s">
        <v>3346</v>
      </c>
      <c r="F191" s="36">
        <v>45103</v>
      </c>
      <c r="G191" s="37" t="s">
        <v>3347</v>
      </c>
      <c r="H191" s="40" t="s">
        <v>224</v>
      </c>
      <c r="I191" s="40" t="s">
        <v>1339</v>
      </c>
      <c r="J191" s="57">
        <v>21054000</v>
      </c>
      <c r="K191" s="41">
        <v>21054000</v>
      </c>
      <c r="L191" s="30">
        <v>26796000</v>
      </c>
      <c r="M191" s="30">
        <v>26796000</v>
      </c>
      <c r="N191" s="40" t="s">
        <v>1300</v>
      </c>
      <c r="O191" s="40" t="s">
        <v>3348</v>
      </c>
      <c r="P191" s="40" t="s">
        <v>1032</v>
      </c>
      <c r="Q191" s="44">
        <v>0</v>
      </c>
      <c r="R191" s="37">
        <v>100</v>
      </c>
      <c r="S191" s="37" t="s">
        <v>1964</v>
      </c>
      <c r="T191" s="48">
        <v>60</v>
      </c>
      <c r="U191" s="30">
        <v>15950</v>
      </c>
      <c r="V191" s="41">
        <v>957000</v>
      </c>
      <c r="W191" s="41">
        <v>1680</v>
      </c>
      <c r="X191" s="41">
        <v>1680</v>
      </c>
      <c r="Y191" s="41">
        <v>0</v>
      </c>
      <c r="Z191" s="41">
        <v>0</v>
      </c>
      <c r="AA191" s="41">
        <v>0</v>
      </c>
      <c r="AB191" s="41">
        <v>0</v>
      </c>
      <c r="AC191" s="41">
        <v>0</v>
      </c>
      <c r="AD191" s="41">
        <v>0</v>
      </c>
      <c r="AE191" s="41">
        <v>0</v>
      </c>
      <c r="AF191" s="41">
        <v>0</v>
      </c>
      <c r="AG191" s="41">
        <v>0</v>
      </c>
      <c r="AH191" s="41">
        <v>0</v>
      </c>
      <c r="AI191" s="41">
        <v>0</v>
      </c>
      <c r="AJ191" s="41">
        <v>0</v>
      </c>
      <c r="AK191" s="41">
        <v>0</v>
      </c>
      <c r="AL191" s="41">
        <v>0</v>
      </c>
      <c r="AM191" s="41">
        <v>0</v>
      </c>
      <c r="AN191" s="41">
        <v>28</v>
      </c>
      <c r="AO191" s="41">
        <v>28</v>
      </c>
      <c r="AP191" s="40"/>
      <c r="AQ191" s="36">
        <v>45122</v>
      </c>
      <c r="AR191" s="36"/>
      <c r="AS191" s="36"/>
      <c r="AT191" s="36">
        <v>45137</v>
      </c>
      <c r="AU191" s="36"/>
      <c r="AV191" s="38"/>
      <c r="AW191" s="40" t="s">
        <v>87</v>
      </c>
    </row>
    <row r="192" spans="1:49" s="34" customFormat="1" ht="45" customHeight="1" x14ac:dyDescent="0.3">
      <c r="A192" s="35" t="s">
        <v>3451</v>
      </c>
      <c r="B192" s="38">
        <v>45086</v>
      </c>
      <c r="C192" s="40">
        <v>545</v>
      </c>
      <c r="D192" s="39" t="s">
        <v>3452</v>
      </c>
      <c r="E192" s="1" t="s">
        <v>3453</v>
      </c>
      <c r="F192" s="36">
        <v>45110</v>
      </c>
      <c r="G192" s="37" t="s">
        <v>3454</v>
      </c>
      <c r="H192" s="40" t="s">
        <v>1392</v>
      </c>
      <c r="I192" s="40" t="s">
        <v>3455</v>
      </c>
      <c r="J192" s="57">
        <v>38567320</v>
      </c>
      <c r="K192" s="41">
        <v>38567320</v>
      </c>
      <c r="L192" s="30">
        <v>38567320</v>
      </c>
      <c r="M192" s="30">
        <v>38567320</v>
      </c>
      <c r="N192" s="40" t="s">
        <v>3021</v>
      </c>
      <c r="O192" s="40" t="s">
        <v>3022</v>
      </c>
      <c r="P192" s="40" t="s">
        <v>218</v>
      </c>
      <c r="Q192" s="44">
        <v>0</v>
      </c>
      <c r="R192" s="37">
        <v>100</v>
      </c>
      <c r="S192" s="37" t="s">
        <v>219</v>
      </c>
      <c r="T192" s="48">
        <v>2</v>
      </c>
      <c r="U192" s="30">
        <v>521180</v>
      </c>
      <c r="V192" s="41">
        <v>1042360</v>
      </c>
      <c r="W192" s="41">
        <v>74</v>
      </c>
      <c r="X192" s="41">
        <v>74</v>
      </c>
      <c r="Y192" s="41">
        <v>0</v>
      </c>
      <c r="Z192" s="41">
        <v>0</v>
      </c>
      <c r="AA192" s="41">
        <v>0</v>
      </c>
      <c r="AB192" s="41">
        <v>0</v>
      </c>
      <c r="AC192" s="41">
        <v>0</v>
      </c>
      <c r="AD192" s="41">
        <v>0</v>
      </c>
      <c r="AE192" s="41">
        <v>0</v>
      </c>
      <c r="AF192" s="41">
        <v>0</v>
      </c>
      <c r="AG192" s="41">
        <v>0</v>
      </c>
      <c r="AH192" s="41">
        <v>0</v>
      </c>
      <c r="AI192" s="41">
        <v>0</v>
      </c>
      <c r="AJ192" s="41">
        <v>0</v>
      </c>
      <c r="AK192" s="41">
        <v>0</v>
      </c>
      <c r="AL192" s="41">
        <v>0</v>
      </c>
      <c r="AM192" s="41">
        <v>0</v>
      </c>
      <c r="AN192" s="41">
        <v>37</v>
      </c>
      <c r="AO192" s="41">
        <v>37</v>
      </c>
      <c r="AP192" s="40" t="s">
        <v>3456</v>
      </c>
      <c r="AQ192" s="36">
        <v>45122</v>
      </c>
      <c r="AR192" s="36"/>
      <c r="AS192" s="36"/>
      <c r="AT192" s="36">
        <v>45137</v>
      </c>
      <c r="AU192" s="36"/>
      <c r="AV192" s="38"/>
      <c r="AW192" s="40" t="s">
        <v>87</v>
      </c>
    </row>
    <row r="193" spans="1:49" s="34" customFormat="1" ht="45" customHeight="1" x14ac:dyDescent="0.3">
      <c r="A193" s="35" t="s">
        <v>3457</v>
      </c>
      <c r="B193" s="38">
        <v>45086</v>
      </c>
      <c r="C193" s="40">
        <v>545</v>
      </c>
      <c r="D193" s="39" t="s">
        <v>3458</v>
      </c>
      <c r="E193" s="1" t="s">
        <v>3459</v>
      </c>
      <c r="F193" s="36">
        <v>45110</v>
      </c>
      <c r="G193" s="37" t="s">
        <v>3460</v>
      </c>
      <c r="H193" s="40" t="s">
        <v>878</v>
      </c>
      <c r="I193" s="40" t="s">
        <v>1486</v>
      </c>
      <c r="J193" s="57">
        <v>81938356.5</v>
      </c>
      <c r="K193" s="41">
        <v>81938356.5</v>
      </c>
      <c r="L193" s="30">
        <v>81938356.5</v>
      </c>
      <c r="M193" s="30">
        <v>81938356.5</v>
      </c>
      <c r="N193" s="40" t="s">
        <v>1487</v>
      </c>
      <c r="O193" s="40" t="s">
        <v>1488</v>
      </c>
      <c r="P193" s="40" t="s">
        <v>348</v>
      </c>
      <c r="Q193" s="44">
        <v>0</v>
      </c>
      <c r="R193" s="37">
        <v>100</v>
      </c>
      <c r="S193" s="37" t="s">
        <v>1489</v>
      </c>
      <c r="T193" s="48">
        <v>2</v>
      </c>
      <c r="U193" s="30">
        <v>333082.75</v>
      </c>
      <c r="V193" s="41">
        <v>666165.5</v>
      </c>
      <c r="W193" s="41">
        <v>246</v>
      </c>
      <c r="X193" s="41">
        <v>246</v>
      </c>
      <c r="Y193" s="41">
        <v>0</v>
      </c>
      <c r="Z193" s="41">
        <v>0</v>
      </c>
      <c r="AA193" s="41">
        <v>0</v>
      </c>
      <c r="AB193" s="41">
        <v>0</v>
      </c>
      <c r="AC193" s="41">
        <v>0</v>
      </c>
      <c r="AD193" s="41">
        <v>0</v>
      </c>
      <c r="AE193" s="41">
        <v>0</v>
      </c>
      <c r="AF193" s="41">
        <v>0</v>
      </c>
      <c r="AG193" s="41">
        <v>0</v>
      </c>
      <c r="AH193" s="41">
        <v>0</v>
      </c>
      <c r="AI193" s="41">
        <v>0</v>
      </c>
      <c r="AJ193" s="41">
        <v>0</v>
      </c>
      <c r="AK193" s="41">
        <v>0</v>
      </c>
      <c r="AL193" s="41">
        <v>0</v>
      </c>
      <c r="AM193" s="41">
        <v>0</v>
      </c>
      <c r="AN193" s="41">
        <v>123</v>
      </c>
      <c r="AO193" s="41">
        <v>123</v>
      </c>
      <c r="AP193" s="40" t="s">
        <v>1353</v>
      </c>
      <c r="AQ193" s="36">
        <v>45122</v>
      </c>
      <c r="AR193" s="36"/>
      <c r="AS193" s="36"/>
      <c r="AT193" s="36">
        <v>45137</v>
      </c>
      <c r="AU193" s="36"/>
      <c r="AV193" s="38"/>
      <c r="AW193" s="40" t="s">
        <v>49</v>
      </c>
    </row>
    <row r="194" spans="1:49" s="34" customFormat="1" ht="45" customHeight="1" x14ac:dyDescent="0.3">
      <c r="A194" s="35" t="s">
        <v>3461</v>
      </c>
      <c r="B194" s="38">
        <v>45090</v>
      </c>
      <c r="C194" s="40">
        <v>545</v>
      </c>
      <c r="D194" s="39" t="s">
        <v>3462</v>
      </c>
      <c r="E194" s="1" t="s">
        <v>3463</v>
      </c>
      <c r="F194" s="36">
        <v>45110</v>
      </c>
      <c r="G194" s="37" t="s">
        <v>3464</v>
      </c>
      <c r="H194" s="40" t="s">
        <v>186</v>
      </c>
      <c r="I194" s="40" t="s">
        <v>3357</v>
      </c>
      <c r="J194" s="57">
        <v>49847083.439999998</v>
      </c>
      <c r="K194" s="41">
        <v>49847083.439999998</v>
      </c>
      <c r="L194" s="30">
        <v>52823028.719999999</v>
      </c>
      <c r="M194" s="30">
        <v>52823028.719999999</v>
      </c>
      <c r="N194" s="40" t="s">
        <v>3465</v>
      </c>
      <c r="O194" s="40" t="s">
        <v>3466</v>
      </c>
      <c r="P194" s="40" t="s">
        <v>199</v>
      </c>
      <c r="Q194" s="44">
        <v>0</v>
      </c>
      <c r="R194" s="37">
        <v>100</v>
      </c>
      <c r="S194" s="37" t="s">
        <v>1964</v>
      </c>
      <c r="T194" s="48">
        <v>28</v>
      </c>
      <c r="U194" s="30">
        <v>4428.49</v>
      </c>
      <c r="V194" s="41">
        <v>123997.72</v>
      </c>
      <c r="W194" s="41">
        <v>11928</v>
      </c>
      <c r="X194" s="41">
        <v>11928</v>
      </c>
      <c r="Y194" s="41">
        <v>0</v>
      </c>
      <c r="Z194" s="41">
        <v>0</v>
      </c>
      <c r="AA194" s="41">
        <v>0</v>
      </c>
      <c r="AB194" s="41">
        <v>0</v>
      </c>
      <c r="AC194" s="41">
        <v>0</v>
      </c>
      <c r="AD194" s="41">
        <v>0</v>
      </c>
      <c r="AE194" s="41">
        <v>0</v>
      </c>
      <c r="AF194" s="41">
        <v>0</v>
      </c>
      <c r="AG194" s="41">
        <v>0</v>
      </c>
      <c r="AH194" s="41">
        <v>0</v>
      </c>
      <c r="AI194" s="41">
        <v>0</v>
      </c>
      <c r="AJ194" s="41">
        <v>0</v>
      </c>
      <c r="AK194" s="41">
        <v>0</v>
      </c>
      <c r="AL194" s="41">
        <v>0</v>
      </c>
      <c r="AM194" s="41">
        <v>0</v>
      </c>
      <c r="AN194" s="41">
        <v>426</v>
      </c>
      <c r="AO194" s="41">
        <v>426</v>
      </c>
      <c r="AP194" s="40" t="s">
        <v>1353</v>
      </c>
      <c r="AQ194" s="36">
        <v>45139</v>
      </c>
      <c r="AR194" s="36"/>
      <c r="AS194" s="36"/>
      <c r="AT194" s="36">
        <v>45153</v>
      </c>
      <c r="AU194" s="36"/>
      <c r="AV194" s="38"/>
      <c r="AW194" s="40" t="s">
        <v>49</v>
      </c>
    </row>
    <row r="195" spans="1:49" s="34" customFormat="1" ht="45" customHeight="1" x14ac:dyDescent="0.3">
      <c r="A195" s="35" t="s">
        <v>3467</v>
      </c>
      <c r="B195" s="38">
        <v>45090</v>
      </c>
      <c r="C195" s="40">
        <v>545</v>
      </c>
      <c r="D195" s="39" t="s">
        <v>3468</v>
      </c>
      <c r="E195" s="1" t="s">
        <v>3469</v>
      </c>
      <c r="F195" s="36">
        <v>45110</v>
      </c>
      <c r="G195" s="37" t="s">
        <v>3470</v>
      </c>
      <c r="H195" s="40" t="s">
        <v>878</v>
      </c>
      <c r="I195" s="40" t="s">
        <v>1542</v>
      </c>
      <c r="J195" s="57">
        <v>2445828</v>
      </c>
      <c r="K195" s="41">
        <v>2445828</v>
      </c>
      <c r="L195" s="30">
        <v>2445828</v>
      </c>
      <c r="M195" s="30">
        <v>2445828</v>
      </c>
      <c r="N195" s="40" t="s">
        <v>1536</v>
      </c>
      <c r="O195" s="40" t="s">
        <v>1543</v>
      </c>
      <c r="P195" s="40" t="s">
        <v>348</v>
      </c>
      <c r="Q195" s="44">
        <v>0</v>
      </c>
      <c r="R195" s="37">
        <v>100</v>
      </c>
      <c r="S195" s="37" t="s">
        <v>1964</v>
      </c>
      <c r="T195" s="48">
        <v>30</v>
      </c>
      <c r="U195" s="30">
        <v>1455.85</v>
      </c>
      <c r="V195" s="41">
        <v>43675.5</v>
      </c>
      <c r="W195" s="41">
        <v>1680</v>
      </c>
      <c r="X195" s="41">
        <v>1680</v>
      </c>
      <c r="Y195" s="41">
        <v>0</v>
      </c>
      <c r="Z195" s="41">
        <v>0</v>
      </c>
      <c r="AA195" s="41">
        <v>0</v>
      </c>
      <c r="AB195" s="41">
        <v>0</v>
      </c>
      <c r="AC195" s="41">
        <v>0</v>
      </c>
      <c r="AD195" s="41">
        <v>0</v>
      </c>
      <c r="AE195" s="41">
        <v>0</v>
      </c>
      <c r="AF195" s="41">
        <v>0</v>
      </c>
      <c r="AG195" s="41">
        <v>0</v>
      </c>
      <c r="AH195" s="41">
        <v>0</v>
      </c>
      <c r="AI195" s="41">
        <v>0</v>
      </c>
      <c r="AJ195" s="41">
        <v>0</v>
      </c>
      <c r="AK195" s="41">
        <v>0</v>
      </c>
      <c r="AL195" s="41">
        <v>0</v>
      </c>
      <c r="AM195" s="41">
        <v>0</v>
      </c>
      <c r="AN195" s="41">
        <v>56</v>
      </c>
      <c r="AO195" s="41">
        <v>56</v>
      </c>
      <c r="AP195" s="40" t="s">
        <v>3471</v>
      </c>
      <c r="AQ195" s="36">
        <v>45132</v>
      </c>
      <c r="AR195" s="36"/>
      <c r="AS195" s="36"/>
      <c r="AT195" s="36">
        <v>45148</v>
      </c>
      <c r="AU195" s="36"/>
      <c r="AV195" s="38"/>
      <c r="AW195" s="40" t="s">
        <v>87</v>
      </c>
    </row>
    <row r="196" spans="1:49" s="34" customFormat="1" ht="45" customHeight="1" x14ac:dyDescent="0.3">
      <c r="A196" s="35" t="s">
        <v>3480</v>
      </c>
      <c r="B196" s="38">
        <v>45091</v>
      </c>
      <c r="C196" s="40">
        <v>545</v>
      </c>
      <c r="D196" s="39" t="s">
        <v>459</v>
      </c>
      <c r="E196" s="1" t="s">
        <v>3481</v>
      </c>
      <c r="F196" s="36" t="s">
        <v>459</v>
      </c>
      <c r="G196" s="37" t="s">
        <v>459</v>
      </c>
      <c r="H196" s="40" t="s">
        <v>459</v>
      </c>
      <c r="I196" s="40" t="s">
        <v>1535</v>
      </c>
      <c r="J196" s="57">
        <v>1528619.4</v>
      </c>
      <c r="K196" s="41">
        <v>0</v>
      </c>
      <c r="L196" s="30">
        <v>0</v>
      </c>
      <c r="M196" s="30">
        <v>0</v>
      </c>
      <c r="N196" s="40"/>
      <c r="O196" s="40"/>
      <c r="P196" s="40"/>
      <c r="Q196" s="44"/>
      <c r="R196" s="37"/>
      <c r="S196" s="37"/>
      <c r="T196" s="48"/>
      <c r="U196" s="30" t="e">
        <v>#DIV/0!</v>
      </c>
      <c r="V196" s="41" t="e">
        <v>#DIV/0!</v>
      </c>
      <c r="W196" s="41">
        <v>0</v>
      </c>
      <c r="X196" s="41">
        <v>0</v>
      </c>
      <c r="Y196" s="41">
        <v>0</v>
      </c>
      <c r="Z196" s="41" t="e">
        <v>#DIV/0!</v>
      </c>
      <c r="AA196" s="41">
        <v>0</v>
      </c>
      <c r="AB196" s="41" t="e">
        <v>#DIV/0!</v>
      </c>
      <c r="AC196" s="41">
        <v>0</v>
      </c>
      <c r="AD196" s="41">
        <v>0</v>
      </c>
      <c r="AE196" s="41" t="e">
        <v>#DIV/0!</v>
      </c>
      <c r="AF196" s="41">
        <v>0</v>
      </c>
      <c r="AG196" s="41" t="e">
        <v>#DIV/0!</v>
      </c>
      <c r="AH196" s="41">
        <v>0</v>
      </c>
      <c r="AI196" s="41">
        <v>0</v>
      </c>
      <c r="AJ196" s="41">
        <v>0</v>
      </c>
      <c r="AK196" s="41">
        <v>0</v>
      </c>
      <c r="AL196" s="41">
        <v>0</v>
      </c>
      <c r="AM196" s="41" t="e">
        <v>#DIV/0!</v>
      </c>
      <c r="AN196" s="41" t="e">
        <v>#DIV/0!</v>
      </c>
      <c r="AO196" s="41" t="e">
        <v>#DIV/0!</v>
      </c>
      <c r="AP196" s="40"/>
      <c r="AQ196" s="36">
        <v>45132</v>
      </c>
      <c r="AR196" s="36"/>
      <c r="AS196" s="36"/>
      <c r="AT196" s="36"/>
      <c r="AU196" s="36"/>
      <c r="AV196" s="38"/>
      <c r="AW196" s="40"/>
    </row>
    <row r="197" spans="1:49" ht="45" customHeight="1" x14ac:dyDescent="0.3">
      <c r="A197" s="35" t="s">
        <v>3482</v>
      </c>
      <c r="B197" s="38">
        <v>45091</v>
      </c>
      <c r="C197" s="40">
        <v>545</v>
      </c>
      <c r="D197" s="39" t="s">
        <v>3483</v>
      </c>
      <c r="E197" s="1" t="s">
        <v>3484</v>
      </c>
      <c r="F197" s="36">
        <v>45111</v>
      </c>
      <c r="G197" s="37" t="s">
        <v>3485</v>
      </c>
      <c r="H197" s="40" t="s">
        <v>878</v>
      </c>
      <c r="I197" s="40" t="s">
        <v>1525</v>
      </c>
      <c r="J197" s="57">
        <v>9579131.0999999996</v>
      </c>
      <c r="K197" s="41">
        <v>9579131.0999999996</v>
      </c>
      <c r="L197" s="30">
        <v>9579131.0999999996</v>
      </c>
      <c r="M197" s="30">
        <v>9579131.0999999996</v>
      </c>
      <c r="N197" s="40" t="s">
        <v>1536</v>
      </c>
      <c r="O197" s="40" t="s">
        <v>1963</v>
      </c>
      <c r="P197" s="40" t="s">
        <v>348</v>
      </c>
      <c r="Q197" s="44">
        <v>0</v>
      </c>
      <c r="R197" s="37">
        <v>100</v>
      </c>
      <c r="S197" s="37" t="s">
        <v>1964</v>
      </c>
      <c r="T197" s="48">
        <v>30</v>
      </c>
      <c r="U197" s="30">
        <v>970.53</v>
      </c>
      <c r="V197" s="41">
        <v>29115.899999999998</v>
      </c>
      <c r="W197" s="41">
        <v>9870</v>
      </c>
      <c r="X197" s="41">
        <v>9870</v>
      </c>
      <c r="Y197" s="41">
        <v>0</v>
      </c>
      <c r="Z197" s="41">
        <v>0</v>
      </c>
      <c r="AA197" s="41">
        <v>0</v>
      </c>
      <c r="AB197" s="41">
        <v>0</v>
      </c>
      <c r="AC197" s="41">
        <v>0</v>
      </c>
      <c r="AD197" s="41">
        <v>0</v>
      </c>
      <c r="AE197" s="41">
        <v>0</v>
      </c>
      <c r="AF197" s="41">
        <v>0</v>
      </c>
      <c r="AG197" s="41">
        <v>0</v>
      </c>
      <c r="AH197" s="41">
        <v>0</v>
      </c>
      <c r="AI197" s="41">
        <v>0</v>
      </c>
      <c r="AJ197" s="41">
        <v>0</v>
      </c>
      <c r="AK197" s="41">
        <v>0</v>
      </c>
      <c r="AL197" s="41">
        <v>0</v>
      </c>
      <c r="AM197" s="41">
        <v>0</v>
      </c>
      <c r="AN197" s="41">
        <v>329</v>
      </c>
      <c r="AO197" s="41">
        <v>329</v>
      </c>
      <c r="AP197" s="40"/>
      <c r="AQ197" s="36">
        <v>45132</v>
      </c>
      <c r="AR197" s="36"/>
      <c r="AS197" s="36"/>
      <c r="AT197" s="36">
        <v>45148</v>
      </c>
      <c r="AU197" s="36"/>
      <c r="AV197" s="38"/>
      <c r="AW197" s="40" t="s">
        <v>87</v>
      </c>
    </row>
    <row r="198" spans="1:49" ht="45" customHeight="1" x14ac:dyDescent="0.3">
      <c r="A198" s="35" t="s">
        <v>3486</v>
      </c>
      <c r="B198" s="38">
        <v>45097</v>
      </c>
      <c r="C198" s="40">
        <v>545</v>
      </c>
      <c r="D198" s="39" t="s">
        <v>3487</v>
      </c>
      <c r="E198" s="1" t="s">
        <v>3488</v>
      </c>
      <c r="F198" s="36">
        <v>45117</v>
      </c>
      <c r="G198" s="37" t="s">
        <v>3489</v>
      </c>
      <c r="H198" s="40" t="s">
        <v>224</v>
      </c>
      <c r="I198" s="40" t="s">
        <v>1358</v>
      </c>
      <c r="J198" s="57">
        <v>9426712.5</v>
      </c>
      <c r="K198" s="41">
        <v>9426712.5</v>
      </c>
      <c r="L198" s="30">
        <v>9426712.5</v>
      </c>
      <c r="M198" s="30">
        <v>9426712.5</v>
      </c>
      <c r="N198" s="40" t="s">
        <v>936</v>
      </c>
      <c r="O198" s="40" t="s">
        <v>3113</v>
      </c>
      <c r="P198" s="40" t="s">
        <v>348</v>
      </c>
      <c r="Q198" s="44">
        <v>0</v>
      </c>
      <c r="R198" s="37">
        <v>100</v>
      </c>
      <c r="S198" s="37" t="s">
        <v>219</v>
      </c>
      <c r="T198" s="48">
        <v>1</v>
      </c>
      <c r="U198" s="30">
        <v>554512.5</v>
      </c>
      <c r="V198" s="41">
        <v>554512.5</v>
      </c>
      <c r="W198" s="41">
        <v>17</v>
      </c>
      <c r="X198" s="41">
        <v>17</v>
      </c>
      <c r="Y198" s="41">
        <v>0</v>
      </c>
      <c r="Z198" s="41">
        <v>0</v>
      </c>
      <c r="AA198" s="41">
        <v>0</v>
      </c>
      <c r="AB198" s="41">
        <v>0</v>
      </c>
      <c r="AC198" s="41">
        <v>0</v>
      </c>
      <c r="AD198" s="41">
        <v>0</v>
      </c>
      <c r="AE198" s="41">
        <v>0</v>
      </c>
      <c r="AF198" s="41">
        <v>0</v>
      </c>
      <c r="AG198" s="41">
        <v>0</v>
      </c>
      <c r="AH198" s="41">
        <v>0</v>
      </c>
      <c r="AI198" s="41">
        <v>0</v>
      </c>
      <c r="AJ198" s="41">
        <v>0</v>
      </c>
      <c r="AK198" s="41">
        <v>0</v>
      </c>
      <c r="AL198" s="41">
        <v>0</v>
      </c>
      <c r="AM198" s="41">
        <v>0</v>
      </c>
      <c r="AN198" s="41">
        <v>17</v>
      </c>
      <c r="AO198" s="41">
        <v>17</v>
      </c>
      <c r="AP198" s="40"/>
      <c r="AQ198" s="36">
        <v>45132</v>
      </c>
      <c r="AR198" s="36"/>
      <c r="AS198" s="36"/>
      <c r="AT198" s="36">
        <v>45148</v>
      </c>
      <c r="AU198" s="36"/>
      <c r="AV198" s="38"/>
      <c r="AW198" s="40" t="s">
        <v>87</v>
      </c>
    </row>
    <row r="199" spans="1:49" ht="45" customHeight="1" x14ac:dyDescent="0.3">
      <c r="A199" s="35" t="s">
        <v>3490</v>
      </c>
      <c r="B199" s="38">
        <v>45092</v>
      </c>
      <c r="C199" s="40">
        <v>545</v>
      </c>
      <c r="D199" s="39" t="s">
        <v>3491</v>
      </c>
      <c r="E199" s="1" t="s">
        <v>3492</v>
      </c>
      <c r="F199" s="36">
        <v>45111</v>
      </c>
      <c r="G199" s="37" t="s">
        <v>3493</v>
      </c>
      <c r="H199" s="40" t="s">
        <v>224</v>
      </c>
      <c r="I199" s="40" t="s">
        <v>1660</v>
      </c>
      <c r="J199" s="57">
        <v>21296030.25</v>
      </c>
      <c r="K199" s="41">
        <v>21296030.25</v>
      </c>
      <c r="L199" s="30">
        <v>21296030.25</v>
      </c>
      <c r="M199" s="30">
        <v>21296030.25</v>
      </c>
      <c r="N199" s="40" t="s">
        <v>2392</v>
      </c>
      <c r="O199" s="40" t="s">
        <v>2413</v>
      </c>
      <c r="P199" s="40" t="s">
        <v>2394</v>
      </c>
      <c r="Q199" s="44">
        <v>0</v>
      </c>
      <c r="R199" s="37">
        <v>100</v>
      </c>
      <c r="S199" s="37" t="s">
        <v>1489</v>
      </c>
      <c r="T199" s="48">
        <v>15</v>
      </c>
      <c r="U199" s="30">
        <v>25813.37</v>
      </c>
      <c r="V199" s="41">
        <v>387200.55</v>
      </c>
      <c r="W199" s="41">
        <v>825</v>
      </c>
      <c r="X199" s="41">
        <v>825</v>
      </c>
      <c r="Y199" s="41">
        <v>0</v>
      </c>
      <c r="Z199" s="41">
        <v>0</v>
      </c>
      <c r="AA199" s="41">
        <v>0</v>
      </c>
      <c r="AB199" s="41">
        <v>0</v>
      </c>
      <c r="AC199" s="41">
        <v>0</v>
      </c>
      <c r="AD199" s="41">
        <v>0</v>
      </c>
      <c r="AE199" s="41">
        <v>0</v>
      </c>
      <c r="AF199" s="41">
        <v>0</v>
      </c>
      <c r="AG199" s="41">
        <v>0</v>
      </c>
      <c r="AH199" s="41">
        <v>0</v>
      </c>
      <c r="AI199" s="41">
        <v>0</v>
      </c>
      <c r="AJ199" s="41">
        <v>0</v>
      </c>
      <c r="AK199" s="41">
        <v>0</v>
      </c>
      <c r="AL199" s="41">
        <v>0</v>
      </c>
      <c r="AM199" s="41">
        <v>0</v>
      </c>
      <c r="AN199" s="41">
        <v>55</v>
      </c>
      <c r="AO199" s="41">
        <v>55</v>
      </c>
      <c r="AP199" s="40" t="s">
        <v>3494</v>
      </c>
      <c r="AQ199" s="36">
        <v>45139</v>
      </c>
      <c r="AR199" s="36"/>
      <c r="AS199" s="36"/>
      <c r="AT199" s="36">
        <v>45153</v>
      </c>
      <c r="AU199" s="36"/>
      <c r="AV199" s="38"/>
      <c r="AW199" s="40" t="s">
        <v>87</v>
      </c>
    </row>
    <row r="200" spans="1:49" ht="45" customHeight="1" x14ac:dyDescent="0.3">
      <c r="A200" s="35" t="s">
        <v>3495</v>
      </c>
      <c r="B200" s="38">
        <v>45093</v>
      </c>
      <c r="C200" s="40">
        <v>545</v>
      </c>
      <c r="D200" s="39" t="s">
        <v>3496</v>
      </c>
      <c r="E200" s="1" t="s">
        <v>3497</v>
      </c>
      <c r="F200" s="36">
        <v>45114</v>
      </c>
      <c r="G200" s="37" t="s">
        <v>3498</v>
      </c>
      <c r="H200" s="40" t="s">
        <v>3499</v>
      </c>
      <c r="I200" s="40" t="s">
        <v>3167</v>
      </c>
      <c r="J200" s="57">
        <v>117930758.40000001</v>
      </c>
      <c r="K200" s="41">
        <v>123854530.8</v>
      </c>
      <c r="L200" s="30">
        <v>123854530.8</v>
      </c>
      <c r="M200" s="30">
        <v>123854530.8</v>
      </c>
      <c r="N200" s="40" t="s">
        <v>3500</v>
      </c>
      <c r="O200" s="40" t="s">
        <v>3501</v>
      </c>
      <c r="P200" s="40" t="s">
        <v>2478</v>
      </c>
      <c r="Q200" s="44">
        <v>0</v>
      </c>
      <c r="R200" s="37">
        <v>100</v>
      </c>
      <c r="S200" s="37" t="s">
        <v>1964</v>
      </c>
      <c r="T200" s="48">
        <v>60</v>
      </c>
      <c r="U200" s="30">
        <v>6410.69</v>
      </c>
      <c r="V200" s="41">
        <v>384641.39999999997</v>
      </c>
      <c r="W200" s="41">
        <v>19320</v>
      </c>
      <c r="X200" s="41">
        <v>14400</v>
      </c>
      <c r="Y200" s="41">
        <v>0</v>
      </c>
      <c r="Z200" s="41">
        <v>0</v>
      </c>
      <c r="AA200" s="41">
        <v>0</v>
      </c>
      <c r="AB200" s="41">
        <v>0</v>
      </c>
      <c r="AC200" s="41">
        <v>4920</v>
      </c>
      <c r="AD200" s="41">
        <v>0</v>
      </c>
      <c r="AE200" s="41">
        <v>0</v>
      </c>
      <c r="AF200" s="41">
        <v>0</v>
      </c>
      <c r="AG200" s="41">
        <v>0</v>
      </c>
      <c r="AH200" s="41">
        <v>0</v>
      </c>
      <c r="AI200" s="41">
        <v>0</v>
      </c>
      <c r="AJ200" s="41">
        <v>0</v>
      </c>
      <c r="AK200" s="41">
        <v>0</v>
      </c>
      <c r="AL200" s="41">
        <v>0</v>
      </c>
      <c r="AM200" s="41">
        <v>0</v>
      </c>
      <c r="AN200" s="41">
        <v>322</v>
      </c>
      <c r="AO200" s="41">
        <v>322</v>
      </c>
      <c r="AP200" s="40" t="s">
        <v>1353</v>
      </c>
      <c r="AQ200" s="36">
        <v>45139</v>
      </c>
      <c r="AR200" s="36">
        <v>45170</v>
      </c>
      <c r="AS200" s="36"/>
      <c r="AT200" s="36">
        <v>45153</v>
      </c>
      <c r="AU200" s="36">
        <v>45184</v>
      </c>
      <c r="AV200" s="38"/>
      <c r="AW200" s="40" t="s">
        <v>49</v>
      </c>
    </row>
    <row r="201" spans="1:49" ht="45" customHeight="1" x14ac:dyDescent="0.3">
      <c r="A201" s="35" t="s">
        <v>3502</v>
      </c>
      <c r="B201" s="38">
        <v>45098</v>
      </c>
      <c r="C201" s="40">
        <v>545</v>
      </c>
      <c r="D201" s="39" t="s">
        <v>3503</v>
      </c>
      <c r="E201" s="1" t="s">
        <v>3504</v>
      </c>
      <c r="F201" s="36">
        <v>45118</v>
      </c>
      <c r="G201" s="37" t="s">
        <v>3505</v>
      </c>
      <c r="H201" s="40" t="s">
        <v>224</v>
      </c>
      <c r="I201" s="40" t="s">
        <v>1706</v>
      </c>
      <c r="J201" s="57">
        <v>147910323.59999999</v>
      </c>
      <c r="K201" s="41">
        <v>147910323.59999999</v>
      </c>
      <c r="L201" s="30">
        <v>147910323.59999999</v>
      </c>
      <c r="M201" s="30">
        <v>147910323.59999999</v>
      </c>
      <c r="N201" s="40" t="s">
        <v>2392</v>
      </c>
      <c r="O201" s="40" t="s">
        <v>2393</v>
      </c>
      <c r="P201" s="40" t="s">
        <v>2394</v>
      </c>
      <c r="Q201" s="44">
        <v>0</v>
      </c>
      <c r="R201" s="37">
        <v>100</v>
      </c>
      <c r="S201" s="37" t="s">
        <v>1489</v>
      </c>
      <c r="T201" s="48">
        <v>30</v>
      </c>
      <c r="U201" s="30">
        <v>25813.32</v>
      </c>
      <c r="V201" s="41">
        <v>774399.6</v>
      </c>
      <c r="W201" s="41">
        <v>5730</v>
      </c>
      <c r="X201" s="41">
        <v>5730</v>
      </c>
      <c r="Y201" s="41">
        <v>0</v>
      </c>
      <c r="Z201" s="41">
        <v>0</v>
      </c>
      <c r="AA201" s="41">
        <v>0</v>
      </c>
      <c r="AB201" s="41">
        <v>0</v>
      </c>
      <c r="AC201" s="41">
        <v>0</v>
      </c>
      <c r="AD201" s="41">
        <v>0</v>
      </c>
      <c r="AE201" s="41">
        <v>0</v>
      </c>
      <c r="AF201" s="41">
        <v>0</v>
      </c>
      <c r="AG201" s="41">
        <v>0</v>
      </c>
      <c r="AH201" s="41">
        <v>0</v>
      </c>
      <c r="AI201" s="41">
        <v>0</v>
      </c>
      <c r="AJ201" s="41">
        <v>0</v>
      </c>
      <c r="AK201" s="41">
        <v>0</v>
      </c>
      <c r="AL201" s="41">
        <v>0</v>
      </c>
      <c r="AM201" s="41">
        <v>0</v>
      </c>
      <c r="AN201" s="41">
        <v>191</v>
      </c>
      <c r="AO201" s="41">
        <v>191</v>
      </c>
      <c r="AP201" s="40"/>
      <c r="AQ201" s="36">
        <v>45139</v>
      </c>
      <c r="AR201" s="36"/>
      <c r="AS201" s="36"/>
      <c r="AT201" s="36">
        <v>45153</v>
      </c>
      <c r="AU201" s="36"/>
      <c r="AV201" s="38"/>
      <c r="AW201" s="40" t="s">
        <v>87</v>
      </c>
    </row>
    <row r="202" spans="1:49" ht="45" customHeight="1" x14ac:dyDescent="0.3">
      <c r="A202" s="35" t="s">
        <v>3506</v>
      </c>
      <c r="B202" s="38">
        <v>45098</v>
      </c>
      <c r="C202" s="40">
        <v>545</v>
      </c>
      <c r="D202" s="39" t="s">
        <v>3507</v>
      </c>
      <c r="E202" s="1" t="s">
        <v>3508</v>
      </c>
      <c r="F202" s="36">
        <v>45118</v>
      </c>
      <c r="G202" s="37" t="s">
        <v>3509</v>
      </c>
      <c r="H202" s="40" t="s">
        <v>224</v>
      </c>
      <c r="I202" s="40" t="s">
        <v>1314</v>
      </c>
      <c r="J202" s="57">
        <v>76560000</v>
      </c>
      <c r="K202" s="41">
        <v>76560000</v>
      </c>
      <c r="L202" s="30">
        <v>85747200</v>
      </c>
      <c r="M202" s="30">
        <v>85747200</v>
      </c>
      <c r="N202" s="40" t="s">
        <v>1300</v>
      </c>
      <c r="O202" s="40" t="s">
        <v>1308</v>
      </c>
      <c r="P202" s="40" t="s">
        <v>1032</v>
      </c>
      <c r="Q202" s="44">
        <v>0</v>
      </c>
      <c r="R202" s="37">
        <v>100</v>
      </c>
      <c r="S202" s="37" t="s">
        <v>1964</v>
      </c>
      <c r="T202" s="48">
        <v>60</v>
      </c>
      <c r="U202" s="30">
        <v>6380</v>
      </c>
      <c r="V202" s="41">
        <v>382800</v>
      </c>
      <c r="W202" s="41">
        <v>13440</v>
      </c>
      <c r="X202" s="41">
        <v>13440</v>
      </c>
      <c r="Y202" s="41">
        <v>0</v>
      </c>
      <c r="Z202" s="41">
        <v>0</v>
      </c>
      <c r="AA202" s="41">
        <v>0</v>
      </c>
      <c r="AB202" s="41">
        <v>0</v>
      </c>
      <c r="AC202" s="41">
        <v>0</v>
      </c>
      <c r="AD202" s="41">
        <v>0</v>
      </c>
      <c r="AE202" s="41">
        <v>0</v>
      </c>
      <c r="AF202" s="41">
        <v>0</v>
      </c>
      <c r="AG202" s="41">
        <v>0</v>
      </c>
      <c r="AH202" s="41">
        <v>0</v>
      </c>
      <c r="AI202" s="41">
        <v>0</v>
      </c>
      <c r="AJ202" s="41">
        <v>0</v>
      </c>
      <c r="AK202" s="41">
        <v>0</v>
      </c>
      <c r="AL202" s="41">
        <v>0</v>
      </c>
      <c r="AM202" s="41">
        <v>0</v>
      </c>
      <c r="AN202" s="41">
        <v>224</v>
      </c>
      <c r="AO202" s="41">
        <v>224</v>
      </c>
      <c r="AP202" s="40"/>
      <c r="AQ202" s="36">
        <v>45199</v>
      </c>
      <c r="AR202" s="36"/>
      <c r="AS202" s="36"/>
      <c r="AT202" s="36">
        <v>45214</v>
      </c>
      <c r="AU202" s="36"/>
      <c r="AV202" s="38"/>
      <c r="AW202" s="40" t="s">
        <v>49</v>
      </c>
    </row>
    <row r="203" spans="1:49" ht="48" customHeight="1" x14ac:dyDescent="0.3">
      <c r="A203" s="35" t="s">
        <v>3569</v>
      </c>
      <c r="B203" s="38">
        <v>45104</v>
      </c>
      <c r="C203" s="40">
        <v>545</v>
      </c>
      <c r="D203" s="39" t="s">
        <v>3570</v>
      </c>
      <c r="E203" s="1" t="s">
        <v>3571</v>
      </c>
      <c r="F203" s="36">
        <v>45125</v>
      </c>
      <c r="G203" s="37" t="s">
        <v>3572</v>
      </c>
      <c r="H203" s="40" t="s">
        <v>177</v>
      </c>
      <c r="I203" s="40" t="s">
        <v>3573</v>
      </c>
      <c r="J203" s="57">
        <v>113160180.84</v>
      </c>
      <c r="K203" s="41">
        <v>113160180.84</v>
      </c>
      <c r="L203" s="30">
        <v>124495090.44</v>
      </c>
      <c r="M203" s="30">
        <v>124495090.44</v>
      </c>
      <c r="N203" s="40" t="s">
        <v>3574</v>
      </c>
      <c r="O203" s="40" t="s">
        <v>3575</v>
      </c>
      <c r="P203" s="40" t="s">
        <v>199</v>
      </c>
      <c r="Q203" s="44">
        <v>0</v>
      </c>
      <c r="R203" s="37">
        <v>100</v>
      </c>
      <c r="S203" s="37" t="s">
        <v>1964</v>
      </c>
      <c r="T203" s="48">
        <v>84</v>
      </c>
      <c r="U203" s="30">
        <v>2248.9899999999998</v>
      </c>
      <c r="V203" s="41">
        <v>188915.15999999997</v>
      </c>
      <c r="W203" s="41">
        <v>55356</v>
      </c>
      <c r="X203" s="41">
        <v>55356</v>
      </c>
      <c r="Y203" s="41">
        <v>0</v>
      </c>
      <c r="Z203" s="41">
        <v>0</v>
      </c>
      <c r="AA203" s="41">
        <v>0</v>
      </c>
      <c r="AB203" s="41">
        <v>0</v>
      </c>
      <c r="AC203" s="41">
        <v>0</v>
      </c>
      <c r="AD203" s="41">
        <v>0</v>
      </c>
      <c r="AE203" s="41">
        <v>0</v>
      </c>
      <c r="AF203" s="41">
        <v>0</v>
      </c>
      <c r="AG203" s="41">
        <v>0</v>
      </c>
      <c r="AH203" s="41">
        <v>0</v>
      </c>
      <c r="AI203" s="41">
        <v>0</v>
      </c>
      <c r="AJ203" s="41">
        <v>0</v>
      </c>
      <c r="AK203" s="41">
        <v>0</v>
      </c>
      <c r="AL203" s="41">
        <v>0</v>
      </c>
      <c r="AM203" s="41">
        <v>0</v>
      </c>
      <c r="AN203" s="41">
        <v>659</v>
      </c>
      <c r="AO203" s="41">
        <v>659</v>
      </c>
      <c r="AP203" s="40" t="s">
        <v>1353</v>
      </c>
      <c r="AQ203" s="36">
        <v>45158</v>
      </c>
      <c r="AR203" s="36"/>
      <c r="AS203" s="36"/>
      <c r="AT203" s="36">
        <v>45174</v>
      </c>
      <c r="AU203" s="36"/>
      <c r="AV203" s="38"/>
      <c r="AW203" s="40" t="s">
        <v>49</v>
      </c>
    </row>
    <row r="204" spans="1:49" ht="48" customHeight="1" x14ac:dyDescent="0.3">
      <c r="A204" s="35" t="s">
        <v>3584</v>
      </c>
      <c r="B204" s="38">
        <v>45104</v>
      </c>
      <c r="C204" s="40">
        <v>545</v>
      </c>
      <c r="D204" s="39" t="s">
        <v>3585</v>
      </c>
      <c r="E204" s="1" t="s">
        <v>3586</v>
      </c>
      <c r="F204" s="36">
        <v>45125</v>
      </c>
      <c r="G204" s="37" t="s">
        <v>3587</v>
      </c>
      <c r="H204" s="40" t="s">
        <v>177</v>
      </c>
      <c r="I204" s="40" t="s">
        <v>3588</v>
      </c>
      <c r="J204" s="57">
        <v>202168659</v>
      </c>
      <c r="K204" s="41">
        <v>202168659</v>
      </c>
      <c r="L204" s="30">
        <v>202168659</v>
      </c>
      <c r="M204" s="30">
        <v>202168659</v>
      </c>
      <c r="N204" s="40" t="s">
        <v>3574</v>
      </c>
      <c r="O204" s="40" t="s">
        <v>3589</v>
      </c>
      <c r="P204" s="40" t="s">
        <v>1032</v>
      </c>
      <c r="Q204" s="44">
        <v>0</v>
      </c>
      <c r="R204" s="37">
        <v>100</v>
      </c>
      <c r="S204" s="37" t="s">
        <v>1964</v>
      </c>
      <c r="T204" s="48">
        <v>28</v>
      </c>
      <c r="U204" s="30">
        <v>1428.35</v>
      </c>
      <c r="V204" s="41">
        <v>39993.799999999996</v>
      </c>
      <c r="W204" s="41">
        <v>141540</v>
      </c>
      <c r="X204" s="41">
        <v>85540</v>
      </c>
      <c r="Y204" s="41">
        <v>0</v>
      </c>
      <c r="Z204" s="41">
        <v>0</v>
      </c>
      <c r="AA204" s="41">
        <v>0</v>
      </c>
      <c r="AB204" s="41">
        <v>0</v>
      </c>
      <c r="AC204" s="41">
        <v>56000</v>
      </c>
      <c r="AD204" s="41">
        <v>0</v>
      </c>
      <c r="AE204" s="41">
        <v>0</v>
      </c>
      <c r="AF204" s="41">
        <v>0</v>
      </c>
      <c r="AG204" s="41">
        <v>0</v>
      </c>
      <c r="AH204" s="41">
        <v>0</v>
      </c>
      <c r="AI204" s="41">
        <v>0</v>
      </c>
      <c r="AJ204" s="41">
        <v>0</v>
      </c>
      <c r="AK204" s="41">
        <v>0</v>
      </c>
      <c r="AL204" s="41">
        <v>0</v>
      </c>
      <c r="AM204" s="41">
        <v>0</v>
      </c>
      <c r="AN204" s="41">
        <v>5055</v>
      </c>
      <c r="AO204" s="41">
        <v>5055</v>
      </c>
      <c r="AP204" s="40"/>
      <c r="AQ204" s="36">
        <v>45139</v>
      </c>
      <c r="AR204" s="36">
        <v>45261</v>
      </c>
      <c r="AS204" s="36"/>
      <c r="AT204" s="36">
        <v>45153</v>
      </c>
      <c r="AU204" s="36">
        <v>45275</v>
      </c>
      <c r="AV204" s="38"/>
      <c r="AW204" s="40" t="s">
        <v>49</v>
      </c>
    </row>
    <row r="205" spans="1:49" ht="48" customHeight="1" x14ac:dyDescent="0.3">
      <c r="A205" s="35" t="s">
        <v>3630</v>
      </c>
      <c r="B205" s="38">
        <v>45106</v>
      </c>
      <c r="C205" s="40">
        <v>545</v>
      </c>
      <c r="D205" s="39" t="s">
        <v>3631</v>
      </c>
      <c r="E205" s="1" t="s">
        <v>3632</v>
      </c>
      <c r="F205" s="36">
        <v>45128</v>
      </c>
      <c r="G205" s="37" t="s">
        <v>3633</v>
      </c>
      <c r="H205" s="40" t="s">
        <v>3499</v>
      </c>
      <c r="I205" s="40" t="s">
        <v>3167</v>
      </c>
      <c r="J205" s="57">
        <v>71461353.599999994</v>
      </c>
      <c r="K205" s="41">
        <v>71461353.599999994</v>
      </c>
      <c r="L205" s="30">
        <v>71461353.599999994</v>
      </c>
      <c r="M205" s="30">
        <v>71461353.599999994</v>
      </c>
      <c r="N205" s="40" t="s">
        <v>3634</v>
      </c>
      <c r="O205" s="40" t="s">
        <v>3635</v>
      </c>
      <c r="P205" s="40" t="s">
        <v>3636</v>
      </c>
      <c r="Q205" s="44">
        <v>0</v>
      </c>
      <c r="R205" s="37">
        <v>100</v>
      </c>
      <c r="S205" s="37" t="s">
        <v>1964</v>
      </c>
      <c r="T205" s="48">
        <v>60</v>
      </c>
      <c r="U205" s="30">
        <v>6508.32</v>
      </c>
      <c r="V205" s="41">
        <v>390499.19999999995</v>
      </c>
      <c r="W205" s="41">
        <v>10980</v>
      </c>
      <c r="X205" s="41">
        <v>10980</v>
      </c>
      <c r="Y205" s="41">
        <v>0</v>
      </c>
      <c r="Z205" s="41">
        <v>0</v>
      </c>
      <c r="AA205" s="41">
        <v>0</v>
      </c>
      <c r="AB205" s="41">
        <v>0</v>
      </c>
      <c r="AC205" s="41">
        <v>0</v>
      </c>
      <c r="AD205" s="41">
        <v>0</v>
      </c>
      <c r="AE205" s="41">
        <v>0</v>
      </c>
      <c r="AF205" s="41">
        <v>0</v>
      </c>
      <c r="AG205" s="41">
        <v>0</v>
      </c>
      <c r="AH205" s="41">
        <v>0</v>
      </c>
      <c r="AI205" s="41">
        <v>0</v>
      </c>
      <c r="AJ205" s="41">
        <v>0</v>
      </c>
      <c r="AK205" s="41">
        <v>0</v>
      </c>
      <c r="AL205" s="41">
        <v>0</v>
      </c>
      <c r="AM205" s="41">
        <v>0</v>
      </c>
      <c r="AN205" s="41">
        <v>183</v>
      </c>
      <c r="AO205" s="41">
        <v>183</v>
      </c>
      <c r="AP205" s="40"/>
      <c r="AQ205" s="36">
        <v>45200</v>
      </c>
      <c r="AR205" s="36"/>
      <c r="AS205" s="36"/>
      <c r="AT205" s="36">
        <v>45214</v>
      </c>
      <c r="AU205" s="36"/>
      <c r="AV205" s="38"/>
      <c r="AW205" s="40" t="s">
        <v>49</v>
      </c>
    </row>
    <row r="206" spans="1:49" s="34" customFormat="1" ht="48" customHeight="1" x14ac:dyDescent="0.3">
      <c r="A206" s="35" t="s">
        <v>3676</v>
      </c>
      <c r="B206" s="38">
        <v>45107</v>
      </c>
      <c r="C206" s="40">
        <v>545</v>
      </c>
      <c r="D206" s="39" t="s">
        <v>3677</v>
      </c>
      <c r="E206" s="1" t="s">
        <v>3678</v>
      </c>
      <c r="F206" s="36">
        <v>45128</v>
      </c>
      <c r="G206" s="37" t="s">
        <v>3679</v>
      </c>
      <c r="H206" s="40" t="s">
        <v>878</v>
      </c>
      <c r="I206" s="40" t="s">
        <v>3680</v>
      </c>
      <c r="J206" s="57">
        <v>2984447.4</v>
      </c>
      <c r="K206" s="41">
        <v>2984447.4</v>
      </c>
      <c r="L206" s="30">
        <v>3493987.2</v>
      </c>
      <c r="M206" s="30">
        <v>3493987.2</v>
      </c>
      <c r="N206" s="40" t="s">
        <v>1536</v>
      </c>
      <c r="O206" s="40" t="s">
        <v>1537</v>
      </c>
      <c r="P206" s="40" t="s">
        <v>348</v>
      </c>
      <c r="Q206" s="44">
        <v>0</v>
      </c>
      <c r="R206" s="37">
        <v>100</v>
      </c>
      <c r="S206" s="37" t="s">
        <v>1964</v>
      </c>
      <c r="T206" s="48">
        <v>30</v>
      </c>
      <c r="U206" s="30">
        <v>2426.38</v>
      </c>
      <c r="V206" s="41">
        <v>72791.400000000009</v>
      </c>
      <c r="W206" s="41">
        <v>1440</v>
      </c>
      <c r="X206" s="41">
        <v>1440</v>
      </c>
      <c r="Y206" s="41">
        <v>0</v>
      </c>
      <c r="Z206" s="41">
        <v>0</v>
      </c>
      <c r="AA206" s="41">
        <v>0</v>
      </c>
      <c r="AB206" s="41">
        <v>0</v>
      </c>
      <c r="AC206" s="41">
        <v>0</v>
      </c>
      <c r="AD206" s="41">
        <v>0</v>
      </c>
      <c r="AE206" s="41">
        <v>0</v>
      </c>
      <c r="AF206" s="41">
        <v>0</v>
      </c>
      <c r="AG206" s="41">
        <v>0</v>
      </c>
      <c r="AH206" s="41">
        <v>0</v>
      </c>
      <c r="AI206" s="41">
        <v>0</v>
      </c>
      <c r="AJ206" s="41">
        <v>0</v>
      </c>
      <c r="AK206" s="41">
        <v>0</v>
      </c>
      <c r="AL206" s="41">
        <v>0</v>
      </c>
      <c r="AM206" s="41">
        <v>0</v>
      </c>
      <c r="AN206" s="41">
        <v>48</v>
      </c>
      <c r="AO206" s="41">
        <v>48</v>
      </c>
      <c r="AP206" s="40"/>
      <c r="AQ206" s="36">
        <v>45153</v>
      </c>
      <c r="AR206" s="36"/>
      <c r="AS206" s="36"/>
      <c r="AT206" s="36">
        <v>45168</v>
      </c>
      <c r="AU206" s="36"/>
      <c r="AV206" s="38"/>
      <c r="AW206" s="40" t="s">
        <v>49</v>
      </c>
    </row>
    <row r="207" spans="1:49" s="34" customFormat="1" ht="48" customHeight="1" x14ac:dyDescent="0.3">
      <c r="A207" s="35" t="s">
        <v>3681</v>
      </c>
      <c r="B207" s="38">
        <v>45107</v>
      </c>
      <c r="C207" s="40">
        <v>545</v>
      </c>
      <c r="D207" s="39" t="s">
        <v>3682</v>
      </c>
      <c r="E207" s="1" t="s">
        <v>3683</v>
      </c>
      <c r="F207" s="36">
        <v>45128</v>
      </c>
      <c r="G207" s="37" t="s">
        <v>3684</v>
      </c>
      <c r="H207" s="40" t="s">
        <v>802</v>
      </c>
      <c r="I207" s="40" t="s">
        <v>3685</v>
      </c>
      <c r="J207" s="57">
        <v>10753393</v>
      </c>
      <c r="K207" s="41">
        <v>10753393</v>
      </c>
      <c r="L207" s="30">
        <v>10753393</v>
      </c>
      <c r="M207" s="30">
        <v>10753393</v>
      </c>
      <c r="N207" s="40" t="s">
        <v>1351</v>
      </c>
      <c r="O207" s="40" t="s">
        <v>1352</v>
      </c>
      <c r="P207" s="40" t="s">
        <v>199</v>
      </c>
      <c r="Q207" s="44">
        <v>0</v>
      </c>
      <c r="R207" s="37">
        <v>100</v>
      </c>
      <c r="S207" s="37" t="s">
        <v>584</v>
      </c>
      <c r="T207" s="48">
        <v>50</v>
      </c>
      <c r="U207" s="30">
        <v>1004.99</v>
      </c>
      <c r="V207" s="41">
        <v>50249.5</v>
      </c>
      <c r="W207" s="41">
        <v>10700</v>
      </c>
      <c r="X207" s="41">
        <v>10700</v>
      </c>
      <c r="Y207" s="41">
        <v>0</v>
      </c>
      <c r="Z207" s="41">
        <v>0</v>
      </c>
      <c r="AA207" s="41">
        <v>0</v>
      </c>
      <c r="AB207" s="41">
        <v>0</v>
      </c>
      <c r="AC207" s="41">
        <v>0</v>
      </c>
      <c r="AD207" s="41">
        <v>0</v>
      </c>
      <c r="AE207" s="41">
        <v>0</v>
      </c>
      <c r="AF207" s="41">
        <v>0</v>
      </c>
      <c r="AG207" s="41">
        <v>0</v>
      </c>
      <c r="AH207" s="41">
        <v>0</v>
      </c>
      <c r="AI207" s="41">
        <v>0</v>
      </c>
      <c r="AJ207" s="41">
        <v>0</v>
      </c>
      <c r="AK207" s="41">
        <v>0</v>
      </c>
      <c r="AL207" s="41">
        <v>0</v>
      </c>
      <c r="AM207" s="41">
        <v>0</v>
      </c>
      <c r="AN207" s="41">
        <v>214</v>
      </c>
      <c r="AO207" s="41">
        <v>214</v>
      </c>
      <c r="AP207" s="40"/>
      <c r="AQ207" s="36">
        <v>45139</v>
      </c>
      <c r="AR207" s="36"/>
      <c r="AS207" s="36"/>
      <c r="AT207" s="36">
        <v>45153</v>
      </c>
      <c r="AU207" s="36"/>
      <c r="AV207" s="38"/>
      <c r="AW207" s="40" t="s">
        <v>49</v>
      </c>
    </row>
    <row r="208" spans="1:49" ht="48" customHeight="1" x14ac:dyDescent="0.3">
      <c r="A208" s="35" t="s">
        <v>3753</v>
      </c>
      <c r="B208" s="38">
        <v>45107</v>
      </c>
      <c r="C208" s="40">
        <v>545</v>
      </c>
      <c r="D208" s="39" t="s">
        <v>459</v>
      </c>
      <c r="E208" s="1" t="s">
        <v>3754</v>
      </c>
      <c r="F208" s="36" t="s">
        <v>459</v>
      </c>
      <c r="G208" s="37" t="s">
        <v>459</v>
      </c>
      <c r="H208" s="40" t="s">
        <v>459</v>
      </c>
      <c r="I208" s="40" t="s">
        <v>2554</v>
      </c>
      <c r="J208" s="57">
        <v>1383782.3999999999</v>
      </c>
      <c r="K208" s="41">
        <v>0</v>
      </c>
      <c r="L208" s="30">
        <v>0</v>
      </c>
      <c r="M208" s="30">
        <v>0</v>
      </c>
      <c r="N208" s="40"/>
      <c r="O208" s="40"/>
      <c r="P208" s="40"/>
      <c r="Q208" s="44"/>
      <c r="R208" s="37"/>
      <c r="S208" s="37"/>
      <c r="T208" s="48"/>
      <c r="U208" s="30" t="e">
        <v>#DIV/0!</v>
      </c>
      <c r="V208" s="41" t="e">
        <v>#DIV/0!</v>
      </c>
      <c r="W208" s="41">
        <v>0</v>
      </c>
      <c r="X208" s="41">
        <v>0</v>
      </c>
      <c r="Y208" s="41">
        <v>0</v>
      </c>
      <c r="Z208" s="41" t="e">
        <v>#DIV/0!</v>
      </c>
      <c r="AA208" s="41">
        <v>0</v>
      </c>
      <c r="AB208" s="41" t="e">
        <v>#DIV/0!</v>
      </c>
      <c r="AC208" s="41">
        <v>0</v>
      </c>
      <c r="AD208" s="41">
        <v>0</v>
      </c>
      <c r="AE208" s="41" t="e">
        <v>#DIV/0!</v>
      </c>
      <c r="AF208" s="41">
        <v>0</v>
      </c>
      <c r="AG208" s="41" t="e">
        <v>#DIV/0!</v>
      </c>
      <c r="AH208" s="41">
        <v>0</v>
      </c>
      <c r="AI208" s="41">
        <v>0</v>
      </c>
      <c r="AJ208" s="41">
        <v>0</v>
      </c>
      <c r="AK208" s="41">
        <v>0</v>
      </c>
      <c r="AL208" s="41">
        <v>0</v>
      </c>
      <c r="AM208" s="41" t="e">
        <v>#DIV/0!</v>
      </c>
      <c r="AN208" s="41" t="e">
        <v>#DIV/0!</v>
      </c>
      <c r="AO208" s="41" t="e">
        <v>#DIV/0!</v>
      </c>
      <c r="AP208" s="40"/>
      <c r="AQ208" s="36">
        <v>45153</v>
      </c>
      <c r="AR208" s="36"/>
      <c r="AS208" s="36"/>
      <c r="AT208" s="36"/>
      <c r="AU208" s="36"/>
      <c r="AV208" s="38"/>
      <c r="AW208" s="40"/>
    </row>
    <row r="209" spans="1:49" ht="48" customHeight="1" x14ac:dyDescent="0.3">
      <c r="A209" s="35" t="s">
        <v>3772</v>
      </c>
      <c r="B209" s="38">
        <v>45107</v>
      </c>
      <c r="C209" s="40">
        <v>545</v>
      </c>
      <c r="D209" s="39"/>
      <c r="E209" s="1" t="s">
        <v>3773</v>
      </c>
      <c r="F209" s="36">
        <v>45131</v>
      </c>
      <c r="G209" s="37" t="s">
        <v>3774</v>
      </c>
      <c r="H209" s="40" t="s">
        <v>224</v>
      </c>
      <c r="I209" s="40" t="s">
        <v>1270</v>
      </c>
      <c r="J209" s="57">
        <v>35612121.600000001</v>
      </c>
      <c r="K209" s="41">
        <v>35612121.600000001</v>
      </c>
      <c r="L209" s="30">
        <v>35612121.600000001</v>
      </c>
      <c r="M209" s="30">
        <v>35612121.600000001</v>
      </c>
      <c r="N209" s="40" t="s">
        <v>1271</v>
      </c>
      <c r="O209" s="40" t="s">
        <v>1272</v>
      </c>
      <c r="P209" s="40" t="s">
        <v>199</v>
      </c>
      <c r="Q209" s="44">
        <v>0</v>
      </c>
      <c r="R209" s="37">
        <v>100</v>
      </c>
      <c r="S209" s="37" t="s">
        <v>219</v>
      </c>
      <c r="T209" s="48">
        <v>12</v>
      </c>
      <c r="U209" s="30">
        <v>247306.40000000002</v>
      </c>
      <c r="V209" s="41">
        <v>2967676.8000000003</v>
      </c>
      <c r="W209" s="41">
        <v>144</v>
      </c>
      <c r="X209" s="41">
        <v>144</v>
      </c>
      <c r="Y209" s="41">
        <v>0</v>
      </c>
      <c r="Z209" s="41">
        <v>0</v>
      </c>
      <c r="AA209" s="41">
        <v>0</v>
      </c>
      <c r="AB209" s="41">
        <v>0</v>
      </c>
      <c r="AC209" s="41">
        <v>0</v>
      </c>
      <c r="AD209" s="41">
        <v>0</v>
      </c>
      <c r="AE209" s="41">
        <v>0</v>
      </c>
      <c r="AF209" s="41">
        <v>0</v>
      </c>
      <c r="AG209" s="41">
        <v>0</v>
      </c>
      <c r="AH209" s="41">
        <v>0</v>
      </c>
      <c r="AI209" s="41">
        <v>0</v>
      </c>
      <c r="AJ209" s="41">
        <v>0</v>
      </c>
      <c r="AK209" s="41">
        <v>0</v>
      </c>
      <c r="AL209" s="41">
        <v>0</v>
      </c>
      <c r="AM209" s="41">
        <v>0</v>
      </c>
      <c r="AN209" s="41">
        <v>12</v>
      </c>
      <c r="AO209" s="41">
        <v>12</v>
      </c>
      <c r="AP209" s="40"/>
      <c r="AQ209" s="36">
        <v>45158</v>
      </c>
      <c r="AR209" s="36"/>
      <c r="AS209" s="36"/>
      <c r="AT209" s="36">
        <v>45174</v>
      </c>
      <c r="AU209" s="36"/>
      <c r="AV209" s="38"/>
      <c r="AW209" s="40" t="s">
        <v>87</v>
      </c>
    </row>
    <row r="210" spans="1:49" ht="48" customHeight="1" x14ac:dyDescent="0.3">
      <c r="A210" s="35" t="s">
        <v>3775</v>
      </c>
      <c r="B210" s="38">
        <v>45107</v>
      </c>
      <c r="C210" s="40">
        <v>545</v>
      </c>
      <c r="D210" s="39"/>
      <c r="E210" s="1" t="s">
        <v>3776</v>
      </c>
      <c r="F210" s="36">
        <v>45131</v>
      </c>
      <c r="G210" s="37" t="s">
        <v>3777</v>
      </c>
      <c r="H210" s="40" t="s">
        <v>878</v>
      </c>
      <c r="I210" s="40" t="s">
        <v>1486</v>
      </c>
      <c r="J210" s="57">
        <v>33308237</v>
      </c>
      <c r="K210" s="41">
        <v>33308237</v>
      </c>
      <c r="L210" s="30">
        <v>33308237</v>
      </c>
      <c r="M210" s="30">
        <v>33308237</v>
      </c>
      <c r="N210" s="40" t="s">
        <v>1487</v>
      </c>
      <c r="O210" s="40" t="s">
        <v>1488</v>
      </c>
      <c r="P210" s="40" t="s">
        <v>348</v>
      </c>
      <c r="Q210" s="44">
        <v>0</v>
      </c>
      <c r="R210" s="37">
        <v>100</v>
      </c>
      <c r="S210" s="37" t="s">
        <v>1489</v>
      </c>
      <c r="T210" s="48">
        <v>2</v>
      </c>
      <c r="U210" s="30">
        <v>333082.37</v>
      </c>
      <c r="V210" s="41">
        <v>666164.74</v>
      </c>
      <c r="W210" s="41">
        <v>100</v>
      </c>
      <c r="X210" s="41">
        <v>100</v>
      </c>
      <c r="Y210" s="41">
        <v>0</v>
      </c>
      <c r="Z210" s="41">
        <v>0</v>
      </c>
      <c r="AA210" s="41">
        <v>0</v>
      </c>
      <c r="AB210" s="41">
        <v>0</v>
      </c>
      <c r="AC210" s="41">
        <v>0</v>
      </c>
      <c r="AD210" s="41">
        <v>0</v>
      </c>
      <c r="AE210" s="41">
        <v>0</v>
      </c>
      <c r="AF210" s="41">
        <v>0</v>
      </c>
      <c r="AG210" s="41">
        <v>0</v>
      </c>
      <c r="AH210" s="41">
        <v>0</v>
      </c>
      <c r="AI210" s="41">
        <v>0</v>
      </c>
      <c r="AJ210" s="41">
        <v>0</v>
      </c>
      <c r="AK210" s="41">
        <v>0</v>
      </c>
      <c r="AL210" s="41">
        <v>0</v>
      </c>
      <c r="AM210" s="41">
        <v>0</v>
      </c>
      <c r="AN210" s="41">
        <v>50</v>
      </c>
      <c r="AO210" s="41">
        <v>50</v>
      </c>
      <c r="AP210" s="40"/>
      <c r="AQ210" s="36">
        <v>45170</v>
      </c>
      <c r="AR210" s="36"/>
      <c r="AS210" s="36"/>
      <c r="AT210" s="36">
        <v>45184</v>
      </c>
      <c r="AU210" s="36"/>
      <c r="AV210" s="38"/>
      <c r="AW210" s="40" t="s">
        <v>49</v>
      </c>
    </row>
    <row r="211" spans="1:49" ht="48" customHeight="1" x14ac:dyDescent="0.3">
      <c r="A211" s="35" t="s">
        <v>3778</v>
      </c>
      <c r="B211" s="38">
        <v>45107</v>
      </c>
      <c r="C211" s="40">
        <v>545</v>
      </c>
      <c r="D211" s="39"/>
      <c r="E211" s="1" t="s">
        <v>3779</v>
      </c>
      <c r="F211" s="36">
        <v>45131</v>
      </c>
      <c r="G211" s="37" t="s">
        <v>3780</v>
      </c>
      <c r="H211" s="40" t="s">
        <v>186</v>
      </c>
      <c r="I211" s="40" t="s">
        <v>1747</v>
      </c>
      <c r="J211" s="57">
        <v>56435148.25</v>
      </c>
      <c r="K211" s="41">
        <v>56435148.25</v>
      </c>
      <c r="L211" s="30">
        <v>56435148.25</v>
      </c>
      <c r="M211" s="30">
        <v>56435148.25</v>
      </c>
      <c r="N211" s="40" t="s">
        <v>1748</v>
      </c>
      <c r="O211" s="40" t="s">
        <v>1749</v>
      </c>
      <c r="P211" s="40" t="s">
        <v>190</v>
      </c>
      <c r="Q211" s="44">
        <v>0</v>
      </c>
      <c r="R211" s="37">
        <v>100</v>
      </c>
      <c r="S211" s="37" t="s">
        <v>219</v>
      </c>
      <c r="T211" s="48">
        <v>5</v>
      </c>
      <c r="U211" s="30">
        <v>868233.05</v>
      </c>
      <c r="V211" s="41">
        <v>4341165.25</v>
      </c>
      <c r="W211" s="41">
        <v>65</v>
      </c>
      <c r="X211" s="41">
        <v>65</v>
      </c>
      <c r="Y211" s="41">
        <v>0</v>
      </c>
      <c r="Z211" s="41">
        <v>0</v>
      </c>
      <c r="AA211" s="41">
        <v>0</v>
      </c>
      <c r="AB211" s="41">
        <v>0</v>
      </c>
      <c r="AC211" s="41">
        <v>0</v>
      </c>
      <c r="AD211" s="41">
        <v>0</v>
      </c>
      <c r="AE211" s="41">
        <v>0</v>
      </c>
      <c r="AF211" s="41">
        <v>0</v>
      </c>
      <c r="AG211" s="41">
        <v>0</v>
      </c>
      <c r="AH211" s="41">
        <v>0</v>
      </c>
      <c r="AI211" s="41">
        <v>0</v>
      </c>
      <c r="AJ211" s="41">
        <v>0</v>
      </c>
      <c r="AK211" s="41">
        <v>0</v>
      </c>
      <c r="AL211" s="41">
        <v>0</v>
      </c>
      <c r="AM211" s="41">
        <v>0</v>
      </c>
      <c r="AN211" s="41">
        <v>13</v>
      </c>
      <c r="AO211" s="41">
        <v>13</v>
      </c>
      <c r="AP211" s="40"/>
      <c r="AQ211" s="36">
        <v>45169</v>
      </c>
      <c r="AR211" s="36"/>
      <c r="AS211" s="36"/>
      <c r="AT211" s="36">
        <v>45184</v>
      </c>
      <c r="AU211" s="36"/>
      <c r="AV211" s="38"/>
      <c r="AW211" s="40" t="s">
        <v>49</v>
      </c>
    </row>
    <row r="212" spans="1:49" ht="48" customHeight="1" x14ac:dyDescent="0.3">
      <c r="A212" s="35" t="s">
        <v>3781</v>
      </c>
      <c r="B212" s="38">
        <v>45107</v>
      </c>
      <c r="C212" s="40">
        <v>545</v>
      </c>
      <c r="D212" s="39"/>
      <c r="E212" s="1" t="s">
        <v>3782</v>
      </c>
      <c r="F212" s="36">
        <v>45131</v>
      </c>
      <c r="G212" s="37" t="s">
        <v>3783</v>
      </c>
      <c r="H212" s="40" t="s">
        <v>1392</v>
      </c>
      <c r="I212" s="40" t="s">
        <v>3455</v>
      </c>
      <c r="J212" s="57">
        <v>16677760</v>
      </c>
      <c r="K212" s="41">
        <v>16677760</v>
      </c>
      <c r="L212" s="30">
        <v>16677760</v>
      </c>
      <c r="M212" s="30">
        <v>16677760</v>
      </c>
      <c r="N212" s="40" t="s">
        <v>3021</v>
      </c>
      <c r="O212" s="40" t="s">
        <v>3784</v>
      </c>
      <c r="P212" s="40" t="s">
        <v>218</v>
      </c>
      <c r="Q212" s="44">
        <v>0</v>
      </c>
      <c r="R212" s="37">
        <v>100</v>
      </c>
      <c r="S212" s="37" t="s">
        <v>219</v>
      </c>
      <c r="T212" s="48">
        <v>2</v>
      </c>
      <c r="U212" s="30">
        <v>521180</v>
      </c>
      <c r="V212" s="41">
        <v>1042360</v>
      </c>
      <c r="W212" s="41">
        <v>32</v>
      </c>
      <c r="X212" s="41">
        <v>32</v>
      </c>
      <c r="Y212" s="41">
        <v>0</v>
      </c>
      <c r="Z212" s="41">
        <v>0</v>
      </c>
      <c r="AA212" s="41">
        <v>0</v>
      </c>
      <c r="AB212" s="41">
        <v>0</v>
      </c>
      <c r="AC212" s="41">
        <v>0</v>
      </c>
      <c r="AD212" s="41">
        <v>0</v>
      </c>
      <c r="AE212" s="41">
        <v>0</v>
      </c>
      <c r="AF212" s="41">
        <v>0</v>
      </c>
      <c r="AG212" s="41">
        <v>0</v>
      </c>
      <c r="AH212" s="41">
        <v>0</v>
      </c>
      <c r="AI212" s="41">
        <v>0</v>
      </c>
      <c r="AJ212" s="41">
        <v>0</v>
      </c>
      <c r="AK212" s="41">
        <v>0</v>
      </c>
      <c r="AL212" s="41">
        <v>0</v>
      </c>
      <c r="AM212" s="41">
        <v>0</v>
      </c>
      <c r="AN212" s="41">
        <v>16</v>
      </c>
      <c r="AO212" s="41">
        <v>16</v>
      </c>
      <c r="AP212" s="40"/>
      <c r="AQ212" s="36">
        <v>45153</v>
      </c>
      <c r="AR212" s="36"/>
      <c r="AS212" s="36"/>
      <c r="AT212" s="36">
        <v>45168</v>
      </c>
      <c r="AU212" s="36"/>
      <c r="AV212" s="38"/>
      <c r="AW212" s="40" t="s">
        <v>49</v>
      </c>
    </row>
    <row r="213" spans="1:49" ht="48" customHeight="1" x14ac:dyDescent="0.3">
      <c r="A213" s="35" t="s">
        <v>3785</v>
      </c>
      <c r="B213" s="38">
        <v>45107</v>
      </c>
      <c r="C213" s="40">
        <v>545</v>
      </c>
      <c r="D213" s="39"/>
      <c r="E213" s="1" t="s">
        <v>3786</v>
      </c>
      <c r="F213" s="36">
        <v>45131</v>
      </c>
      <c r="G213" s="37" t="s">
        <v>3787</v>
      </c>
      <c r="H213" s="40" t="s">
        <v>224</v>
      </c>
      <c r="I213" s="40" t="s">
        <v>1906</v>
      </c>
      <c r="J213" s="57">
        <v>52659274.799999997</v>
      </c>
      <c r="K213" s="41">
        <v>52659274.799999997</v>
      </c>
      <c r="L213" s="30">
        <v>52659274.799999997</v>
      </c>
      <c r="M213" s="30">
        <v>52659274.799999997</v>
      </c>
      <c r="N213" s="40" t="s">
        <v>3788</v>
      </c>
      <c r="O213" s="40" t="s">
        <v>2440</v>
      </c>
      <c r="P213" s="40" t="s">
        <v>2394</v>
      </c>
      <c r="Q213" s="44">
        <v>0</v>
      </c>
      <c r="R213" s="37">
        <v>100</v>
      </c>
      <c r="S213" s="37" t="s">
        <v>1489</v>
      </c>
      <c r="T213" s="48">
        <v>120</v>
      </c>
      <c r="U213" s="30">
        <v>25813.37</v>
      </c>
      <c r="V213" s="41">
        <v>3097604.4</v>
      </c>
      <c r="W213" s="41">
        <v>2040</v>
      </c>
      <c r="X213" s="41">
        <v>2040</v>
      </c>
      <c r="Y213" s="41">
        <v>0</v>
      </c>
      <c r="Z213" s="41">
        <v>0</v>
      </c>
      <c r="AA213" s="41">
        <v>0</v>
      </c>
      <c r="AB213" s="41">
        <v>0</v>
      </c>
      <c r="AC213" s="41">
        <v>0</v>
      </c>
      <c r="AD213" s="41">
        <v>0</v>
      </c>
      <c r="AE213" s="41">
        <v>0</v>
      </c>
      <c r="AF213" s="41">
        <v>0</v>
      </c>
      <c r="AG213" s="41">
        <v>0</v>
      </c>
      <c r="AH213" s="41">
        <v>0</v>
      </c>
      <c r="AI213" s="41">
        <v>0</v>
      </c>
      <c r="AJ213" s="41">
        <v>0</v>
      </c>
      <c r="AK213" s="41">
        <v>0</v>
      </c>
      <c r="AL213" s="41">
        <v>0</v>
      </c>
      <c r="AM213" s="41">
        <v>0</v>
      </c>
      <c r="AN213" s="41">
        <v>17</v>
      </c>
      <c r="AO213" s="41">
        <v>17</v>
      </c>
      <c r="AP213" s="40" t="s">
        <v>3789</v>
      </c>
      <c r="AQ213" s="36">
        <v>45170</v>
      </c>
      <c r="AR213" s="36"/>
      <c r="AS213" s="36"/>
      <c r="AT213" s="36">
        <v>45184</v>
      </c>
      <c r="AU213" s="36"/>
      <c r="AV213" s="38"/>
      <c r="AW213" s="40" t="s">
        <v>49</v>
      </c>
    </row>
    <row r="214" spans="1:49" ht="48" customHeight="1" x14ac:dyDescent="0.3">
      <c r="A214" s="35" t="s">
        <v>3795</v>
      </c>
      <c r="B214" s="38">
        <v>45107</v>
      </c>
      <c r="C214" s="40">
        <v>545</v>
      </c>
      <c r="D214" s="39"/>
      <c r="E214" s="1" t="s">
        <v>3796</v>
      </c>
      <c r="F214" s="36">
        <v>45131</v>
      </c>
      <c r="G214" s="37" t="s">
        <v>3797</v>
      </c>
      <c r="H214" s="40" t="s">
        <v>1392</v>
      </c>
      <c r="I214" s="40" t="s">
        <v>1393</v>
      </c>
      <c r="J214" s="57">
        <v>25623936.800000001</v>
      </c>
      <c r="K214" s="41">
        <v>25623936.800000001</v>
      </c>
      <c r="L214" s="30">
        <v>33160388.800000001</v>
      </c>
      <c r="M214" s="30">
        <v>33160388.800000001</v>
      </c>
      <c r="N214" s="40" t="s">
        <v>1394</v>
      </c>
      <c r="O214" s="40" t="s">
        <v>1395</v>
      </c>
      <c r="P214" s="40" t="s">
        <v>190</v>
      </c>
      <c r="Q214" s="44">
        <v>0</v>
      </c>
      <c r="R214" s="37">
        <v>100</v>
      </c>
      <c r="S214" s="37" t="s">
        <v>584</v>
      </c>
      <c r="T214" s="48">
        <v>140</v>
      </c>
      <c r="U214" s="30">
        <v>10766.36</v>
      </c>
      <c r="V214" s="41">
        <v>1507290.4000000001</v>
      </c>
      <c r="W214" s="41">
        <v>3080</v>
      </c>
      <c r="X214" s="41">
        <v>3080</v>
      </c>
      <c r="Y214" s="41">
        <v>0</v>
      </c>
      <c r="Z214" s="41">
        <v>0</v>
      </c>
      <c r="AA214" s="41">
        <v>0</v>
      </c>
      <c r="AB214" s="41">
        <v>0</v>
      </c>
      <c r="AC214" s="41">
        <v>0</v>
      </c>
      <c r="AD214" s="41">
        <v>0</v>
      </c>
      <c r="AE214" s="41">
        <v>0</v>
      </c>
      <c r="AF214" s="41">
        <v>0</v>
      </c>
      <c r="AG214" s="41">
        <v>0</v>
      </c>
      <c r="AH214" s="41">
        <v>0</v>
      </c>
      <c r="AI214" s="41">
        <v>0</v>
      </c>
      <c r="AJ214" s="41">
        <v>0</v>
      </c>
      <c r="AK214" s="41">
        <v>0</v>
      </c>
      <c r="AL214" s="41">
        <v>0</v>
      </c>
      <c r="AM214" s="41">
        <v>0</v>
      </c>
      <c r="AN214" s="41">
        <v>22</v>
      </c>
      <c r="AO214" s="41">
        <v>22</v>
      </c>
      <c r="AP214" s="40"/>
      <c r="AQ214" s="36">
        <v>45153</v>
      </c>
      <c r="AR214" s="36"/>
      <c r="AS214" s="36"/>
      <c r="AT214" s="36">
        <v>45168</v>
      </c>
      <c r="AU214" s="36"/>
      <c r="AV214" s="38"/>
      <c r="AW214" s="40" t="s">
        <v>49</v>
      </c>
    </row>
    <row r="215" spans="1:49" ht="48" customHeight="1" x14ac:dyDescent="0.3">
      <c r="A215" s="35" t="s">
        <v>3818</v>
      </c>
      <c r="B215" s="38">
        <v>45107</v>
      </c>
      <c r="C215" s="40">
        <v>545</v>
      </c>
      <c r="D215" s="39"/>
      <c r="E215" s="1" t="s">
        <v>3819</v>
      </c>
      <c r="F215" s="36">
        <v>45131</v>
      </c>
      <c r="G215" s="37" t="s">
        <v>3820</v>
      </c>
      <c r="H215" s="40" t="s">
        <v>802</v>
      </c>
      <c r="I215" s="40" t="s">
        <v>2791</v>
      </c>
      <c r="J215" s="57">
        <v>26544154.559999999</v>
      </c>
      <c r="K215" s="41">
        <v>26544154.559999999</v>
      </c>
      <c r="L215" s="30">
        <v>30083375.170000002</v>
      </c>
      <c r="M215" s="30">
        <v>30083375.170000002</v>
      </c>
      <c r="N215" s="40" t="s">
        <v>1521</v>
      </c>
      <c r="O215" s="40" t="s">
        <v>3821</v>
      </c>
      <c r="P215" s="40" t="s">
        <v>2622</v>
      </c>
      <c r="Q215" s="44">
        <v>0</v>
      </c>
      <c r="R215" s="37">
        <v>100</v>
      </c>
      <c r="S215" s="37" t="s">
        <v>584</v>
      </c>
      <c r="T215" s="67">
        <v>18541.599999999999</v>
      </c>
      <c r="U215" s="30">
        <v>47.720000003172515</v>
      </c>
      <c r="V215" s="41">
        <v>884805.15205882338</v>
      </c>
      <c r="W215" s="41">
        <v>630414.4</v>
      </c>
      <c r="X215" s="41">
        <v>630414.4</v>
      </c>
      <c r="Y215" s="41">
        <v>0</v>
      </c>
      <c r="Z215" s="41">
        <v>0</v>
      </c>
      <c r="AA215" s="41">
        <v>0</v>
      </c>
      <c r="AB215" s="41">
        <v>0</v>
      </c>
      <c r="AC215" s="41">
        <v>0</v>
      </c>
      <c r="AD215" s="41">
        <v>0</v>
      </c>
      <c r="AE215" s="41">
        <v>0</v>
      </c>
      <c r="AF215" s="41">
        <v>0</v>
      </c>
      <c r="AG215" s="41">
        <v>0</v>
      </c>
      <c r="AH215" s="41">
        <v>0</v>
      </c>
      <c r="AI215" s="41">
        <v>0</v>
      </c>
      <c r="AJ215" s="41">
        <v>0</v>
      </c>
      <c r="AK215" s="41">
        <v>0</v>
      </c>
      <c r="AL215" s="41">
        <v>0</v>
      </c>
      <c r="AM215" s="41">
        <v>0</v>
      </c>
      <c r="AN215" s="41">
        <v>34.000000000000007</v>
      </c>
      <c r="AO215" s="41">
        <v>34</v>
      </c>
      <c r="AP215" s="40" t="s">
        <v>3822</v>
      </c>
      <c r="AQ215" s="36">
        <v>45230</v>
      </c>
      <c r="AR215" s="36"/>
      <c r="AS215" s="36"/>
      <c r="AT215" s="36">
        <v>45245</v>
      </c>
      <c r="AU215" s="36"/>
      <c r="AV215" s="38"/>
      <c r="AW215" s="40" t="s">
        <v>49</v>
      </c>
    </row>
    <row r="216" spans="1:49" ht="48" customHeight="1" x14ac:dyDescent="0.3">
      <c r="A216" s="35" t="s">
        <v>3823</v>
      </c>
      <c r="B216" s="38">
        <v>45107</v>
      </c>
      <c r="C216" s="40">
        <v>545</v>
      </c>
      <c r="D216" s="39"/>
      <c r="E216" s="1" t="s">
        <v>3824</v>
      </c>
      <c r="F216" s="36">
        <v>45131</v>
      </c>
      <c r="G216" s="37" t="s">
        <v>3825</v>
      </c>
      <c r="H216" s="40" t="s">
        <v>878</v>
      </c>
      <c r="I216" s="40" t="s">
        <v>3826</v>
      </c>
      <c r="J216" s="57">
        <v>3697719.3</v>
      </c>
      <c r="K216" s="41">
        <v>3697719.3</v>
      </c>
      <c r="L216" s="30">
        <v>3697719.3</v>
      </c>
      <c r="M216" s="30">
        <v>3697719.3</v>
      </c>
      <c r="N216" s="40" t="s">
        <v>1536</v>
      </c>
      <c r="O216" s="40" t="s">
        <v>1963</v>
      </c>
      <c r="P216" s="40" t="s">
        <v>348</v>
      </c>
      <c r="Q216" s="44">
        <v>0</v>
      </c>
      <c r="R216" s="37">
        <v>100</v>
      </c>
      <c r="S216" s="37" t="s">
        <v>1964</v>
      </c>
      <c r="T216" s="48">
        <v>30</v>
      </c>
      <c r="U216" s="30">
        <v>970.53</v>
      </c>
      <c r="V216" s="41">
        <v>29115.899999999998</v>
      </c>
      <c r="W216" s="41">
        <v>3810</v>
      </c>
      <c r="X216" s="41">
        <v>3810</v>
      </c>
      <c r="Y216" s="41">
        <v>0</v>
      </c>
      <c r="Z216" s="41">
        <v>0</v>
      </c>
      <c r="AA216" s="41">
        <v>0</v>
      </c>
      <c r="AB216" s="41">
        <v>0</v>
      </c>
      <c r="AC216" s="41">
        <v>0</v>
      </c>
      <c r="AD216" s="41">
        <v>0</v>
      </c>
      <c r="AE216" s="41">
        <v>0</v>
      </c>
      <c r="AF216" s="41">
        <v>0</v>
      </c>
      <c r="AG216" s="41">
        <v>0</v>
      </c>
      <c r="AH216" s="41">
        <v>0</v>
      </c>
      <c r="AI216" s="41">
        <v>0</v>
      </c>
      <c r="AJ216" s="41">
        <v>0</v>
      </c>
      <c r="AK216" s="41">
        <v>0</v>
      </c>
      <c r="AL216" s="41">
        <v>0</v>
      </c>
      <c r="AM216" s="41">
        <v>0</v>
      </c>
      <c r="AN216" s="41">
        <v>127</v>
      </c>
      <c r="AO216" s="41">
        <v>127</v>
      </c>
      <c r="AP216" s="40" t="s">
        <v>3827</v>
      </c>
      <c r="AQ216" s="36">
        <v>45153</v>
      </c>
      <c r="AR216" s="36"/>
      <c r="AS216" s="36"/>
      <c r="AT216" s="36">
        <v>45168</v>
      </c>
      <c r="AU216" s="36"/>
      <c r="AV216" s="38"/>
      <c r="AW216" s="40" t="s">
        <v>49</v>
      </c>
    </row>
    <row r="217" spans="1:49" ht="48" customHeight="1" x14ac:dyDescent="0.3">
      <c r="A217" s="35" t="s">
        <v>3828</v>
      </c>
      <c r="B217" s="38">
        <v>45107</v>
      </c>
      <c r="C217" s="40">
        <v>545</v>
      </c>
      <c r="D217" s="39" t="s">
        <v>459</v>
      </c>
      <c r="E217" s="1" t="s">
        <v>3829</v>
      </c>
      <c r="F217" s="36" t="s">
        <v>459</v>
      </c>
      <c r="G217" s="37" t="s">
        <v>459</v>
      </c>
      <c r="H217" s="40" t="s">
        <v>459</v>
      </c>
      <c r="I217" s="40" t="s">
        <v>1520</v>
      </c>
      <c r="J217" s="57">
        <v>37155541.25</v>
      </c>
      <c r="K217" s="41">
        <v>0</v>
      </c>
      <c r="L217" s="30">
        <v>0</v>
      </c>
      <c r="M217" s="30">
        <v>0</v>
      </c>
      <c r="N217" s="40"/>
      <c r="O217" s="40"/>
      <c r="P217" s="40"/>
      <c r="Q217" s="44"/>
      <c r="R217" s="37"/>
      <c r="S217" s="37"/>
      <c r="T217" s="48"/>
      <c r="U217" s="30" t="e">
        <v>#DIV/0!</v>
      </c>
      <c r="V217" s="41" t="e">
        <v>#DIV/0!</v>
      </c>
      <c r="W217" s="41">
        <v>0</v>
      </c>
      <c r="X217" s="41">
        <v>0</v>
      </c>
      <c r="Y217" s="41">
        <v>0</v>
      </c>
      <c r="Z217" s="41" t="e">
        <v>#DIV/0!</v>
      </c>
      <c r="AA217" s="41">
        <v>0</v>
      </c>
      <c r="AB217" s="41" t="e">
        <v>#DIV/0!</v>
      </c>
      <c r="AC217" s="41">
        <v>0</v>
      </c>
      <c r="AD217" s="41">
        <v>0</v>
      </c>
      <c r="AE217" s="41" t="e">
        <v>#DIV/0!</v>
      </c>
      <c r="AF217" s="41">
        <v>0</v>
      </c>
      <c r="AG217" s="41" t="e">
        <v>#DIV/0!</v>
      </c>
      <c r="AH217" s="41">
        <v>0</v>
      </c>
      <c r="AI217" s="41">
        <v>0</v>
      </c>
      <c r="AJ217" s="41">
        <v>0</v>
      </c>
      <c r="AK217" s="41">
        <v>0</v>
      </c>
      <c r="AL217" s="41">
        <v>0</v>
      </c>
      <c r="AM217" s="41" t="e">
        <v>#DIV/0!</v>
      </c>
      <c r="AN217" s="41" t="e">
        <v>#DIV/0!</v>
      </c>
      <c r="AO217" s="41" t="e">
        <v>#DIV/0!</v>
      </c>
      <c r="AP217" s="40"/>
      <c r="AQ217" s="36">
        <v>45169</v>
      </c>
      <c r="AR217" s="36"/>
      <c r="AS217" s="36"/>
      <c r="AT217" s="36"/>
      <c r="AU217" s="36"/>
      <c r="AV217" s="38"/>
      <c r="AW217" s="40"/>
    </row>
    <row r="218" spans="1:49" ht="48" customHeight="1" x14ac:dyDescent="0.3">
      <c r="A218" s="35" t="s">
        <v>3830</v>
      </c>
      <c r="B218" s="38">
        <v>45107</v>
      </c>
      <c r="C218" s="40">
        <v>545</v>
      </c>
      <c r="D218" s="39"/>
      <c r="E218" s="1" t="s">
        <v>3831</v>
      </c>
      <c r="F218" s="36">
        <v>45131</v>
      </c>
      <c r="G218" s="37" t="s">
        <v>3832</v>
      </c>
      <c r="H218" s="40" t="s">
        <v>224</v>
      </c>
      <c r="I218" s="40" t="s">
        <v>1339</v>
      </c>
      <c r="J218" s="57">
        <v>32538000</v>
      </c>
      <c r="K218" s="41">
        <v>32538000</v>
      </c>
      <c r="L218" s="30">
        <v>32538000</v>
      </c>
      <c r="M218" s="30">
        <v>32538000</v>
      </c>
      <c r="N218" s="40" t="s">
        <v>1300</v>
      </c>
      <c r="O218" s="40" t="s">
        <v>3348</v>
      </c>
      <c r="P218" s="40" t="s">
        <v>1032</v>
      </c>
      <c r="Q218" s="44">
        <v>0</v>
      </c>
      <c r="R218" s="37">
        <v>100</v>
      </c>
      <c r="S218" s="37" t="s">
        <v>1964</v>
      </c>
      <c r="T218" s="48">
        <v>60</v>
      </c>
      <c r="U218" s="30">
        <v>15950</v>
      </c>
      <c r="V218" s="41">
        <v>957000</v>
      </c>
      <c r="W218" s="41">
        <v>2040</v>
      </c>
      <c r="X218" s="41">
        <v>2040</v>
      </c>
      <c r="Y218" s="41">
        <v>0</v>
      </c>
      <c r="Z218" s="41">
        <v>0</v>
      </c>
      <c r="AA218" s="41">
        <v>0</v>
      </c>
      <c r="AB218" s="41">
        <v>0</v>
      </c>
      <c r="AC218" s="41">
        <v>0</v>
      </c>
      <c r="AD218" s="41">
        <v>0</v>
      </c>
      <c r="AE218" s="41">
        <v>0</v>
      </c>
      <c r="AF218" s="41">
        <v>0</v>
      </c>
      <c r="AG218" s="41">
        <v>0</v>
      </c>
      <c r="AH218" s="41">
        <v>0</v>
      </c>
      <c r="AI218" s="41">
        <v>0</v>
      </c>
      <c r="AJ218" s="41">
        <v>0</v>
      </c>
      <c r="AK218" s="41">
        <v>0</v>
      </c>
      <c r="AL218" s="41">
        <v>0</v>
      </c>
      <c r="AM218" s="41">
        <v>0</v>
      </c>
      <c r="AN218" s="41">
        <v>34</v>
      </c>
      <c r="AO218" s="41">
        <v>34</v>
      </c>
      <c r="AP218" s="40" t="s">
        <v>3833</v>
      </c>
      <c r="AQ218" s="36">
        <v>45214</v>
      </c>
      <c r="AR218" s="36"/>
      <c r="AS218" s="36"/>
      <c r="AT218" s="36">
        <v>45229</v>
      </c>
      <c r="AU218" s="36"/>
      <c r="AV218" s="38"/>
      <c r="AW218" s="40" t="s">
        <v>49</v>
      </c>
    </row>
    <row r="219" spans="1:49" s="34" customFormat="1" ht="48" customHeight="1" x14ac:dyDescent="0.3">
      <c r="A219" s="35" t="s">
        <v>3846</v>
      </c>
      <c r="B219" s="38">
        <v>45107</v>
      </c>
      <c r="C219" s="40">
        <v>545</v>
      </c>
      <c r="D219" s="39"/>
      <c r="E219" s="1" t="s">
        <v>3847</v>
      </c>
      <c r="F219" s="36">
        <v>45131</v>
      </c>
      <c r="G219" s="37" t="s">
        <v>3848</v>
      </c>
      <c r="H219" s="40" t="s">
        <v>878</v>
      </c>
      <c r="I219" s="40" t="s">
        <v>2554</v>
      </c>
      <c r="J219" s="57">
        <v>3142854</v>
      </c>
      <c r="K219" s="41">
        <v>3142854</v>
      </c>
      <c r="L219" s="30">
        <v>3142854</v>
      </c>
      <c r="M219" s="30">
        <v>3142854</v>
      </c>
      <c r="N219" s="40" t="s">
        <v>3285</v>
      </c>
      <c r="O219" s="40" t="s">
        <v>3286</v>
      </c>
      <c r="P219" s="40" t="s">
        <v>218</v>
      </c>
      <c r="Q219" s="44">
        <v>0</v>
      </c>
      <c r="R219" s="37">
        <v>100</v>
      </c>
      <c r="S219" s="37" t="s">
        <v>1964</v>
      </c>
      <c r="T219" s="48">
        <v>60</v>
      </c>
      <c r="U219" s="30">
        <v>4029.3</v>
      </c>
      <c r="V219" s="41">
        <v>241758</v>
      </c>
      <c r="W219" s="41">
        <v>780</v>
      </c>
      <c r="X219" s="41">
        <v>780</v>
      </c>
      <c r="Y219" s="41">
        <v>0</v>
      </c>
      <c r="Z219" s="41">
        <v>0</v>
      </c>
      <c r="AA219" s="41">
        <v>0</v>
      </c>
      <c r="AB219" s="41">
        <v>0</v>
      </c>
      <c r="AC219" s="41">
        <v>0</v>
      </c>
      <c r="AD219" s="41">
        <v>0</v>
      </c>
      <c r="AE219" s="41">
        <v>0</v>
      </c>
      <c r="AF219" s="41">
        <v>0</v>
      </c>
      <c r="AG219" s="41">
        <v>0</v>
      </c>
      <c r="AH219" s="41">
        <v>0</v>
      </c>
      <c r="AI219" s="41">
        <v>0</v>
      </c>
      <c r="AJ219" s="41">
        <v>0</v>
      </c>
      <c r="AK219" s="41">
        <v>0</v>
      </c>
      <c r="AL219" s="41">
        <v>0</v>
      </c>
      <c r="AM219" s="41">
        <v>0</v>
      </c>
      <c r="AN219" s="41">
        <v>13</v>
      </c>
      <c r="AO219" s="41">
        <v>13</v>
      </c>
      <c r="AP219" s="40" t="s">
        <v>3849</v>
      </c>
      <c r="AQ219" s="36">
        <v>45139</v>
      </c>
      <c r="AR219" s="36"/>
      <c r="AS219" s="36"/>
      <c r="AT219" s="36">
        <v>45153</v>
      </c>
      <c r="AU219" s="36"/>
      <c r="AV219" s="38"/>
      <c r="AW219" s="40" t="s">
        <v>87</v>
      </c>
    </row>
    <row r="220" spans="1:49" s="34" customFormat="1" ht="63.75" customHeight="1" x14ac:dyDescent="0.3">
      <c r="A220" s="35" t="s">
        <v>3865</v>
      </c>
      <c r="B220" s="38">
        <v>45125</v>
      </c>
      <c r="C220" s="40">
        <v>545</v>
      </c>
      <c r="D220" s="39"/>
      <c r="E220" s="1" t="s">
        <v>3866</v>
      </c>
      <c r="F220" s="36">
        <v>45145</v>
      </c>
      <c r="G220" s="37" t="s">
        <v>3867</v>
      </c>
      <c r="H220" s="40" t="s">
        <v>224</v>
      </c>
      <c r="I220" s="40" t="s">
        <v>1660</v>
      </c>
      <c r="J220" s="57">
        <v>5808008.25</v>
      </c>
      <c r="K220" s="41">
        <v>5808008.25</v>
      </c>
      <c r="L220" s="30">
        <v>5808008.25</v>
      </c>
      <c r="M220" s="30">
        <v>5808008.25</v>
      </c>
      <c r="N220" s="40" t="s">
        <v>2392</v>
      </c>
      <c r="O220" s="40" t="s">
        <v>2413</v>
      </c>
      <c r="P220" s="40" t="s">
        <v>2394</v>
      </c>
      <c r="Q220" s="44">
        <v>0</v>
      </c>
      <c r="R220" s="37">
        <v>100</v>
      </c>
      <c r="S220" s="37" t="s">
        <v>1489</v>
      </c>
      <c r="T220" s="48">
        <v>15</v>
      </c>
      <c r="U220" s="30">
        <v>25813.37</v>
      </c>
      <c r="V220" s="41">
        <v>387200.55</v>
      </c>
      <c r="W220" s="41">
        <v>225</v>
      </c>
      <c r="X220" s="41">
        <v>225</v>
      </c>
      <c r="Y220" s="41">
        <v>0</v>
      </c>
      <c r="Z220" s="41">
        <v>0</v>
      </c>
      <c r="AA220" s="41">
        <v>0</v>
      </c>
      <c r="AB220" s="41">
        <v>0</v>
      </c>
      <c r="AC220" s="41">
        <v>0</v>
      </c>
      <c r="AD220" s="41">
        <v>0</v>
      </c>
      <c r="AE220" s="41">
        <v>0</v>
      </c>
      <c r="AF220" s="41">
        <v>0</v>
      </c>
      <c r="AG220" s="41">
        <v>0</v>
      </c>
      <c r="AH220" s="41">
        <v>0</v>
      </c>
      <c r="AI220" s="41">
        <v>0</v>
      </c>
      <c r="AJ220" s="41">
        <v>0</v>
      </c>
      <c r="AK220" s="41">
        <v>0</v>
      </c>
      <c r="AL220" s="41">
        <v>0</v>
      </c>
      <c r="AM220" s="41">
        <v>0</v>
      </c>
      <c r="AN220" s="41">
        <v>15</v>
      </c>
      <c r="AO220" s="41">
        <v>15</v>
      </c>
      <c r="AP220" s="40" t="s">
        <v>3868</v>
      </c>
      <c r="AQ220" s="36">
        <v>45153</v>
      </c>
      <c r="AR220" s="36"/>
      <c r="AS220" s="36"/>
      <c r="AT220" s="36">
        <v>45168</v>
      </c>
      <c r="AU220" s="36"/>
      <c r="AV220" s="38"/>
      <c r="AW220" s="40" t="s">
        <v>49</v>
      </c>
    </row>
    <row r="221" spans="1:49" s="34" customFormat="1" ht="63.75" customHeight="1" x14ac:dyDescent="0.3">
      <c r="A221" s="35" t="s">
        <v>3869</v>
      </c>
      <c r="B221" s="38">
        <v>45125</v>
      </c>
      <c r="C221" s="40">
        <v>545</v>
      </c>
      <c r="D221" s="39"/>
      <c r="E221" s="1" t="s">
        <v>3870</v>
      </c>
      <c r="F221" s="36">
        <v>45145</v>
      </c>
      <c r="G221" s="37" t="s">
        <v>3871</v>
      </c>
      <c r="H221" s="40" t="s">
        <v>224</v>
      </c>
      <c r="I221" s="40" t="s">
        <v>1314</v>
      </c>
      <c r="J221" s="57">
        <v>55123200</v>
      </c>
      <c r="K221" s="41">
        <v>55123200</v>
      </c>
      <c r="L221" s="30">
        <v>55123200</v>
      </c>
      <c r="M221" s="30">
        <v>55123200</v>
      </c>
      <c r="N221" s="40" t="s">
        <v>1300</v>
      </c>
      <c r="O221" s="40" t="s">
        <v>1308</v>
      </c>
      <c r="P221" s="40" t="s">
        <v>1032</v>
      </c>
      <c r="Q221" s="44">
        <v>0</v>
      </c>
      <c r="R221" s="37">
        <v>100</v>
      </c>
      <c r="S221" s="37" t="s">
        <v>1964</v>
      </c>
      <c r="T221" s="48">
        <v>60</v>
      </c>
      <c r="U221" s="30">
        <v>6380</v>
      </c>
      <c r="V221" s="41">
        <v>382800</v>
      </c>
      <c r="W221" s="41">
        <v>8640</v>
      </c>
      <c r="X221" s="41">
        <v>8640</v>
      </c>
      <c r="Y221" s="41">
        <v>0</v>
      </c>
      <c r="Z221" s="41">
        <v>0</v>
      </c>
      <c r="AA221" s="41">
        <v>0</v>
      </c>
      <c r="AB221" s="41">
        <v>0</v>
      </c>
      <c r="AC221" s="41">
        <v>0</v>
      </c>
      <c r="AD221" s="41">
        <v>0</v>
      </c>
      <c r="AE221" s="41">
        <v>0</v>
      </c>
      <c r="AF221" s="41">
        <v>0</v>
      </c>
      <c r="AG221" s="41">
        <v>0</v>
      </c>
      <c r="AH221" s="41">
        <v>0</v>
      </c>
      <c r="AI221" s="41">
        <v>0</v>
      </c>
      <c r="AJ221" s="41">
        <v>0</v>
      </c>
      <c r="AK221" s="41">
        <v>0</v>
      </c>
      <c r="AL221" s="41">
        <v>0</v>
      </c>
      <c r="AM221" s="41">
        <v>0</v>
      </c>
      <c r="AN221" s="41">
        <v>144</v>
      </c>
      <c r="AO221" s="41">
        <v>144</v>
      </c>
      <c r="AP221" s="40" t="s">
        <v>3872</v>
      </c>
      <c r="AQ221" s="36">
        <v>45214</v>
      </c>
      <c r="AR221" s="36"/>
      <c r="AS221" s="36"/>
      <c r="AT221" s="36">
        <v>45229</v>
      </c>
      <c r="AU221" s="36"/>
      <c r="AV221" s="38"/>
      <c r="AW221" s="40" t="s">
        <v>49</v>
      </c>
    </row>
    <row r="222" spans="1:49" s="34" customFormat="1" ht="63.75" customHeight="1" x14ac:dyDescent="0.3">
      <c r="A222" s="35" t="s">
        <v>3873</v>
      </c>
      <c r="B222" s="38">
        <v>45125</v>
      </c>
      <c r="C222" s="40">
        <v>545</v>
      </c>
      <c r="D222" s="39"/>
      <c r="E222" s="1" t="s">
        <v>3874</v>
      </c>
      <c r="F222" s="36">
        <v>45145</v>
      </c>
      <c r="G222" s="37" t="s">
        <v>3875</v>
      </c>
      <c r="H222" s="40" t="s">
        <v>878</v>
      </c>
      <c r="I222" s="40" t="s">
        <v>1427</v>
      </c>
      <c r="J222" s="57">
        <v>1632193.2</v>
      </c>
      <c r="K222" s="41">
        <v>1632193.2</v>
      </c>
      <c r="L222" s="30">
        <v>1632193.2</v>
      </c>
      <c r="M222" s="30">
        <v>1632193.2</v>
      </c>
      <c r="N222" s="40" t="s">
        <v>1421</v>
      </c>
      <c r="O222" s="40" t="s">
        <v>1428</v>
      </c>
      <c r="P222" s="40" t="s">
        <v>218</v>
      </c>
      <c r="Q222" s="44">
        <v>0</v>
      </c>
      <c r="R222" s="37">
        <v>100</v>
      </c>
      <c r="S222" s="37" t="s">
        <v>1964</v>
      </c>
      <c r="T222" s="48">
        <v>60</v>
      </c>
      <c r="U222" s="30">
        <v>3022.58</v>
      </c>
      <c r="V222" s="41">
        <v>181354.8</v>
      </c>
      <c r="W222" s="41">
        <v>540</v>
      </c>
      <c r="X222" s="41">
        <v>540</v>
      </c>
      <c r="Y222" s="41">
        <v>0</v>
      </c>
      <c r="Z222" s="41">
        <v>0</v>
      </c>
      <c r="AA222" s="41">
        <v>0</v>
      </c>
      <c r="AB222" s="41">
        <v>0</v>
      </c>
      <c r="AC222" s="41">
        <v>0</v>
      </c>
      <c r="AD222" s="41">
        <v>0</v>
      </c>
      <c r="AE222" s="41">
        <v>0</v>
      </c>
      <c r="AF222" s="41">
        <v>0</v>
      </c>
      <c r="AG222" s="41">
        <v>0</v>
      </c>
      <c r="AH222" s="41">
        <v>0</v>
      </c>
      <c r="AI222" s="41">
        <v>0</v>
      </c>
      <c r="AJ222" s="41">
        <v>0</v>
      </c>
      <c r="AK222" s="41">
        <v>0</v>
      </c>
      <c r="AL222" s="41">
        <v>0</v>
      </c>
      <c r="AM222" s="41">
        <v>0</v>
      </c>
      <c r="AN222" s="41">
        <v>9</v>
      </c>
      <c r="AO222" s="41">
        <v>9</v>
      </c>
      <c r="AP222" s="40" t="s">
        <v>3876</v>
      </c>
      <c r="AQ222" s="36">
        <v>45170</v>
      </c>
      <c r="AR222" s="36"/>
      <c r="AS222" s="36"/>
      <c r="AT222" s="36"/>
      <c r="AU222" s="36"/>
      <c r="AV222" s="38"/>
      <c r="AW222" s="40" t="s">
        <v>49</v>
      </c>
    </row>
    <row r="223" spans="1:49" s="34" customFormat="1" ht="63.75" customHeight="1" x14ac:dyDescent="0.3">
      <c r="A223" s="35" t="s">
        <v>3877</v>
      </c>
      <c r="B223" s="38">
        <v>45125</v>
      </c>
      <c r="C223" s="40">
        <v>545</v>
      </c>
      <c r="D223" s="39"/>
      <c r="E223" s="1" t="s">
        <v>3878</v>
      </c>
      <c r="F223" s="36">
        <v>45145</v>
      </c>
      <c r="G223" s="37" t="s">
        <v>3879</v>
      </c>
      <c r="H223" s="40" t="s">
        <v>878</v>
      </c>
      <c r="I223" s="40" t="s">
        <v>1420</v>
      </c>
      <c r="J223" s="57">
        <v>5074205.4000000004</v>
      </c>
      <c r="K223" s="41">
        <v>5074205.4000000004</v>
      </c>
      <c r="L223" s="30">
        <v>5074205.4000000004</v>
      </c>
      <c r="M223" s="30">
        <v>5074205.4000000004</v>
      </c>
      <c r="N223" s="40" t="s">
        <v>1421</v>
      </c>
      <c r="O223" s="40" t="s">
        <v>1422</v>
      </c>
      <c r="P223" s="40" t="s">
        <v>218</v>
      </c>
      <c r="Q223" s="44">
        <v>0</v>
      </c>
      <c r="R223" s="37">
        <v>100</v>
      </c>
      <c r="S223" s="37" t="s">
        <v>1964</v>
      </c>
      <c r="T223" s="48">
        <v>60</v>
      </c>
      <c r="U223" s="30">
        <v>2916.21</v>
      </c>
      <c r="V223" s="41">
        <v>174972.6</v>
      </c>
      <c r="W223" s="41">
        <v>1740</v>
      </c>
      <c r="X223" s="41">
        <v>1740</v>
      </c>
      <c r="Y223" s="41">
        <v>0</v>
      </c>
      <c r="Z223" s="41">
        <v>0</v>
      </c>
      <c r="AA223" s="41">
        <v>0</v>
      </c>
      <c r="AB223" s="41">
        <v>0</v>
      </c>
      <c r="AC223" s="41">
        <v>0</v>
      </c>
      <c r="AD223" s="41">
        <v>0</v>
      </c>
      <c r="AE223" s="41">
        <v>0</v>
      </c>
      <c r="AF223" s="41">
        <v>0</v>
      </c>
      <c r="AG223" s="41">
        <v>0</v>
      </c>
      <c r="AH223" s="41">
        <v>0</v>
      </c>
      <c r="AI223" s="41">
        <v>0</v>
      </c>
      <c r="AJ223" s="41">
        <v>0</v>
      </c>
      <c r="AK223" s="41">
        <v>0</v>
      </c>
      <c r="AL223" s="41">
        <v>0</v>
      </c>
      <c r="AM223" s="41">
        <v>0</v>
      </c>
      <c r="AN223" s="41">
        <v>29</v>
      </c>
      <c r="AO223" s="41">
        <v>29</v>
      </c>
      <c r="AP223" s="40" t="s">
        <v>3880</v>
      </c>
      <c r="AQ223" s="36">
        <v>45170</v>
      </c>
      <c r="AR223" s="36"/>
      <c r="AS223" s="36"/>
      <c r="AT223" s="36">
        <v>45184</v>
      </c>
      <c r="AU223" s="36"/>
      <c r="AV223" s="38"/>
      <c r="AW223" s="40" t="s">
        <v>49</v>
      </c>
    </row>
    <row r="224" spans="1:49" s="34" customFormat="1" ht="63.75" customHeight="1" x14ac:dyDescent="0.3">
      <c r="A224" s="35" t="s">
        <v>3883</v>
      </c>
      <c r="B224" s="38">
        <v>45127</v>
      </c>
      <c r="C224" s="40">
        <v>545</v>
      </c>
      <c r="D224" s="39" t="s">
        <v>459</v>
      </c>
      <c r="E224" s="1" t="s">
        <v>3884</v>
      </c>
      <c r="F224" s="36" t="s">
        <v>459</v>
      </c>
      <c r="G224" s="37" t="s">
        <v>459</v>
      </c>
      <c r="H224" s="40" t="s">
        <v>459</v>
      </c>
      <c r="I224" s="40" t="s">
        <v>2554</v>
      </c>
      <c r="J224" s="57">
        <v>1384495.2</v>
      </c>
      <c r="K224" s="41">
        <v>0</v>
      </c>
      <c r="L224" s="30">
        <v>0</v>
      </c>
      <c r="M224" s="30">
        <v>0</v>
      </c>
      <c r="N224" s="40"/>
      <c r="O224" s="40"/>
      <c r="P224" s="40"/>
      <c r="Q224" s="44"/>
      <c r="R224" s="37"/>
      <c r="S224" s="37"/>
      <c r="T224" s="48"/>
      <c r="U224" s="30" t="e">
        <v>#DIV/0!</v>
      </c>
      <c r="V224" s="41" t="e">
        <v>#DIV/0!</v>
      </c>
      <c r="W224" s="41">
        <v>0</v>
      </c>
      <c r="X224" s="41">
        <v>0</v>
      </c>
      <c r="Y224" s="41">
        <v>0</v>
      </c>
      <c r="Z224" s="41" t="e">
        <v>#DIV/0!</v>
      </c>
      <c r="AA224" s="41">
        <v>0</v>
      </c>
      <c r="AB224" s="41" t="e">
        <v>#DIV/0!</v>
      </c>
      <c r="AC224" s="41">
        <v>0</v>
      </c>
      <c r="AD224" s="41">
        <v>0</v>
      </c>
      <c r="AE224" s="41" t="e">
        <v>#DIV/0!</v>
      </c>
      <c r="AF224" s="41">
        <v>0</v>
      </c>
      <c r="AG224" s="41" t="e">
        <v>#DIV/0!</v>
      </c>
      <c r="AH224" s="41">
        <v>0</v>
      </c>
      <c r="AI224" s="41">
        <v>0</v>
      </c>
      <c r="AJ224" s="41">
        <v>0</v>
      </c>
      <c r="AK224" s="41">
        <v>0</v>
      </c>
      <c r="AL224" s="41">
        <v>0</v>
      </c>
      <c r="AM224" s="41" t="e">
        <v>#DIV/0!</v>
      </c>
      <c r="AN224" s="41" t="e">
        <v>#DIV/0!</v>
      </c>
      <c r="AO224" s="41" t="e">
        <v>#DIV/0!</v>
      </c>
      <c r="AP224" s="40"/>
      <c r="AQ224" s="36">
        <v>45170</v>
      </c>
      <c r="AR224" s="36"/>
      <c r="AS224" s="36"/>
      <c r="AT224" s="36"/>
      <c r="AU224" s="36"/>
      <c r="AV224" s="38"/>
      <c r="AW224" s="40"/>
    </row>
    <row r="225" spans="1:49" s="34" customFormat="1" ht="63.75" customHeight="1" x14ac:dyDescent="0.3">
      <c r="A225" s="35" t="s">
        <v>3885</v>
      </c>
      <c r="B225" s="38">
        <v>45127</v>
      </c>
      <c r="C225" s="40">
        <v>545</v>
      </c>
      <c r="D225" s="39"/>
      <c r="E225" s="1" t="s">
        <v>3886</v>
      </c>
      <c r="F225" s="36">
        <v>45146</v>
      </c>
      <c r="G225" s="37" t="s">
        <v>3887</v>
      </c>
      <c r="H225" s="40" t="s">
        <v>802</v>
      </c>
      <c r="I225" s="40" t="s">
        <v>1520</v>
      </c>
      <c r="J225" s="57">
        <v>39984991.200000003</v>
      </c>
      <c r="K225" s="41">
        <v>39984991.200000003</v>
      </c>
      <c r="L225" s="30">
        <v>39984991.200000003</v>
      </c>
      <c r="M225" s="30">
        <v>39984991.200000003</v>
      </c>
      <c r="N225" s="40" t="s">
        <v>1434</v>
      </c>
      <c r="O225" s="40" t="s">
        <v>1522</v>
      </c>
      <c r="P225" s="40" t="s">
        <v>3888</v>
      </c>
      <c r="Q225" s="44">
        <v>0</v>
      </c>
      <c r="R225" s="37">
        <v>100</v>
      </c>
      <c r="S225" s="37" t="s">
        <v>584</v>
      </c>
      <c r="T225" s="67">
        <v>27854.400000000001</v>
      </c>
      <c r="U225" s="30">
        <v>31.900000000000002</v>
      </c>
      <c r="V225" s="41">
        <v>888555.3600000001</v>
      </c>
      <c r="W225" s="41">
        <v>1253448</v>
      </c>
      <c r="X225" s="41">
        <v>1253448</v>
      </c>
      <c r="Y225" s="41">
        <v>0</v>
      </c>
      <c r="Z225" s="41">
        <v>0</v>
      </c>
      <c r="AA225" s="41">
        <v>0</v>
      </c>
      <c r="AB225" s="41">
        <v>0</v>
      </c>
      <c r="AC225" s="41">
        <v>0</v>
      </c>
      <c r="AD225" s="41">
        <v>0</v>
      </c>
      <c r="AE225" s="41">
        <v>0</v>
      </c>
      <c r="AF225" s="41">
        <v>0</v>
      </c>
      <c r="AG225" s="41">
        <v>0</v>
      </c>
      <c r="AH225" s="41">
        <v>0</v>
      </c>
      <c r="AI225" s="41">
        <v>0</v>
      </c>
      <c r="AJ225" s="41">
        <v>0</v>
      </c>
      <c r="AK225" s="41">
        <v>0</v>
      </c>
      <c r="AL225" s="41">
        <v>0</v>
      </c>
      <c r="AM225" s="41">
        <v>0</v>
      </c>
      <c r="AN225" s="41">
        <v>45</v>
      </c>
      <c r="AO225" s="41">
        <v>45</v>
      </c>
      <c r="AP225" s="40" t="s">
        <v>3889</v>
      </c>
      <c r="AQ225" s="36">
        <v>45169</v>
      </c>
      <c r="AR225" s="36"/>
      <c r="AS225" s="36"/>
      <c r="AT225" s="36">
        <v>45184</v>
      </c>
      <c r="AU225" s="36"/>
      <c r="AV225" s="38"/>
      <c r="AW225" s="40" t="s">
        <v>49</v>
      </c>
    </row>
  </sheetData>
  <autoFilter ref="A2:BD49"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6F4590E9-E6A5-43BA-B289-3D9309BB6B5B}"/>
    <hyperlink ref="E4" r:id="rId2" xr:uid="{24BB3BED-C23B-445F-B406-91EBB312E156}"/>
    <hyperlink ref="E5" r:id="rId3" xr:uid="{DA0D9E6B-D2EE-4121-87FE-89702F9E5EDF}"/>
    <hyperlink ref="E6" r:id="rId4" xr:uid="{6522F6C9-2038-429D-A993-04ADC8CD038E}"/>
    <hyperlink ref="E7" r:id="rId5" xr:uid="{732A694F-B94C-4286-9EAD-711C4BA71A0D}"/>
    <hyperlink ref="E8" r:id="rId6" xr:uid="{E925C6BF-4ED0-4ABA-ACC3-FCAE04F72F49}"/>
    <hyperlink ref="E9" r:id="rId7" xr:uid="{7DCF9762-1330-40CA-BA5B-DD911A9B2D7E}"/>
    <hyperlink ref="E10" r:id="rId8" xr:uid="{AA1280AA-C521-4A43-BB74-8F4C132E2833}"/>
    <hyperlink ref="E11" r:id="rId9" xr:uid="{704C9504-82AB-4564-83F8-663B3180A54A}"/>
    <hyperlink ref="E12" r:id="rId10" xr:uid="{68F48A2A-A2EE-4A4D-AF63-434537D92CB7}"/>
    <hyperlink ref="E13" r:id="rId11" xr:uid="{5B7E2B63-56A5-4590-B54C-BF4096303EA6}"/>
    <hyperlink ref="E14" r:id="rId12" xr:uid="{B8D579C5-9A5F-4CB5-991E-9DE52693BE3B}"/>
    <hyperlink ref="E15" r:id="rId13" xr:uid="{A45F6804-B192-4A6B-A913-89F60FA3851A}"/>
    <hyperlink ref="E16" r:id="rId14" xr:uid="{9CA5C858-0E33-4C56-AF8B-D36F6E69752F}"/>
    <hyperlink ref="E17:E20" r:id="rId15" display="https://zakupki.gov.ru/epz/order/notice/ea20/view/common-info.html?regNumber=0873400003922000557" xr:uid="{B4DC2CF2-BA24-4DCB-8E07-61A5D17BB162}"/>
    <hyperlink ref="E17" r:id="rId16" xr:uid="{1CAADA54-94AD-464B-854C-9C86018A17EE}"/>
    <hyperlink ref="E18" r:id="rId17" xr:uid="{AEE1118C-FA58-4CD7-AE63-FA90132D95AF}"/>
    <hyperlink ref="E19" r:id="rId18" xr:uid="{923C391F-B8CC-4F26-96E2-F120900F3ADF}"/>
    <hyperlink ref="E20" r:id="rId19" xr:uid="{721854DC-3E61-4DA9-B803-BE3EE29D9363}"/>
    <hyperlink ref="E23" r:id="rId20" xr:uid="{D5246DE1-7755-4CAE-8E0B-6B5B1E7742A5}"/>
    <hyperlink ref="E24" r:id="rId21" xr:uid="{52D3BFC7-C990-4456-8B0A-A6114604B902}"/>
    <hyperlink ref="E25" r:id="rId22" xr:uid="{D02DE02E-71EB-4FEE-B420-95DE553101DB}"/>
    <hyperlink ref="E27" r:id="rId23" xr:uid="{BD68BCAD-BB14-461D-BFB1-7FFB8462FEF0}"/>
    <hyperlink ref="E28" r:id="rId24" xr:uid="{4A76D065-A7AC-4F7F-AF28-94D4C5096139}"/>
    <hyperlink ref="E29" r:id="rId25" xr:uid="{610CA056-2E51-43EE-9C65-633A52D3F626}"/>
    <hyperlink ref="E30" r:id="rId26" xr:uid="{FED29FA0-F74A-4770-83C7-BA1419A6F8F2}"/>
    <hyperlink ref="E31" r:id="rId27" xr:uid="{3597AEFB-5A75-4032-A37F-1AE5FC22BB92}"/>
    <hyperlink ref="E40" r:id="rId28" xr:uid="{DF84BFD6-F9C5-46E7-B95B-31FEE53F048C}"/>
    <hyperlink ref="E26" r:id="rId29" xr:uid="{BC023681-43E0-409F-895C-009D8A4954BB}"/>
    <hyperlink ref="E33" r:id="rId30" xr:uid="{87C212F0-4169-4355-AC0A-182D5EF2FF5A}"/>
    <hyperlink ref="E34" r:id="rId31" xr:uid="{8B1431B6-F621-4775-9A51-D7EB2B26A278}"/>
    <hyperlink ref="E35" r:id="rId32" xr:uid="{AEF03FA6-0D77-4BDF-BE2A-AD0013E8E338}"/>
    <hyperlink ref="E36" r:id="rId33" xr:uid="{2DF581B3-2675-4A6E-838E-5D1B997E13FD}"/>
    <hyperlink ref="E37" r:id="rId34" xr:uid="{D4913B0E-BD56-4DE8-8312-16014314A02A}"/>
    <hyperlink ref="E38" r:id="rId35" xr:uid="{6108890F-C041-493A-8D2D-34EE711D7B77}"/>
    <hyperlink ref="E32" r:id="rId36" xr:uid="{41D37699-8D4E-4F40-85AF-156E57A33B1D}"/>
    <hyperlink ref="E42" r:id="rId37" xr:uid="{17FFA487-8547-4546-849A-6806CDB51A03}"/>
    <hyperlink ref="E43" r:id="rId38" xr:uid="{53722BCC-3B6C-471E-BF97-D63FDBD262B1}"/>
    <hyperlink ref="E44" r:id="rId39" xr:uid="{035696A9-939B-4C32-B15B-57789E23B961}"/>
    <hyperlink ref="E45" r:id="rId40" xr:uid="{1922822B-3972-4BA5-A605-02FAC89B62EF}"/>
    <hyperlink ref="E46" r:id="rId41" xr:uid="{7E9CA644-A7B1-4C0B-B7BB-408E636704AA}"/>
    <hyperlink ref="E47" r:id="rId42" xr:uid="{235D41C0-6578-4EE6-933C-51E4D817F8E5}"/>
    <hyperlink ref="E48" r:id="rId43" xr:uid="{8F672340-302F-4690-90C7-C984CFAFF2E5}"/>
    <hyperlink ref="E49" r:id="rId44" xr:uid="{73113013-DBA0-434D-85A8-81B308AF58B2}"/>
    <hyperlink ref="E50" r:id="rId45" xr:uid="{9A989851-33B1-4A71-895C-FE09DD736866}"/>
    <hyperlink ref="E51" r:id="rId46" xr:uid="{E1695DD8-B5D5-4304-8FC4-5BEC395C222B}"/>
    <hyperlink ref="E52" r:id="rId47" xr:uid="{5A9945B0-3012-4F0B-A908-73E3F989504F}"/>
    <hyperlink ref="E41" r:id="rId48" xr:uid="{21162456-A6DE-4B03-B68B-9F5F80AA1F58}"/>
    <hyperlink ref="E56" r:id="rId49" xr:uid="{873EDC4B-B4BA-42FA-9BCB-689493518C34}"/>
    <hyperlink ref="E53" r:id="rId50" xr:uid="{72FB85EF-D64F-4975-9708-8F812AE7EDEE}"/>
    <hyperlink ref="E54" r:id="rId51" xr:uid="{3C26C116-24B2-4271-9FD7-B78FD1A68463}"/>
    <hyperlink ref="E55" r:id="rId52" xr:uid="{66521275-D1A1-4CE8-8B11-FBDB69D3706E}"/>
    <hyperlink ref="E57" r:id="rId53" xr:uid="{9A31E534-97FD-4814-A1D1-903516881F95}"/>
    <hyperlink ref="E83" r:id="rId54" xr:uid="{A01B0306-13A8-4CA6-AA13-41E6414A8AC2}"/>
    <hyperlink ref="E82" r:id="rId55" xr:uid="{7DDBD2AD-48A4-43E5-9AF4-D32DEB49E2E6}"/>
    <hyperlink ref="E81" r:id="rId56" xr:uid="{9D93E613-A16D-4837-9074-7D120C2C81AA}"/>
    <hyperlink ref="E80" r:id="rId57" xr:uid="{D962B743-84F1-4C44-94BB-FDCE5C5A82FF}"/>
    <hyperlink ref="E79" r:id="rId58" xr:uid="{DA2ACD01-BBC3-41F2-813A-61C4BAE5E3F8}"/>
    <hyperlink ref="E78" r:id="rId59" xr:uid="{ECF044AF-99E0-428C-960C-69098D819310}"/>
    <hyperlink ref="E77" r:id="rId60" xr:uid="{25712953-5A29-4ED4-98AB-57518B0DF511}"/>
    <hyperlink ref="E76" r:id="rId61" xr:uid="{7A2C12F5-22B4-49C4-A549-5B8C7F6AE13A}"/>
    <hyperlink ref="E75" r:id="rId62" xr:uid="{1B476B17-7E82-46CD-B3EA-52A8E24D1331}"/>
    <hyperlink ref="E74" r:id="rId63" xr:uid="{02E92867-E7C7-448F-A356-65A20E6FF2F0}"/>
    <hyperlink ref="E73" r:id="rId64" xr:uid="{87511CA7-F6FF-4DE3-8EBC-DB783D48FA2A}"/>
    <hyperlink ref="E72" r:id="rId65" xr:uid="{DB72CF16-95FE-4E62-BA90-BF3A51135B15}"/>
    <hyperlink ref="E71" r:id="rId66" xr:uid="{D6E879DA-267B-40AF-8BEB-531BE9C2E723}"/>
    <hyperlink ref="E67" r:id="rId67" xr:uid="{82005148-D0DF-4305-928D-44B37867B4AD}"/>
    <hyperlink ref="E66" r:id="rId68" xr:uid="{45C01B0C-FCF0-42B4-978E-693537F5E9B4}"/>
    <hyperlink ref="E65" r:id="rId69" xr:uid="{BA869148-D78E-41E7-8C52-216321FAFA39}"/>
    <hyperlink ref="E64" r:id="rId70" xr:uid="{39E84622-1162-4DE9-95B5-66498FE40E1E}"/>
    <hyperlink ref="E63" r:id="rId71" xr:uid="{747CFDB0-FDA2-4596-9B7A-084A052DFABA}"/>
    <hyperlink ref="E62" r:id="rId72" xr:uid="{ACCE56CE-D77A-44EC-A189-CCC72FCA1295}"/>
    <hyperlink ref="E61" r:id="rId73" xr:uid="{E304E60B-3F9B-4E8D-95AB-5EA75409EC73}"/>
    <hyperlink ref="E60" r:id="rId74" xr:uid="{BA573E95-B57B-4892-AC41-7C0A89E0F3E0}"/>
    <hyperlink ref="E59" r:id="rId75" xr:uid="{1873DC84-4BE3-4302-9476-2A959F4C989B}"/>
    <hyperlink ref="E58" r:id="rId76" xr:uid="{A391D266-36BE-44C7-A9F9-505FDD295831}"/>
    <hyperlink ref="E68:E70" r:id="rId77" display="https://zakupki.gov.ru/epz/order/notice/ea20/view/common-info.html?regNumber=0873400003922000608" xr:uid="{36411947-C635-4D68-BD8B-65A7BE215E96}"/>
    <hyperlink ref="E68" r:id="rId78" xr:uid="{BFBA32BA-5D0D-4445-81F1-E13F79AB29BD}"/>
    <hyperlink ref="E69" r:id="rId79" xr:uid="{3B552A40-7832-43E8-A7AE-2E29475CE55B}"/>
    <hyperlink ref="E70" r:id="rId80" xr:uid="{18DBE152-8EF0-4A1E-A660-DCE744ED7B66}"/>
    <hyperlink ref="E84:E93" r:id="rId81" display="https://zakupki.gov.ru/epz/order/notice/ea20/view/common-info.html?regNumber=0873400003922000624" xr:uid="{99F0B84E-8AA9-4C0D-9150-85FD4083F93B}"/>
    <hyperlink ref="E84" r:id="rId82" xr:uid="{2A568BDD-7700-4C99-BF19-922CE1E8021B}"/>
    <hyperlink ref="E85" r:id="rId83" xr:uid="{6AA31EB6-CDD3-4296-A84A-500DBF62D117}"/>
    <hyperlink ref="E86" r:id="rId84" xr:uid="{D083F26E-29FE-4BCF-8239-24DCC91C9C73}"/>
    <hyperlink ref="E87" r:id="rId85" xr:uid="{6FF8A633-F7B9-41BF-9261-35026390A818}"/>
    <hyperlink ref="E88" r:id="rId86" xr:uid="{2738912E-94FB-407A-B545-A492C75F3705}"/>
    <hyperlink ref="E89" r:id="rId87" xr:uid="{D6464750-1AC5-43FD-89AA-2CBEBA5D2ECB}"/>
    <hyperlink ref="E90" r:id="rId88" xr:uid="{C6E9CB52-6A1D-4142-8E4D-4B260469CD22}"/>
    <hyperlink ref="E91" r:id="rId89" xr:uid="{D541FB4B-5998-42F4-959B-EFBB7C30FAAB}"/>
    <hyperlink ref="E92" r:id="rId90" xr:uid="{231F1E66-D2E4-431A-A40C-94BAD5B57C2D}"/>
    <hyperlink ref="E93" r:id="rId91" xr:uid="{1A5C260F-8BB6-4164-9BD4-531ABBC741CA}"/>
    <hyperlink ref="E96" r:id="rId92" xr:uid="{9CA737D0-8D4E-4F27-A405-0CC78FC30E0E}"/>
    <hyperlink ref="E98" r:id="rId93" xr:uid="{8E6DFC54-AFE8-418B-8F83-698C188890A2}"/>
    <hyperlink ref="E99" r:id="rId94" xr:uid="{9DA128F3-8E89-4905-AD05-53A86F30FF42}"/>
    <hyperlink ref="E103" r:id="rId95" xr:uid="{547DAAA1-4AFA-4058-B603-AFC44BAFA751}"/>
    <hyperlink ref="E104" r:id="rId96" xr:uid="{CE412CD1-E6AA-4998-B1EB-7F93CAD5A10C}"/>
    <hyperlink ref="E94" r:id="rId97" xr:uid="{42FA6DD7-E216-4DE9-8A6D-0C39FB705E82}"/>
    <hyperlink ref="E97" r:id="rId98" xr:uid="{F33D0580-2AD5-42E7-9871-962A591E9755}"/>
    <hyperlink ref="E95" r:id="rId99" xr:uid="{F3C0E841-9FA1-4642-9AAF-CD1AFED0091A}"/>
    <hyperlink ref="E100" r:id="rId100" xr:uid="{80A123EA-D856-486D-8812-7F6056DE98E1}"/>
    <hyperlink ref="E101" r:id="rId101" xr:uid="{536706C4-39E4-4ECE-BF8E-E387AC7B2490}"/>
    <hyperlink ref="E102" r:id="rId102" xr:uid="{1B9157A9-F483-4D45-B114-7D0AB66AF0E4}"/>
    <hyperlink ref="E105" r:id="rId103" xr:uid="{B69F076D-4488-4D4D-A09E-AE78978E496C}"/>
    <hyperlink ref="E106" r:id="rId104" xr:uid="{32F430D8-F327-4A7E-9619-7E5098A019C0}"/>
    <hyperlink ref="E107" r:id="rId105" xr:uid="{76BDE33F-ACD6-4D2F-B350-C0F3FD3DB2EC}"/>
    <hyperlink ref="E108" r:id="rId106" xr:uid="{D77449BE-CD65-4032-A296-CFDE31E538FC}"/>
    <hyperlink ref="E109" r:id="rId107" xr:uid="{FB074705-062E-4683-97F7-BA8ED0F686CB}"/>
    <hyperlink ref="E110" r:id="rId108" xr:uid="{38C8F886-3BAA-4D93-87CD-891A9ECF3E4E}"/>
    <hyperlink ref="E111" r:id="rId109" xr:uid="{B7BB41AD-1830-4479-916F-A954A03EAF39}"/>
    <hyperlink ref="E112" r:id="rId110" xr:uid="{236F2CFA-1E69-420E-BB35-9310D7A31E61}"/>
    <hyperlink ref="E113" r:id="rId111" xr:uid="{5A316AC6-B928-4F67-B1B6-074AC08A8853}"/>
    <hyperlink ref="E114" r:id="rId112" xr:uid="{64363C57-5640-481F-A29A-EC908281EAE5}"/>
    <hyperlink ref="E115" r:id="rId113" xr:uid="{77BE1280-8704-4829-9D91-97058D20C45C}"/>
    <hyperlink ref="E116" r:id="rId114" xr:uid="{D5EC3F24-BC34-4ABA-8F6E-7FF88D206DE9}"/>
    <hyperlink ref="E117" r:id="rId115" xr:uid="{467E997D-A216-4681-A78A-8928EC03964A}"/>
    <hyperlink ref="E118" r:id="rId116" xr:uid="{C9B9AD67-1C67-47A3-8ECE-6675F66A69B9}"/>
    <hyperlink ref="E119" r:id="rId117" xr:uid="{EDD93590-B7BD-47CD-9B63-7E38657E8F4C}"/>
    <hyperlink ref="E120" r:id="rId118" xr:uid="{6B523183-DE24-4E4C-80BB-B3CF5E0C0C3C}"/>
    <hyperlink ref="E121" r:id="rId119" xr:uid="{C7931BA8-9E68-4D1C-9B7C-3E9EF716499E}"/>
    <hyperlink ref="E122" r:id="rId120" xr:uid="{6D43F4F5-E448-4FEE-8EF1-165B58BD53C2}"/>
    <hyperlink ref="E123" r:id="rId121" xr:uid="{08D1A48C-3FB4-43C7-829C-C426E0AABB07}"/>
    <hyperlink ref="E124" r:id="rId122" xr:uid="{51F618E6-3783-4B66-8B06-EC432E5E2523}"/>
    <hyperlink ref="E125" r:id="rId123" xr:uid="{8A8363E1-A790-4B39-942B-723B4260E92C}"/>
    <hyperlink ref="E126" r:id="rId124" xr:uid="{974655F5-72CB-44B1-9A4C-A3369F54EDDF}"/>
    <hyperlink ref="E127" r:id="rId125" xr:uid="{70C5AD3F-ABFA-4311-9F11-A7590EC1FB2E}"/>
    <hyperlink ref="E128" r:id="rId126" xr:uid="{E79A440A-4144-4CE5-A8DA-7F83DEC41977}"/>
    <hyperlink ref="E129" r:id="rId127" xr:uid="{528B5B2E-0836-45CF-81CC-B3655EE375CC}"/>
    <hyperlink ref="E130" r:id="rId128" xr:uid="{5DC6FD5B-185B-409E-916D-CA3379A646C6}"/>
    <hyperlink ref="E131" r:id="rId129" xr:uid="{07B9F298-4C6F-4616-BEB9-6630E97555EE}"/>
    <hyperlink ref="E132" r:id="rId130" xr:uid="{A5112B1A-0C81-474F-B90B-0C9EE8EDEA1A}"/>
    <hyperlink ref="E134" r:id="rId131" xr:uid="{260B8312-EF26-4BEE-9396-3707CE62F674}"/>
    <hyperlink ref="E135" r:id="rId132" xr:uid="{914BED6A-5B00-4541-9199-8FC487EC2D1E}"/>
    <hyperlink ref="E136" r:id="rId133" xr:uid="{63D961CC-932F-4465-A90D-ACD47AE4439A}"/>
    <hyperlink ref="E137" r:id="rId134" xr:uid="{2D0B72DD-6F01-4EB9-AFDC-AFAAA28F7778}"/>
    <hyperlink ref="E138" r:id="rId135" xr:uid="{26C8AEC7-DD7E-41B4-85F6-9772BD3411CC}"/>
    <hyperlink ref="E140" r:id="rId136" xr:uid="{25FDD7C9-2CE3-461F-A719-1748B13B4D02}"/>
    <hyperlink ref="E141" r:id="rId137" xr:uid="{4D5343BE-8E55-4268-A42A-8C9E7388E736}"/>
    <hyperlink ref="E142" r:id="rId138" xr:uid="{BBE6ED56-33DF-4E48-BB0C-8E322A51BDB8}"/>
    <hyperlink ref="E143" r:id="rId139" xr:uid="{30512812-3046-4A37-AC30-42C0ED579200}"/>
    <hyperlink ref="E144" r:id="rId140" xr:uid="{29CD8060-D8F5-48A5-BDBF-2E8D3E893931}"/>
    <hyperlink ref="E145" r:id="rId141" xr:uid="{F990D426-64C5-4566-A77C-B57A820CC90A}"/>
    <hyperlink ref="E146" r:id="rId142" xr:uid="{A89CEF56-5869-4877-94E5-31684A938E07}"/>
    <hyperlink ref="E147" r:id="rId143" xr:uid="{E2DEC078-B48C-4902-BB23-A0A3CCFFFDC0}"/>
    <hyperlink ref="E148" r:id="rId144" xr:uid="{41721A1C-5B33-4253-B5E1-93ECEF4A94BF}"/>
    <hyperlink ref="E149" r:id="rId145" xr:uid="{E1288BD5-5525-4F8C-A570-2832012C0C5B}"/>
    <hyperlink ref="E150" r:id="rId146" xr:uid="{3E647606-C630-4EF2-B70C-5E19F2FDBBA6}"/>
    <hyperlink ref="E151" r:id="rId147" xr:uid="{7C000B76-476B-4E9B-899A-C9F41363046D}"/>
    <hyperlink ref="E152" r:id="rId148" xr:uid="{D26DB261-BF3F-438D-9503-BB41AF1AD622}"/>
    <hyperlink ref="E153" r:id="rId149" xr:uid="{FD9DE04F-AC97-4825-9D87-5F279E604E92}"/>
    <hyperlink ref="E154" r:id="rId150" xr:uid="{52652494-C52B-4674-9A85-E4FF9113B04B}"/>
    <hyperlink ref="E155" r:id="rId151" xr:uid="{006B636D-82E8-4FB7-A84C-986CDB9B1603}"/>
    <hyperlink ref="E156" r:id="rId152" xr:uid="{3E496E06-690E-4ED7-8195-0201C7447C86}"/>
    <hyperlink ref="E157" r:id="rId153" xr:uid="{3E0BCB40-0AB2-4C75-BBE5-3CBFBF3AFC6D}"/>
    <hyperlink ref="E158" r:id="rId154" xr:uid="{3813290A-3858-4F4D-9BF2-4D50D88F4A14}"/>
    <hyperlink ref="E159" r:id="rId155" xr:uid="{3612B906-8467-4115-A679-B6350F075B4E}"/>
    <hyperlink ref="E160" r:id="rId156" xr:uid="{4107D891-2151-4529-AE57-A99B98FE831A}"/>
    <hyperlink ref="E161" r:id="rId157" xr:uid="{B68B0314-974A-4194-8509-BA82D42117DD}"/>
    <hyperlink ref="E162" r:id="rId158" xr:uid="{4A455085-67F8-43B5-84BA-3D02E5EC7150}"/>
    <hyperlink ref="E163" r:id="rId159" xr:uid="{C4B48BC7-FA9E-4491-816C-2C7CFF3FFBBC}"/>
    <hyperlink ref="E164" r:id="rId160" xr:uid="{9E4094A7-75A5-42E6-B2F3-715D6C1414D5}"/>
    <hyperlink ref="E165" r:id="rId161" xr:uid="{3E8A98D2-F4EA-4564-82FE-96B25CB14BC7}"/>
    <hyperlink ref="E166" r:id="rId162" xr:uid="{E7CD03DB-B2C1-47E5-B8B0-7A80C543DF6F}"/>
    <hyperlink ref="E167" r:id="rId163" xr:uid="{6D417EF3-2717-46B9-89C5-41B07CAF9375}"/>
    <hyperlink ref="E168" r:id="rId164" xr:uid="{5EB729FC-FFA4-47A4-96B2-772B08C84A92}"/>
    <hyperlink ref="E169" r:id="rId165" xr:uid="{44E4724F-8433-43E7-B210-F5089B1CB949}"/>
    <hyperlink ref="E170" r:id="rId166" xr:uid="{D86FC811-2E56-4583-B459-1449E9CE1DBE}"/>
    <hyperlink ref="E171" r:id="rId167" xr:uid="{A05ECB60-F7E3-41E5-B61D-D8C3384AA700}"/>
    <hyperlink ref="E172" r:id="rId168" xr:uid="{3550F350-1465-40A7-BB88-F2DD1BF8E2F5}"/>
    <hyperlink ref="E173" r:id="rId169" xr:uid="{DD3E4F6D-07AE-49C7-84CA-A6766E053C0B}"/>
    <hyperlink ref="E174" r:id="rId170" xr:uid="{D0A1542C-CF4D-4C55-8F8A-1CB20F807C8B}"/>
    <hyperlink ref="E175" r:id="rId171" xr:uid="{E14B04CB-1CBC-484E-AC32-070C0B80F2EF}"/>
    <hyperlink ref="E176" r:id="rId172" xr:uid="{AF1F1E22-8610-4628-8678-5550B082C162}"/>
    <hyperlink ref="E177" r:id="rId173" xr:uid="{D136E587-8241-40F5-A2F8-CA6B29ED0E03}"/>
    <hyperlink ref="E178" r:id="rId174" xr:uid="{1041F1B9-4B92-455F-9F4C-8CE577A85ADD}"/>
    <hyperlink ref="E179" r:id="rId175" xr:uid="{92FE251A-70C7-43E2-A829-E9E788F5B58C}"/>
    <hyperlink ref="E180" r:id="rId176" xr:uid="{7C80625D-5F83-48E1-9949-03EC43ED1FBA}"/>
    <hyperlink ref="E181" r:id="rId177" xr:uid="{95E8087E-AB90-4125-9855-D7CA83E5ED7E}"/>
    <hyperlink ref="E182" r:id="rId178" xr:uid="{21C8F6D0-C580-4146-B6F9-AB0B3F6C7B61}"/>
    <hyperlink ref="E183" r:id="rId179" xr:uid="{29D859AB-D129-42B4-A764-8AB1A3DA908C}"/>
    <hyperlink ref="E184" r:id="rId180" xr:uid="{C8C9285A-09CB-4FBC-87F1-58051BF0A920}"/>
    <hyperlink ref="E185" r:id="rId181" xr:uid="{8F5354D5-1898-4C13-ABF6-E3A63BB706A4}"/>
    <hyperlink ref="E186" r:id="rId182" xr:uid="{0C597FB4-B553-4CE0-8173-382427955D80}"/>
    <hyperlink ref="E187" r:id="rId183" xr:uid="{E9A8630C-4151-4BF7-9687-84C5701D2DD4}"/>
    <hyperlink ref="E188" r:id="rId184" xr:uid="{77036F7F-81B9-4314-9053-A041C2297D90}"/>
    <hyperlink ref="E189" r:id="rId185" xr:uid="{848C151B-8A89-4434-8855-D0EF92AD5894}"/>
    <hyperlink ref="E190" r:id="rId186" display="https://zakupki.gov.ru/epz/order/notice/ea20/view/common-info.html?regNumber=0873400003923000283" xr:uid="{7332420F-3EAC-4532-B44B-026C1BAF9FD8}"/>
    <hyperlink ref="E192" r:id="rId187" xr:uid="{4C29A8D3-FF18-481B-B7F3-604C6352B54A}"/>
    <hyperlink ref="E193" r:id="rId188" xr:uid="{3A1C5787-B00C-4366-8768-B55D139740AB}"/>
    <hyperlink ref="E194" r:id="rId189" xr:uid="{3A23B678-AA96-4DD6-B765-25CDF9485452}"/>
    <hyperlink ref="E195" r:id="rId190" xr:uid="{4C8C2F2C-C616-4225-98C5-0ADF92FBA9D0}"/>
    <hyperlink ref="E196" r:id="rId191" xr:uid="{6A3A35D1-321E-4F48-AFE9-230BB946FB02}"/>
    <hyperlink ref="E197" r:id="rId192" xr:uid="{7275DAC5-CF98-446F-8EE7-3FA3544DEC13}"/>
    <hyperlink ref="E198" r:id="rId193" xr:uid="{49A4AFD1-2D3A-4C9B-953E-C5AF3CE1FBB4}"/>
    <hyperlink ref="E199" r:id="rId194" xr:uid="{0A6398C4-30DD-49F8-AC79-1F6A72530B17}"/>
    <hyperlink ref="E200" r:id="rId195" xr:uid="{2C2320BC-B75C-496B-8CEE-A05223A0F988}"/>
    <hyperlink ref="E201" r:id="rId196" xr:uid="{CB5CBC49-0FC6-4BE3-88D2-41AC13047AC4}"/>
    <hyperlink ref="E202" r:id="rId197" xr:uid="{B3D7B41D-E41D-4E63-AF6F-0F513D3D4A66}"/>
    <hyperlink ref="E203" r:id="rId198" xr:uid="{0D2BEE80-E25F-44D4-8C37-CB2034CF9587}"/>
    <hyperlink ref="E204" r:id="rId199" xr:uid="{9D263FCB-CB17-4399-9202-C5EB506D38B1}"/>
    <hyperlink ref="E205" r:id="rId200" xr:uid="{925655A3-E408-4382-A3B8-67974DBB2EDA}"/>
    <hyperlink ref="E206" r:id="rId201" xr:uid="{C7B23392-ED01-4B2C-B304-D4C9A22806E2}"/>
    <hyperlink ref="E207" r:id="rId202" xr:uid="{567867EA-A868-48D6-8367-2417F218D6E8}"/>
    <hyperlink ref="E208" r:id="rId203" xr:uid="{1D76832B-C339-4003-AD92-48A8E6DAA7CA}"/>
    <hyperlink ref="E209" r:id="rId204" xr:uid="{49C0498A-AF11-4ADB-8B9A-FD805C200180}"/>
    <hyperlink ref="E210" r:id="rId205" xr:uid="{E4A2FB08-53A2-4494-AC05-057114D30319}"/>
    <hyperlink ref="E211" r:id="rId206" xr:uid="{E9AE0A8C-B192-4D63-A8C9-A4E097028CBA}"/>
    <hyperlink ref="E212" r:id="rId207" xr:uid="{998C0328-B82A-4EE2-9523-E3373F8FAF17}"/>
    <hyperlink ref="E213" r:id="rId208" xr:uid="{42CE4046-8ED6-45B2-A1A2-974E2F84D75D}"/>
    <hyperlink ref="E214" r:id="rId209" xr:uid="{DC6B8828-32C0-486C-ACB4-96D741A12D2E}"/>
    <hyperlink ref="E215" r:id="rId210" xr:uid="{81495DA1-9D30-41D1-B047-186DA66DF7C3}"/>
    <hyperlink ref="E216" r:id="rId211" xr:uid="{8E0DD693-C460-456F-9F77-C33A0BACDB04}"/>
    <hyperlink ref="E217" r:id="rId212" xr:uid="{4829F7D7-4FD5-4A9F-B9A7-699EEBBF1DB9}"/>
    <hyperlink ref="E218" r:id="rId213" xr:uid="{C6CFD007-6B31-4F81-9F2E-65133B54DECF}"/>
    <hyperlink ref="E219" r:id="rId214" xr:uid="{8B3CFC12-CE46-4B0A-BE14-B41B68F91E00}"/>
    <hyperlink ref="E220" r:id="rId215" xr:uid="{0A33BBEA-BA67-4ECA-BBA7-A013C09FC64C}"/>
    <hyperlink ref="E221" r:id="rId216" xr:uid="{2109F9FF-2895-4DE7-92DB-180FC5D3949C}"/>
    <hyperlink ref="E222" r:id="rId217" xr:uid="{E885518C-B8E4-4B1A-9247-F52D30CF7770}"/>
    <hyperlink ref="E223" r:id="rId218" xr:uid="{7D6BD33B-C4BA-48FD-8CA3-BA4A64B232E4}"/>
    <hyperlink ref="E224" r:id="rId219" xr:uid="{052E1BAC-A93A-47F0-A36A-B29465247F73}"/>
    <hyperlink ref="E225" r:id="rId220" xr:uid="{08FB1431-FC8B-43E5-93C3-DB5662ED43A9}"/>
  </hyperlinks>
  <pageMargins left="0.7" right="0.7" top="0.75" bottom="0.75" header="0.3" footer="0.3"/>
  <pageSetup paperSize="9" orientation="portrait" r:id="rId2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2023-08-14T09:54:17Z</dcterms:created>
  <dcterms:modified xsi:type="dcterms:W3CDTF">2023-08-14T10:08:42Z</dcterms:modified>
</cp:coreProperties>
</file>