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Отдел размещения и заключения\ГК 2024 ФКУ\003 Сведения для сайта\02. Февраль\"/>
    </mc:Choice>
  </mc:AlternateContent>
  <xr:revisionPtr revIDLastSave="0" documentId="13_ncr:1_{F93FA82E-8E3A-4B46-B71F-B5FAD871EDE9}" xr6:coauthVersionLast="47" xr6:coauthVersionMax="47" xr10:uidLastSave="{00000000-0000-0000-0000-000000000000}"/>
  <bookViews>
    <workbookView xWindow="-28920" yWindow="-120" windowWidth="29040" windowHeight="15840" xr2:uid="{FD785BB3-53BE-4864-97DE-DDD8CEBE5429}"/>
  </bookViews>
  <sheets>
    <sheet name="2024 год" sheetId="1" r:id="rId1"/>
    <sheet name="1416" sheetId="2" r:id="rId2"/>
    <sheet name="1512 вич" sheetId="3" r:id="rId3"/>
    <sheet name="1512 туб" sheetId="4" r:id="rId4"/>
    <sheet name="1688" sheetId="5" r:id="rId5"/>
    <sheet name="545" sheetId="6" r:id="rId6"/>
  </sheets>
  <definedNames>
    <definedName name="_xlnm._FilterDatabase" localSheetId="1" hidden="1">'1416'!$A$2:$AZ$95</definedName>
    <definedName name="_xlnm._FilterDatabase" localSheetId="2" hidden="1">'1512 вич'!$A$2:$AZ$95</definedName>
    <definedName name="_xlnm._FilterDatabase" localSheetId="3" hidden="1">'1512 туб'!$A$2:$AZ$95</definedName>
    <definedName name="_xlnm._FilterDatabase" localSheetId="4" hidden="1">'1688'!$A$2:$AZ$95</definedName>
    <definedName name="_xlnm._FilterDatabase" localSheetId="0" hidden="1">'2024 год'!$A$2:$AZ$525</definedName>
    <definedName name="_xlnm._FilterDatabase" localSheetId="5" hidden="1">'545'!$A$2:$AZ$95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85" i="6" l="1"/>
  <c r="AE184" i="6"/>
  <c r="AE183" i="6"/>
  <c r="AE182" i="6"/>
  <c r="AE181" i="6"/>
  <c r="AE180" i="6"/>
  <c r="AE179" i="6"/>
  <c r="AE178" i="6"/>
  <c r="AE177" i="6"/>
  <c r="AE176" i="6"/>
  <c r="AE175" i="6"/>
  <c r="AE174" i="6"/>
  <c r="AE173" i="6"/>
  <c r="AE172" i="6"/>
  <c r="AE171" i="6"/>
  <c r="AE170" i="6"/>
  <c r="AE169" i="6"/>
  <c r="AE168" i="6"/>
  <c r="AE167" i="6"/>
  <c r="AE166" i="6"/>
  <c r="AE165" i="6"/>
  <c r="AE164" i="6"/>
  <c r="AE163" i="6"/>
  <c r="AE162" i="6"/>
  <c r="AE161" i="6"/>
  <c r="AE160" i="6"/>
  <c r="AE159" i="6"/>
  <c r="AE158" i="6"/>
  <c r="AE157" i="6"/>
  <c r="AE156" i="6"/>
  <c r="AE155" i="6"/>
  <c r="AE154" i="6"/>
  <c r="AE153" i="6"/>
  <c r="AE152" i="6"/>
  <c r="AE151" i="6"/>
  <c r="AE150" i="6"/>
  <c r="AE149" i="6"/>
  <c r="AE148" i="6"/>
  <c r="AE147" i="6"/>
  <c r="AE146" i="6"/>
  <c r="AE145" i="6"/>
  <c r="AE144" i="6"/>
  <c r="AE143" i="6"/>
  <c r="AE142" i="6"/>
  <c r="AE141" i="6"/>
  <c r="AE140" i="6"/>
  <c r="AE139" i="6"/>
  <c r="AE138" i="6"/>
  <c r="AE137" i="6"/>
  <c r="AE136" i="6"/>
  <c r="AE135" i="6"/>
  <c r="AE134" i="6"/>
  <c r="AE133" i="6"/>
  <c r="AE132" i="6"/>
  <c r="AE131" i="6"/>
  <c r="AE130" i="6"/>
  <c r="AE129" i="6"/>
  <c r="AE128" i="6"/>
  <c r="AE127" i="6"/>
  <c r="AE126" i="6"/>
  <c r="AE125" i="6"/>
  <c r="AE124" i="6"/>
  <c r="AE123" i="6"/>
  <c r="AE122" i="6"/>
  <c r="AE121" i="6"/>
  <c r="AE120" i="6"/>
  <c r="AE119" i="6"/>
  <c r="AE118" i="6"/>
  <c r="AE117" i="6"/>
  <c r="AE116" i="6"/>
  <c r="AE115" i="6"/>
  <c r="AE114" i="6"/>
  <c r="AE113" i="6"/>
  <c r="AE112" i="6"/>
  <c r="AE111" i="6"/>
  <c r="AE110" i="6"/>
  <c r="AE109" i="6"/>
  <c r="AE108" i="6"/>
  <c r="AE107" i="6"/>
  <c r="AE106" i="6"/>
  <c r="AE105" i="6"/>
  <c r="AE104" i="6"/>
  <c r="AE103" i="6"/>
  <c r="AE102" i="6"/>
  <c r="AE101" i="6"/>
  <c r="AE100" i="6"/>
  <c r="AE99" i="6"/>
  <c r="AE98" i="6"/>
  <c r="AE97" i="6"/>
  <c r="AE96" i="6"/>
  <c r="AY95" i="6"/>
  <c r="X95" i="6"/>
  <c r="AF95" i="6" s="1"/>
  <c r="AG95" i="6" s="1"/>
  <c r="S95" i="6"/>
  <c r="T95" i="6" s="1"/>
  <c r="Q95" i="6"/>
  <c r="O95" i="6"/>
  <c r="N95" i="6"/>
  <c r="AY94" i="6"/>
  <c r="AF94" i="6"/>
  <c r="AG94" i="6" s="1"/>
  <c r="X94" i="6"/>
  <c r="S94" i="6"/>
  <c r="T94" i="6" s="1"/>
  <c r="V94" i="6" s="1"/>
  <c r="Q94" i="6"/>
  <c r="O94" i="6"/>
  <c r="N94" i="6"/>
  <c r="AY93" i="6"/>
  <c r="X93" i="6"/>
  <c r="AF93" i="6" s="1"/>
  <c r="AG93" i="6" s="1"/>
  <c r="S93" i="6"/>
  <c r="T93" i="6" s="1"/>
  <c r="Q93" i="6"/>
  <c r="O93" i="6"/>
  <c r="N93" i="6"/>
  <c r="AY92" i="6"/>
  <c r="X92" i="6"/>
  <c r="AF92" i="6" s="1"/>
  <c r="AG92" i="6" s="1"/>
  <c r="S92" i="6"/>
  <c r="T92" i="6" s="1"/>
  <c r="Q92" i="6"/>
  <c r="O92" i="6"/>
  <c r="N92" i="6"/>
  <c r="AY91" i="6"/>
  <c r="X91" i="6"/>
  <c r="AF91" i="6" s="1"/>
  <c r="AG91" i="6" s="1"/>
  <c r="S91" i="6"/>
  <c r="T91" i="6" s="1"/>
  <c r="U91" i="6" s="1"/>
  <c r="Q91" i="6"/>
  <c r="O91" i="6"/>
  <c r="N91" i="6"/>
  <c r="AY90" i="6"/>
  <c r="X90" i="6"/>
  <c r="AF90" i="6" s="1"/>
  <c r="AG90" i="6" s="1"/>
  <c r="T90" i="6"/>
  <c r="U90" i="6" s="1"/>
  <c r="S90" i="6"/>
  <c r="Q90" i="6"/>
  <c r="O90" i="6"/>
  <c r="N90" i="6"/>
  <c r="AY89" i="6"/>
  <c r="X89" i="6"/>
  <c r="AF89" i="6" s="1"/>
  <c r="AG89" i="6" s="1"/>
  <c r="S89" i="6"/>
  <c r="T89" i="6" s="1"/>
  <c r="V89" i="6" s="1"/>
  <c r="Q89" i="6"/>
  <c r="O89" i="6"/>
  <c r="N89" i="6"/>
  <c r="AY88" i="6"/>
  <c r="AF88" i="6"/>
  <c r="AG88" i="6" s="1"/>
  <c r="X88" i="6"/>
  <c r="S88" i="6"/>
  <c r="T88" i="6" s="1"/>
  <c r="V88" i="6" s="1"/>
  <c r="Q88" i="6"/>
  <c r="O88" i="6"/>
  <c r="N88" i="6"/>
  <c r="AY87" i="6"/>
  <c r="X87" i="6"/>
  <c r="AF87" i="6" s="1"/>
  <c r="AG87" i="6" s="1"/>
  <c r="S87" i="6"/>
  <c r="T87" i="6" s="1"/>
  <c r="Q87" i="6"/>
  <c r="O87" i="6"/>
  <c r="N87" i="6"/>
  <c r="AY86" i="6"/>
  <c r="X86" i="6"/>
  <c r="AF86" i="6" s="1"/>
  <c r="AG86" i="6" s="1"/>
  <c r="S86" i="6"/>
  <c r="T86" i="6" s="1"/>
  <c r="Q86" i="6"/>
  <c r="O86" i="6"/>
  <c r="N86" i="6"/>
  <c r="AE185" i="5"/>
  <c r="AE184" i="5"/>
  <c r="AE183" i="5"/>
  <c r="AE182" i="5"/>
  <c r="AE181" i="5"/>
  <c r="AE180" i="5"/>
  <c r="AE179" i="5"/>
  <c r="AE178" i="5"/>
  <c r="AE177" i="5"/>
  <c r="AE176" i="5"/>
  <c r="AE175" i="5"/>
  <c r="AE174" i="5"/>
  <c r="AE173" i="5"/>
  <c r="AE172" i="5"/>
  <c r="AE171" i="5"/>
  <c r="AE170" i="5"/>
  <c r="AE169" i="5"/>
  <c r="AE168" i="5"/>
  <c r="AE167" i="5"/>
  <c r="AE166" i="5"/>
  <c r="AE165" i="5"/>
  <c r="AE164" i="5"/>
  <c r="AE163" i="5"/>
  <c r="AE162" i="5"/>
  <c r="AE161" i="5"/>
  <c r="AE160" i="5"/>
  <c r="AE159" i="5"/>
  <c r="AE158" i="5"/>
  <c r="AE157" i="5"/>
  <c r="AE156" i="5"/>
  <c r="AE155" i="5"/>
  <c r="AE154" i="5"/>
  <c r="AE153" i="5"/>
  <c r="AE152" i="5"/>
  <c r="AE151" i="5"/>
  <c r="AE150" i="5"/>
  <c r="AE149" i="5"/>
  <c r="AE148" i="5"/>
  <c r="AE147" i="5"/>
  <c r="AE146" i="5"/>
  <c r="AE145" i="5"/>
  <c r="AE144" i="5"/>
  <c r="AE143" i="5"/>
  <c r="AE142" i="5"/>
  <c r="AE141" i="5"/>
  <c r="AE140" i="5"/>
  <c r="AE139" i="5"/>
  <c r="AE138" i="5"/>
  <c r="AE137" i="5"/>
  <c r="AE136" i="5"/>
  <c r="AE135" i="5"/>
  <c r="AE134" i="5"/>
  <c r="AE133" i="5"/>
  <c r="AE132" i="5"/>
  <c r="AE131" i="5"/>
  <c r="AE130" i="5"/>
  <c r="AE129" i="5"/>
  <c r="AE128" i="5"/>
  <c r="AE127" i="5"/>
  <c r="AE126" i="5"/>
  <c r="AE125" i="5"/>
  <c r="AE124" i="5"/>
  <c r="AE123" i="5"/>
  <c r="AE122" i="5"/>
  <c r="AE121" i="5"/>
  <c r="AE120" i="5"/>
  <c r="AE119" i="5"/>
  <c r="AE118" i="5"/>
  <c r="AE117" i="5"/>
  <c r="AE116" i="5"/>
  <c r="AE115" i="5"/>
  <c r="AE114" i="5"/>
  <c r="AE113" i="5"/>
  <c r="AE112" i="5"/>
  <c r="AE111" i="5"/>
  <c r="AE110" i="5"/>
  <c r="AE109" i="5"/>
  <c r="AE108" i="5"/>
  <c r="AE107" i="5"/>
  <c r="AE106" i="5"/>
  <c r="AE105" i="5"/>
  <c r="AE104" i="5"/>
  <c r="AE103" i="5"/>
  <c r="AE102" i="5"/>
  <c r="AE101" i="5"/>
  <c r="AE100" i="5"/>
  <c r="AE99" i="5"/>
  <c r="AE98" i="5"/>
  <c r="AE97" i="5"/>
  <c r="AE96" i="5"/>
  <c r="AY95" i="5"/>
  <c r="X95" i="5"/>
  <c r="AF95" i="5" s="1"/>
  <c r="AG95" i="5" s="1"/>
  <c r="T95" i="5"/>
  <c r="V95" i="5" s="1"/>
  <c r="S95" i="5"/>
  <c r="Q95" i="5"/>
  <c r="O95" i="5"/>
  <c r="N95" i="5"/>
  <c r="AY94" i="5"/>
  <c r="AF94" i="5"/>
  <c r="AG94" i="5" s="1"/>
  <c r="X94" i="5"/>
  <c r="S94" i="5"/>
  <c r="T94" i="5" s="1"/>
  <c r="Q94" i="5"/>
  <c r="O94" i="5"/>
  <c r="N94" i="5"/>
  <c r="AY93" i="5"/>
  <c r="X93" i="5"/>
  <c r="AF93" i="5" s="1"/>
  <c r="AG93" i="5" s="1"/>
  <c r="T93" i="5"/>
  <c r="V93" i="5" s="1"/>
  <c r="S93" i="5"/>
  <c r="Q93" i="5"/>
  <c r="O93" i="5"/>
  <c r="N93" i="5"/>
  <c r="AY92" i="5"/>
  <c r="X92" i="5"/>
  <c r="AF92" i="5" s="1"/>
  <c r="AG92" i="5" s="1"/>
  <c r="S92" i="5"/>
  <c r="T92" i="5" s="1"/>
  <c r="Q92" i="5"/>
  <c r="O92" i="5"/>
  <c r="N92" i="5"/>
  <c r="AY91" i="5"/>
  <c r="X91" i="5"/>
  <c r="AF91" i="5" s="1"/>
  <c r="AG91" i="5" s="1"/>
  <c r="T91" i="5"/>
  <c r="U91" i="5" s="1"/>
  <c r="S91" i="5"/>
  <c r="Q91" i="5"/>
  <c r="O91" i="5"/>
  <c r="N91" i="5"/>
  <c r="AY90" i="5"/>
  <c r="X90" i="5"/>
  <c r="AF90" i="5" s="1"/>
  <c r="AG90" i="5" s="1"/>
  <c r="V90" i="5"/>
  <c r="W90" i="5" s="1"/>
  <c r="T90" i="5"/>
  <c r="U90" i="5" s="1"/>
  <c r="S90" i="5"/>
  <c r="Q90" i="5"/>
  <c r="O90" i="5"/>
  <c r="N90" i="5"/>
  <c r="AY89" i="5"/>
  <c r="X89" i="5"/>
  <c r="AF89" i="5" s="1"/>
  <c r="AG89" i="5" s="1"/>
  <c r="T89" i="5"/>
  <c r="V89" i="5" s="1"/>
  <c r="S89" i="5"/>
  <c r="Q89" i="5"/>
  <c r="O89" i="5"/>
  <c r="N89" i="5"/>
  <c r="AY88" i="5"/>
  <c r="AF88" i="5"/>
  <c r="AG88" i="5" s="1"/>
  <c r="X88" i="5"/>
  <c r="T88" i="5"/>
  <c r="V88" i="5" s="1"/>
  <c r="S88" i="5"/>
  <c r="Q88" i="5"/>
  <c r="O88" i="5"/>
  <c r="N88" i="5"/>
  <c r="AY87" i="5"/>
  <c r="X87" i="5"/>
  <c r="AF87" i="5" s="1"/>
  <c r="AG87" i="5" s="1"/>
  <c r="V87" i="5"/>
  <c r="AE87" i="5" s="1"/>
  <c r="T87" i="5"/>
  <c r="U87" i="5" s="1"/>
  <c r="S87" i="5"/>
  <c r="Q87" i="5"/>
  <c r="O87" i="5"/>
  <c r="N87" i="5"/>
  <c r="AY86" i="5"/>
  <c r="X86" i="5"/>
  <c r="AF86" i="5" s="1"/>
  <c r="AG86" i="5" s="1"/>
  <c r="S86" i="5"/>
  <c r="T86" i="5" s="1"/>
  <c r="Q86" i="5"/>
  <c r="O86" i="5"/>
  <c r="N86" i="5"/>
  <c r="AY85" i="5"/>
  <c r="X85" i="5"/>
  <c r="AF85" i="5" s="1"/>
  <c r="AG85" i="5" s="1"/>
  <c r="T85" i="5"/>
  <c r="U85" i="5" s="1"/>
  <c r="S85" i="5"/>
  <c r="Q85" i="5"/>
  <c r="O85" i="5"/>
  <c r="N85" i="5"/>
  <c r="AY84" i="5"/>
  <c r="X84" i="5"/>
  <c r="AF84" i="5" s="1"/>
  <c r="AG84" i="5" s="1"/>
  <c r="V84" i="5"/>
  <c r="AE84" i="5" s="1"/>
  <c r="T84" i="5"/>
  <c r="U84" i="5" s="1"/>
  <c r="S84" i="5"/>
  <c r="Q84" i="5"/>
  <c r="O84" i="5"/>
  <c r="N84" i="5"/>
  <c r="AY83" i="5"/>
  <c r="X83" i="5"/>
  <c r="V83" i="5" s="1"/>
  <c r="T83" i="5"/>
  <c r="U83" i="5" s="1"/>
  <c r="S83" i="5"/>
  <c r="Q83" i="5"/>
  <c r="O83" i="5"/>
  <c r="N83" i="5"/>
  <c r="AY82" i="5"/>
  <c r="AF82" i="5"/>
  <c r="AG82" i="5" s="1"/>
  <c r="X82" i="5"/>
  <c r="T82" i="5"/>
  <c r="V82" i="5" s="1"/>
  <c r="S82" i="5"/>
  <c r="Q82" i="5"/>
  <c r="O82" i="5"/>
  <c r="N82" i="5"/>
  <c r="AY81" i="5"/>
  <c r="X81" i="5"/>
  <c r="AF81" i="5" s="1"/>
  <c r="AG81" i="5" s="1"/>
  <c r="V81" i="5"/>
  <c r="AE81" i="5" s="1"/>
  <c r="T81" i="5"/>
  <c r="U81" i="5" s="1"/>
  <c r="S81" i="5"/>
  <c r="Q81" i="5"/>
  <c r="O81" i="5"/>
  <c r="N81" i="5"/>
  <c r="AY80" i="5"/>
  <c r="X80" i="5"/>
  <c r="AF80" i="5" s="1"/>
  <c r="AG80" i="5" s="1"/>
  <c r="S80" i="5"/>
  <c r="T80" i="5" s="1"/>
  <c r="Q80" i="5"/>
  <c r="O80" i="5"/>
  <c r="N80" i="5"/>
  <c r="AY79" i="5"/>
  <c r="X79" i="5"/>
  <c r="AF79" i="5" s="1"/>
  <c r="AG79" i="5" s="1"/>
  <c r="T79" i="5"/>
  <c r="U79" i="5" s="1"/>
  <c r="S79" i="5"/>
  <c r="Q79" i="5"/>
  <c r="O79" i="5"/>
  <c r="N79" i="5"/>
  <c r="AY78" i="5"/>
  <c r="X78" i="5"/>
  <c r="AF78" i="5" s="1"/>
  <c r="AG78" i="5" s="1"/>
  <c r="V78" i="5"/>
  <c r="AE78" i="5" s="1"/>
  <c r="T78" i="5"/>
  <c r="U78" i="5" s="1"/>
  <c r="S78" i="5"/>
  <c r="Q78" i="5"/>
  <c r="O78" i="5"/>
  <c r="N78" i="5"/>
  <c r="AY77" i="5"/>
  <c r="X77" i="5"/>
  <c r="V77" i="5" s="1"/>
  <c r="T77" i="5"/>
  <c r="U77" i="5" s="1"/>
  <c r="S77" i="5"/>
  <c r="Q77" i="5"/>
  <c r="O77" i="5"/>
  <c r="N77" i="5"/>
  <c r="AY76" i="5"/>
  <c r="AF76" i="5"/>
  <c r="AG76" i="5" s="1"/>
  <c r="X76" i="5"/>
  <c r="T76" i="5"/>
  <c r="V76" i="5" s="1"/>
  <c r="S76" i="5"/>
  <c r="Q76" i="5"/>
  <c r="O76" i="5"/>
  <c r="N76" i="5"/>
  <c r="AY75" i="5"/>
  <c r="X75" i="5"/>
  <c r="AF75" i="5" s="1"/>
  <c r="AG75" i="5" s="1"/>
  <c r="T75" i="5"/>
  <c r="V75" i="5" s="1"/>
  <c r="S75" i="5"/>
  <c r="Q75" i="5"/>
  <c r="O75" i="5"/>
  <c r="N75" i="5"/>
  <c r="AY74" i="5"/>
  <c r="X74" i="5"/>
  <c r="AF74" i="5" s="1"/>
  <c r="AG74" i="5" s="1"/>
  <c r="S74" i="5"/>
  <c r="T74" i="5" s="1"/>
  <c r="Q74" i="5"/>
  <c r="O74" i="5"/>
  <c r="N74" i="5"/>
  <c r="AY73" i="5"/>
  <c r="X73" i="5"/>
  <c r="AF73" i="5" s="1"/>
  <c r="AG73" i="5" s="1"/>
  <c r="T73" i="5"/>
  <c r="U73" i="5" s="1"/>
  <c r="S73" i="5"/>
  <c r="Q73" i="5"/>
  <c r="O73" i="5"/>
  <c r="N73" i="5"/>
  <c r="AY72" i="5"/>
  <c r="X72" i="5"/>
  <c r="AF72" i="5" s="1"/>
  <c r="AG72" i="5" s="1"/>
  <c r="V72" i="5"/>
  <c r="AE72" i="5" s="1"/>
  <c r="T72" i="5"/>
  <c r="U72" i="5" s="1"/>
  <c r="S72" i="5"/>
  <c r="Q72" i="5"/>
  <c r="O72" i="5"/>
  <c r="N72" i="5"/>
  <c r="AY71" i="5"/>
  <c r="X71" i="5"/>
  <c r="V71" i="5" s="1"/>
  <c r="T71" i="5"/>
  <c r="U71" i="5" s="1"/>
  <c r="S71" i="5"/>
  <c r="Q71" i="5"/>
  <c r="O71" i="5"/>
  <c r="N71" i="5"/>
  <c r="AY70" i="5"/>
  <c r="AF70" i="5"/>
  <c r="AG70" i="5" s="1"/>
  <c r="X70" i="5"/>
  <c r="T70" i="5"/>
  <c r="V70" i="5" s="1"/>
  <c r="S70" i="5"/>
  <c r="Q70" i="5"/>
  <c r="O70" i="5"/>
  <c r="N70" i="5"/>
  <c r="AY69" i="5"/>
  <c r="X69" i="5"/>
  <c r="AF69" i="5" s="1"/>
  <c r="AG69" i="5" s="1"/>
  <c r="T69" i="5"/>
  <c r="V69" i="5" s="1"/>
  <c r="S69" i="5"/>
  <c r="Q69" i="5"/>
  <c r="O69" i="5"/>
  <c r="N69" i="5"/>
  <c r="AY68" i="5"/>
  <c r="X68" i="5"/>
  <c r="AF68" i="5" s="1"/>
  <c r="AG68" i="5" s="1"/>
  <c r="S68" i="5"/>
  <c r="T68" i="5" s="1"/>
  <c r="Q68" i="5"/>
  <c r="O68" i="5"/>
  <c r="N68" i="5"/>
  <c r="AY67" i="5"/>
  <c r="X67" i="5"/>
  <c r="AF67" i="5" s="1"/>
  <c r="AG67" i="5" s="1"/>
  <c r="T67" i="5"/>
  <c r="U67" i="5" s="1"/>
  <c r="S67" i="5"/>
  <c r="Q67" i="5"/>
  <c r="O67" i="5"/>
  <c r="N67" i="5"/>
  <c r="AY66" i="5"/>
  <c r="AG66" i="5"/>
  <c r="AF66" i="5"/>
  <c r="X66" i="5"/>
  <c r="V66" i="5"/>
  <c r="W66" i="5" s="1"/>
  <c r="T66" i="5"/>
  <c r="U66" i="5" s="1"/>
  <c r="S66" i="5"/>
  <c r="Q66" i="5"/>
  <c r="O66" i="5"/>
  <c r="N66" i="5"/>
  <c r="AY65" i="5"/>
  <c r="X65" i="5"/>
  <c r="V65" i="5" s="1"/>
  <c r="T65" i="5"/>
  <c r="U65" i="5" s="1"/>
  <c r="S65" i="5"/>
  <c r="Q65" i="5"/>
  <c r="O65" i="5"/>
  <c r="N65" i="5"/>
  <c r="AY64" i="5"/>
  <c r="AF64" i="5"/>
  <c r="AG64" i="5" s="1"/>
  <c r="X64" i="5"/>
  <c r="T64" i="5"/>
  <c r="V64" i="5" s="1"/>
  <c r="S64" i="5"/>
  <c r="Q64" i="5"/>
  <c r="O64" i="5"/>
  <c r="N64" i="5"/>
  <c r="AY63" i="5"/>
  <c r="AG63" i="5"/>
  <c r="AF63" i="5"/>
  <c r="X63" i="5"/>
  <c r="V63" i="5"/>
  <c r="AE63" i="5" s="1"/>
  <c r="T63" i="5"/>
  <c r="U63" i="5" s="1"/>
  <c r="S63" i="5"/>
  <c r="Q63" i="5"/>
  <c r="O63" i="5"/>
  <c r="N63" i="5"/>
  <c r="AY62" i="5"/>
  <c r="X62" i="5"/>
  <c r="AF62" i="5" s="1"/>
  <c r="AG62" i="5" s="1"/>
  <c r="S62" i="5"/>
  <c r="T62" i="5" s="1"/>
  <c r="Q62" i="5"/>
  <c r="O62" i="5"/>
  <c r="N62" i="5"/>
  <c r="AY61" i="5"/>
  <c r="X61" i="5"/>
  <c r="AF61" i="5" s="1"/>
  <c r="AG61" i="5" s="1"/>
  <c r="T61" i="5"/>
  <c r="V61" i="5" s="1"/>
  <c r="S61" i="5"/>
  <c r="Q61" i="5"/>
  <c r="O61" i="5"/>
  <c r="N61" i="5"/>
  <c r="AY60" i="5"/>
  <c r="AG60" i="5"/>
  <c r="AF60" i="5"/>
  <c r="X60" i="5"/>
  <c r="V60" i="5"/>
  <c r="W60" i="5" s="1"/>
  <c r="T60" i="5"/>
  <c r="U60" i="5" s="1"/>
  <c r="S60" i="5"/>
  <c r="Q60" i="5"/>
  <c r="O60" i="5"/>
  <c r="N60" i="5"/>
  <c r="AY59" i="5"/>
  <c r="X59" i="5"/>
  <c r="V59" i="5" s="1"/>
  <c r="T59" i="5"/>
  <c r="U59" i="5" s="1"/>
  <c r="S59" i="5"/>
  <c r="Q59" i="5"/>
  <c r="O59" i="5"/>
  <c r="N59" i="5"/>
  <c r="AY58" i="5"/>
  <c r="AF58" i="5"/>
  <c r="AG58" i="5" s="1"/>
  <c r="X58" i="5"/>
  <c r="T58" i="5"/>
  <c r="V58" i="5" s="1"/>
  <c r="S58" i="5"/>
  <c r="Q58" i="5"/>
  <c r="O58" i="5"/>
  <c r="N58" i="5"/>
  <c r="AY57" i="5"/>
  <c r="AG57" i="5"/>
  <c r="AF57" i="5"/>
  <c r="X57" i="5"/>
  <c r="V57" i="5"/>
  <c r="AE57" i="5" s="1"/>
  <c r="T57" i="5"/>
  <c r="U57" i="5" s="1"/>
  <c r="S57" i="5"/>
  <c r="Q57" i="5"/>
  <c r="O57" i="5"/>
  <c r="N57" i="5"/>
  <c r="AY56" i="5"/>
  <c r="X56" i="5"/>
  <c r="AF56" i="5" s="1"/>
  <c r="AG56" i="5" s="1"/>
  <c r="S56" i="5"/>
  <c r="T56" i="5" s="1"/>
  <c r="Q56" i="5"/>
  <c r="O56" i="5"/>
  <c r="N56" i="5"/>
  <c r="AY55" i="5"/>
  <c r="X55" i="5"/>
  <c r="AF55" i="5" s="1"/>
  <c r="AG55" i="5" s="1"/>
  <c r="T55" i="5"/>
  <c r="U55" i="5" s="1"/>
  <c r="S55" i="5"/>
  <c r="Q55" i="5"/>
  <c r="O55" i="5"/>
  <c r="N55" i="5"/>
  <c r="AY54" i="5"/>
  <c r="AG54" i="5"/>
  <c r="AF54" i="5"/>
  <c r="X54" i="5"/>
  <c r="V54" i="5"/>
  <c r="W54" i="5" s="1"/>
  <c r="T54" i="5"/>
  <c r="U54" i="5" s="1"/>
  <c r="S54" i="5"/>
  <c r="Q54" i="5"/>
  <c r="O54" i="5"/>
  <c r="N54" i="5"/>
  <c r="AY53" i="5"/>
  <c r="X53" i="5"/>
  <c r="V53" i="5" s="1"/>
  <c r="T53" i="5"/>
  <c r="U53" i="5" s="1"/>
  <c r="S53" i="5"/>
  <c r="Q53" i="5"/>
  <c r="O53" i="5"/>
  <c r="N53" i="5"/>
  <c r="AY52" i="5"/>
  <c r="AF52" i="5"/>
  <c r="AG52" i="5" s="1"/>
  <c r="X52" i="5"/>
  <c r="T52" i="5"/>
  <c r="V52" i="5" s="1"/>
  <c r="S52" i="5"/>
  <c r="Q52" i="5"/>
  <c r="O52" i="5"/>
  <c r="N52" i="5"/>
  <c r="AY51" i="5"/>
  <c r="AG51" i="5"/>
  <c r="AF51" i="5"/>
  <c r="X51" i="5"/>
  <c r="V51" i="5"/>
  <c r="AE51" i="5" s="1"/>
  <c r="T51" i="5"/>
  <c r="U51" i="5" s="1"/>
  <c r="S51" i="5"/>
  <c r="Q51" i="5"/>
  <c r="O51" i="5"/>
  <c r="N51" i="5"/>
  <c r="AY50" i="5"/>
  <c r="X50" i="5"/>
  <c r="AF50" i="5" s="1"/>
  <c r="AG50" i="5" s="1"/>
  <c r="S50" i="5"/>
  <c r="T50" i="5" s="1"/>
  <c r="Q50" i="5"/>
  <c r="O50" i="5"/>
  <c r="N50" i="5"/>
  <c r="AY49" i="5"/>
  <c r="X49" i="5"/>
  <c r="AF49" i="5" s="1"/>
  <c r="AG49" i="5" s="1"/>
  <c r="T49" i="5"/>
  <c r="U49" i="5" s="1"/>
  <c r="S49" i="5"/>
  <c r="Q49" i="5"/>
  <c r="O49" i="5"/>
  <c r="N49" i="5"/>
  <c r="AY48" i="5"/>
  <c r="AG48" i="5"/>
  <c r="AF48" i="5"/>
  <c r="X48" i="5"/>
  <c r="V48" i="5"/>
  <c r="W48" i="5" s="1"/>
  <c r="T48" i="5"/>
  <c r="U48" i="5" s="1"/>
  <c r="S48" i="5"/>
  <c r="Q48" i="5"/>
  <c r="O48" i="5"/>
  <c r="N48" i="5"/>
  <c r="AY47" i="5"/>
  <c r="X47" i="5"/>
  <c r="V47" i="5" s="1"/>
  <c r="T47" i="5"/>
  <c r="U47" i="5" s="1"/>
  <c r="S47" i="5"/>
  <c r="Q47" i="5"/>
  <c r="O47" i="5"/>
  <c r="N47" i="5"/>
  <c r="AY46" i="5"/>
  <c r="AF46" i="5"/>
  <c r="AG46" i="5" s="1"/>
  <c r="X46" i="5"/>
  <c r="T46" i="5"/>
  <c r="V46" i="5" s="1"/>
  <c r="S46" i="5"/>
  <c r="Q46" i="5"/>
  <c r="O46" i="5"/>
  <c r="N46" i="5"/>
  <c r="AY45" i="5"/>
  <c r="AG45" i="5"/>
  <c r="AF45" i="5"/>
  <c r="X45" i="5"/>
  <c r="V45" i="5"/>
  <c r="AE45" i="5" s="1"/>
  <c r="T45" i="5"/>
  <c r="U45" i="5" s="1"/>
  <c r="S45" i="5"/>
  <c r="Q45" i="5"/>
  <c r="O45" i="5"/>
  <c r="N45" i="5"/>
  <c r="AY44" i="5"/>
  <c r="X44" i="5"/>
  <c r="AF44" i="5" s="1"/>
  <c r="AG44" i="5" s="1"/>
  <c r="S44" i="5"/>
  <c r="T44" i="5" s="1"/>
  <c r="Q44" i="5"/>
  <c r="O44" i="5"/>
  <c r="N44" i="5"/>
  <c r="AY43" i="5"/>
  <c r="X43" i="5"/>
  <c r="AF43" i="5" s="1"/>
  <c r="AG43" i="5" s="1"/>
  <c r="T43" i="5"/>
  <c r="U43" i="5" s="1"/>
  <c r="S43" i="5"/>
  <c r="Q43" i="5"/>
  <c r="O43" i="5"/>
  <c r="N43" i="5"/>
  <c r="AY42" i="5"/>
  <c r="AG42" i="5"/>
  <c r="AF42" i="5"/>
  <c r="X42" i="5"/>
  <c r="V42" i="5"/>
  <c r="AE42" i="5" s="1"/>
  <c r="T42" i="5"/>
  <c r="U42" i="5" s="1"/>
  <c r="S42" i="5"/>
  <c r="Q42" i="5"/>
  <c r="O42" i="5"/>
  <c r="N42" i="5"/>
  <c r="AY41" i="5"/>
  <c r="X41" i="5"/>
  <c r="V41" i="5" s="1"/>
  <c r="T41" i="5"/>
  <c r="U41" i="5" s="1"/>
  <c r="S41" i="5"/>
  <c r="Q41" i="5"/>
  <c r="O41" i="5"/>
  <c r="N41" i="5"/>
  <c r="AY40" i="5"/>
  <c r="AF40" i="5"/>
  <c r="AG40" i="5" s="1"/>
  <c r="X40" i="5"/>
  <c r="S40" i="5"/>
  <c r="T40" i="5" s="1"/>
  <c r="V40" i="5" s="1"/>
  <c r="Q40" i="5"/>
  <c r="O40" i="5"/>
  <c r="N40" i="5"/>
  <c r="AY39" i="5"/>
  <c r="AG39" i="5"/>
  <c r="AF39" i="5"/>
  <c r="X39" i="5"/>
  <c r="S39" i="5"/>
  <c r="T39" i="5" s="1"/>
  <c r="Q39" i="5"/>
  <c r="O39" i="5"/>
  <c r="N39" i="5"/>
  <c r="AY38" i="5"/>
  <c r="X38" i="5"/>
  <c r="AF38" i="5" s="1"/>
  <c r="AG38" i="5" s="1"/>
  <c r="S38" i="5"/>
  <c r="T38" i="5" s="1"/>
  <c r="Q38" i="5"/>
  <c r="O38" i="5"/>
  <c r="N38" i="5"/>
  <c r="AY37" i="5"/>
  <c r="X37" i="5"/>
  <c r="AF37" i="5" s="1"/>
  <c r="AG37" i="5" s="1"/>
  <c r="S37" i="5"/>
  <c r="T37" i="5" s="1"/>
  <c r="U37" i="5" s="1"/>
  <c r="Q37" i="5"/>
  <c r="O37" i="5"/>
  <c r="N37" i="5"/>
  <c r="AY36" i="5"/>
  <c r="AG36" i="5"/>
  <c r="AF36" i="5"/>
  <c r="X36" i="5"/>
  <c r="T36" i="5"/>
  <c r="U36" i="5" s="1"/>
  <c r="S36" i="5"/>
  <c r="Q36" i="5"/>
  <c r="O36" i="5"/>
  <c r="N36" i="5"/>
  <c r="AY35" i="5"/>
  <c r="X35" i="5"/>
  <c r="S35" i="5"/>
  <c r="T35" i="5" s="1"/>
  <c r="U35" i="5" s="1"/>
  <c r="Q35" i="5"/>
  <c r="O35" i="5"/>
  <c r="N35" i="5"/>
  <c r="AY34" i="5"/>
  <c r="AF34" i="5"/>
  <c r="AG34" i="5" s="1"/>
  <c r="X34" i="5"/>
  <c r="T34" i="5"/>
  <c r="V34" i="5" s="1"/>
  <c r="S34" i="5"/>
  <c r="Q34" i="5"/>
  <c r="O34" i="5"/>
  <c r="N34" i="5"/>
  <c r="AE185" i="4"/>
  <c r="AE184" i="4"/>
  <c r="AE183" i="4"/>
  <c r="AE182" i="4"/>
  <c r="AE181" i="4"/>
  <c r="AE180" i="4"/>
  <c r="AE179" i="4"/>
  <c r="AE178" i="4"/>
  <c r="AE177" i="4"/>
  <c r="AE176" i="4"/>
  <c r="AE175" i="4"/>
  <c r="AE174" i="4"/>
  <c r="AE173" i="4"/>
  <c r="AE172" i="4"/>
  <c r="AE171" i="4"/>
  <c r="AE170" i="4"/>
  <c r="AE169" i="4"/>
  <c r="AE168" i="4"/>
  <c r="AE167" i="4"/>
  <c r="AE166" i="4"/>
  <c r="AE165" i="4"/>
  <c r="AE164" i="4"/>
  <c r="AE163" i="4"/>
  <c r="AE162" i="4"/>
  <c r="AE161" i="4"/>
  <c r="AE160" i="4"/>
  <c r="AE159" i="4"/>
  <c r="AE158" i="4"/>
  <c r="AE157" i="4"/>
  <c r="AE156" i="4"/>
  <c r="AE155" i="4"/>
  <c r="AE154" i="4"/>
  <c r="AE153" i="4"/>
  <c r="AE152" i="4"/>
  <c r="AE151" i="4"/>
  <c r="AE150" i="4"/>
  <c r="AE149" i="4"/>
  <c r="AE148" i="4"/>
  <c r="AE147" i="4"/>
  <c r="AE146" i="4"/>
  <c r="AE145" i="4"/>
  <c r="AE144" i="4"/>
  <c r="AE143" i="4"/>
  <c r="AE142" i="4"/>
  <c r="AE141" i="4"/>
  <c r="AE140" i="4"/>
  <c r="AE139" i="4"/>
  <c r="AE138" i="4"/>
  <c r="AE137" i="4"/>
  <c r="AE136" i="4"/>
  <c r="AE135" i="4"/>
  <c r="AE134" i="4"/>
  <c r="AE133" i="4"/>
  <c r="AE132" i="4"/>
  <c r="AE131" i="4"/>
  <c r="AE130" i="4"/>
  <c r="AE129" i="4"/>
  <c r="AE128" i="4"/>
  <c r="AE127" i="4"/>
  <c r="AE126" i="4"/>
  <c r="AE125" i="4"/>
  <c r="AE124" i="4"/>
  <c r="AE123" i="4"/>
  <c r="AE122" i="4"/>
  <c r="AE121" i="4"/>
  <c r="AE120" i="4"/>
  <c r="AE119" i="4"/>
  <c r="AE118" i="4"/>
  <c r="AE117" i="4"/>
  <c r="AE116" i="4"/>
  <c r="AE115" i="4"/>
  <c r="AE114" i="4"/>
  <c r="AE113" i="4"/>
  <c r="AE112" i="4"/>
  <c r="AE111" i="4"/>
  <c r="AE110" i="4"/>
  <c r="AE109" i="4"/>
  <c r="AE108" i="4"/>
  <c r="AE107" i="4"/>
  <c r="AE106" i="4"/>
  <c r="AE105" i="4"/>
  <c r="AE104" i="4"/>
  <c r="AE103" i="4"/>
  <c r="AE102" i="4"/>
  <c r="AE101" i="4"/>
  <c r="AE100" i="4"/>
  <c r="AE99" i="4"/>
  <c r="AE98" i="4"/>
  <c r="AE97" i="4"/>
  <c r="AE96" i="4"/>
  <c r="AY95" i="4"/>
  <c r="X95" i="4"/>
  <c r="AF95" i="4" s="1"/>
  <c r="AG95" i="4" s="1"/>
  <c r="T95" i="4"/>
  <c r="V95" i="4" s="1"/>
  <c r="S95" i="4"/>
  <c r="Q95" i="4"/>
  <c r="O95" i="4"/>
  <c r="N95" i="4"/>
  <c r="AY94" i="4"/>
  <c r="AF94" i="4"/>
  <c r="AG94" i="4" s="1"/>
  <c r="X94" i="4"/>
  <c r="T94" i="4"/>
  <c r="V94" i="4" s="1"/>
  <c r="S94" i="4"/>
  <c r="Q94" i="4"/>
  <c r="O94" i="4"/>
  <c r="N94" i="4"/>
  <c r="AY93" i="4"/>
  <c r="X93" i="4"/>
  <c r="AF93" i="4" s="1"/>
  <c r="AG93" i="4" s="1"/>
  <c r="S93" i="4"/>
  <c r="T93" i="4" s="1"/>
  <c r="Q93" i="4"/>
  <c r="O93" i="4"/>
  <c r="N93" i="4"/>
  <c r="AY92" i="4"/>
  <c r="X92" i="4"/>
  <c r="AF92" i="4" s="1"/>
  <c r="AG92" i="4" s="1"/>
  <c r="S92" i="4"/>
  <c r="T92" i="4" s="1"/>
  <c r="Q92" i="4"/>
  <c r="O92" i="4"/>
  <c r="N92" i="4"/>
  <c r="AY91" i="4"/>
  <c r="X91" i="4"/>
  <c r="AF91" i="4" s="1"/>
  <c r="AG91" i="4" s="1"/>
  <c r="T91" i="4"/>
  <c r="V91" i="4" s="1"/>
  <c r="S91" i="4"/>
  <c r="Q91" i="4"/>
  <c r="O91" i="4"/>
  <c r="N91" i="4"/>
  <c r="AY90" i="4"/>
  <c r="X90" i="4"/>
  <c r="AF90" i="4" s="1"/>
  <c r="AG90" i="4" s="1"/>
  <c r="V90" i="4"/>
  <c r="AE90" i="4" s="1"/>
  <c r="T90" i="4"/>
  <c r="U90" i="4" s="1"/>
  <c r="S90" i="4"/>
  <c r="Q90" i="4"/>
  <c r="O90" i="4"/>
  <c r="N90" i="4"/>
  <c r="AY89" i="4"/>
  <c r="X89" i="4"/>
  <c r="AF89" i="4" s="1"/>
  <c r="AG89" i="4" s="1"/>
  <c r="T89" i="4"/>
  <c r="V89" i="4" s="1"/>
  <c r="S89" i="4"/>
  <c r="Q89" i="4"/>
  <c r="O89" i="4"/>
  <c r="N89" i="4"/>
  <c r="AY88" i="4"/>
  <c r="AF88" i="4"/>
  <c r="AG88" i="4" s="1"/>
  <c r="X88" i="4"/>
  <c r="T88" i="4"/>
  <c r="V88" i="4" s="1"/>
  <c r="S88" i="4"/>
  <c r="Q88" i="4"/>
  <c r="O88" i="4"/>
  <c r="N88" i="4"/>
  <c r="AY87" i="4"/>
  <c r="X87" i="4"/>
  <c r="AF87" i="4" s="1"/>
  <c r="AG87" i="4" s="1"/>
  <c r="S87" i="4"/>
  <c r="T87" i="4" s="1"/>
  <c r="Q87" i="4"/>
  <c r="O87" i="4"/>
  <c r="N87" i="4"/>
  <c r="AY86" i="4"/>
  <c r="X86" i="4"/>
  <c r="AF86" i="4" s="1"/>
  <c r="AG86" i="4" s="1"/>
  <c r="S86" i="4"/>
  <c r="T86" i="4" s="1"/>
  <c r="Q86" i="4"/>
  <c r="O86" i="4"/>
  <c r="N86" i="4"/>
  <c r="AY85" i="4"/>
  <c r="X85" i="4"/>
  <c r="AF85" i="4" s="1"/>
  <c r="AG85" i="4" s="1"/>
  <c r="T85" i="4"/>
  <c r="V85" i="4" s="1"/>
  <c r="S85" i="4"/>
  <c r="Q85" i="4"/>
  <c r="O85" i="4"/>
  <c r="N85" i="4"/>
  <c r="AY84" i="4"/>
  <c r="X84" i="4"/>
  <c r="AF84" i="4" s="1"/>
  <c r="AG84" i="4" s="1"/>
  <c r="V84" i="4"/>
  <c r="AE84" i="4" s="1"/>
  <c r="T84" i="4"/>
  <c r="U84" i="4" s="1"/>
  <c r="S84" i="4"/>
  <c r="Q84" i="4"/>
  <c r="O84" i="4"/>
  <c r="N84" i="4"/>
  <c r="AY83" i="4"/>
  <c r="X83" i="4"/>
  <c r="AF83" i="4" s="1"/>
  <c r="AG83" i="4" s="1"/>
  <c r="T83" i="4"/>
  <c r="V83" i="4" s="1"/>
  <c r="S83" i="4"/>
  <c r="Q83" i="4"/>
  <c r="O83" i="4"/>
  <c r="N83" i="4"/>
  <c r="AY82" i="4"/>
  <c r="AF82" i="4"/>
  <c r="AG82" i="4" s="1"/>
  <c r="X82" i="4"/>
  <c r="T82" i="4"/>
  <c r="V82" i="4" s="1"/>
  <c r="S82" i="4"/>
  <c r="Q82" i="4"/>
  <c r="O82" i="4"/>
  <c r="N82" i="4"/>
  <c r="AY81" i="4"/>
  <c r="X81" i="4"/>
  <c r="AF81" i="4" s="1"/>
  <c r="AG81" i="4" s="1"/>
  <c r="S81" i="4"/>
  <c r="T81" i="4" s="1"/>
  <c r="Q81" i="4"/>
  <c r="O81" i="4"/>
  <c r="N81" i="4"/>
  <c r="AY80" i="4"/>
  <c r="X80" i="4"/>
  <c r="AF80" i="4" s="1"/>
  <c r="AG80" i="4" s="1"/>
  <c r="S80" i="4"/>
  <c r="T80" i="4" s="1"/>
  <c r="Q80" i="4"/>
  <c r="O80" i="4"/>
  <c r="N80" i="4"/>
  <c r="AY79" i="4"/>
  <c r="X79" i="4"/>
  <c r="AF79" i="4" s="1"/>
  <c r="AG79" i="4" s="1"/>
  <c r="T79" i="4"/>
  <c r="V79" i="4" s="1"/>
  <c r="S79" i="4"/>
  <c r="Q79" i="4"/>
  <c r="O79" i="4"/>
  <c r="N79" i="4"/>
  <c r="AY78" i="4"/>
  <c r="X78" i="4"/>
  <c r="AF78" i="4" s="1"/>
  <c r="AG78" i="4" s="1"/>
  <c r="V78" i="4"/>
  <c r="AE78" i="4" s="1"/>
  <c r="T78" i="4"/>
  <c r="U78" i="4" s="1"/>
  <c r="S78" i="4"/>
  <c r="Q78" i="4"/>
  <c r="O78" i="4"/>
  <c r="N78" i="4"/>
  <c r="AY77" i="4"/>
  <c r="X77" i="4"/>
  <c r="AF77" i="4" s="1"/>
  <c r="AG77" i="4" s="1"/>
  <c r="T77" i="4"/>
  <c r="V77" i="4" s="1"/>
  <c r="S77" i="4"/>
  <c r="Q77" i="4"/>
  <c r="O77" i="4"/>
  <c r="N77" i="4"/>
  <c r="AY76" i="4"/>
  <c r="AF76" i="4"/>
  <c r="AG76" i="4" s="1"/>
  <c r="X76" i="4"/>
  <c r="T76" i="4"/>
  <c r="V76" i="4" s="1"/>
  <c r="S76" i="4"/>
  <c r="Q76" i="4"/>
  <c r="O76" i="4"/>
  <c r="N76" i="4"/>
  <c r="AY75" i="4"/>
  <c r="X75" i="4"/>
  <c r="AF75" i="4" s="1"/>
  <c r="AG75" i="4" s="1"/>
  <c r="V75" i="4"/>
  <c r="AE75" i="4" s="1"/>
  <c r="T75" i="4"/>
  <c r="U75" i="4" s="1"/>
  <c r="S75" i="4"/>
  <c r="Q75" i="4"/>
  <c r="O75" i="4"/>
  <c r="N75" i="4"/>
  <c r="AY74" i="4"/>
  <c r="X74" i="4"/>
  <c r="AF74" i="4" s="1"/>
  <c r="AG74" i="4" s="1"/>
  <c r="S74" i="4"/>
  <c r="T74" i="4" s="1"/>
  <c r="Q74" i="4"/>
  <c r="O74" i="4"/>
  <c r="N74" i="4"/>
  <c r="AY73" i="4"/>
  <c r="X73" i="4"/>
  <c r="AF73" i="4" s="1"/>
  <c r="AG73" i="4" s="1"/>
  <c r="T73" i="4"/>
  <c r="U73" i="4" s="1"/>
  <c r="S73" i="4"/>
  <c r="Q73" i="4"/>
  <c r="O73" i="4"/>
  <c r="N73" i="4"/>
  <c r="AY72" i="4"/>
  <c r="X72" i="4"/>
  <c r="AF72" i="4" s="1"/>
  <c r="AG72" i="4" s="1"/>
  <c r="V72" i="4"/>
  <c r="AE72" i="4" s="1"/>
  <c r="T72" i="4"/>
  <c r="U72" i="4" s="1"/>
  <c r="S72" i="4"/>
  <c r="Q72" i="4"/>
  <c r="O72" i="4"/>
  <c r="N72" i="4"/>
  <c r="AY71" i="4"/>
  <c r="X71" i="4"/>
  <c r="V71" i="4" s="1"/>
  <c r="T71" i="4"/>
  <c r="U71" i="4" s="1"/>
  <c r="S71" i="4"/>
  <c r="Q71" i="4"/>
  <c r="O71" i="4"/>
  <c r="N71" i="4"/>
  <c r="AY70" i="4"/>
  <c r="AF70" i="4"/>
  <c r="AG70" i="4" s="1"/>
  <c r="X70" i="4"/>
  <c r="T70" i="4"/>
  <c r="V70" i="4" s="1"/>
  <c r="S70" i="4"/>
  <c r="Q70" i="4"/>
  <c r="O70" i="4"/>
  <c r="N70" i="4"/>
  <c r="AY69" i="4"/>
  <c r="X69" i="4"/>
  <c r="AF69" i="4" s="1"/>
  <c r="AG69" i="4" s="1"/>
  <c r="V69" i="4"/>
  <c r="AE69" i="4" s="1"/>
  <c r="T69" i="4"/>
  <c r="U69" i="4" s="1"/>
  <c r="S69" i="4"/>
  <c r="Q69" i="4"/>
  <c r="O69" i="4"/>
  <c r="N69" i="4"/>
  <c r="AY68" i="4"/>
  <c r="X68" i="4"/>
  <c r="AF68" i="4" s="1"/>
  <c r="AG68" i="4" s="1"/>
  <c r="S68" i="4"/>
  <c r="T68" i="4" s="1"/>
  <c r="Q68" i="4"/>
  <c r="O68" i="4"/>
  <c r="N68" i="4"/>
  <c r="AY67" i="4"/>
  <c r="X67" i="4"/>
  <c r="AF67" i="4" s="1"/>
  <c r="AG67" i="4" s="1"/>
  <c r="T67" i="4"/>
  <c r="U67" i="4" s="1"/>
  <c r="S67" i="4"/>
  <c r="Q67" i="4"/>
  <c r="O67" i="4"/>
  <c r="N67" i="4"/>
  <c r="AY66" i="4"/>
  <c r="X66" i="4"/>
  <c r="AF66" i="4" s="1"/>
  <c r="AG66" i="4" s="1"/>
  <c r="V66" i="4"/>
  <c r="AE66" i="4" s="1"/>
  <c r="T66" i="4"/>
  <c r="U66" i="4" s="1"/>
  <c r="S66" i="4"/>
  <c r="Q66" i="4"/>
  <c r="O66" i="4"/>
  <c r="N66" i="4"/>
  <c r="AY65" i="4"/>
  <c r="X65" i="4"/>
  <c r="V65" i="4" s="1"/>
  <c r="T65" i="4"/>
  <c r="U65" i="4" s="1"/>
  <c r="S65" i="4"/>
  <c r="Q65" i="4"/>
  <c r="O65" i="4"/>
  <c r="N65" i="4"/>
  <c r="AY64" i="4"/>
  <c r="AF64" i="4"/>
  <c r="AG64" i="4" s="1"/>
  <c r="X64" i="4"/>
  <c r="T64" i="4"/>
  <c r="V64" i="4" s="1"/>
  <c r="S64" i="4"/>
  <c r="Q64" i="4"/>
  <c r="O64" i="4"/>
  <c r="N64" i="4"/>
  <c r="AY63" i="4"/>
  <c r="X63" i="4"/>
  <c r="AF63" i="4" s="1"/>
  <c r="AG63" i="4" s="1"/>
  <c r="V63" i="4"/>
  <c r="AE63" i="4" s="1"/>
  <c r="T63" i="4"/>
  <c r="U63" i="4" s="1"/>
  <c r="S63" i="4"/>
  <c r="Q63" i="4"/>
  <c r="O63" i="4"/>
  <c r="N63" i="4"/>
  <c r="AY62" i="4"/>
  <c r="X62" i="4"/>
  <c r="AF62" i="4" s="1"/>
  <c r="AG62" i="4" s="1"/>
  <c r="S62" i="4"/>
  <c r="T62" i="4" s="1"/>
  <c r="Q62" i="4"/>
  <c r="O62" i="4"/>
  <c r="N62" i="4"/>
  <c r="AY61" i="4"/>
  <c r="X61" i="4"/>
  <c r="AF61" i="4" s="1"/>
  <c r="AG61" i="4" s="1"/>
  <c r="T61" i="4"/>
  <c r="V61" i="4" s="1"/>
  <c r="S61" i="4"/>
  <c r="Q61" i="4"/>
  <c r="O61" i="4"/>
  <c r="N61" i="4"/>
  <c r="AY60" i="4"/>
  <c r="X60" i="4"/>
  <c r="AF60" i="4" s="1"/>
  <c r="AG60" i="4" s="1"/>
  <c r="V60" i="4"/>
  <c r="AE60" i="4" s="1"/>
  <c r="T60" i="4"/>
  <c r="U60" i="4" s="1"/>
  <c r="S60" i="4"/>
  <c r="Q60" i="4"/>
  <c r="O60" i="4"/>
  <c r="N60" i="4"/>
  <c r="AY59" i="4"/>
  <c r="X59" i="4"/>
  <c r="V59" i="4" s="1"/>
  <c r="T59" i="4"/>
  <c r="U59" i="4" s="1"/>
  <c r="S59" i="4"/>
  <c r="Q59" i="4"/>
  <c r="O59" i="4"/>
  <c r="N59" i="4"/>
  <c r="AY58" i="4"/>
  <c r="AF58" i="4"/>
  <c r="AG58" i="4" s="1"/>
  <c r="X58" i="4"/>
  <c r="T58" i="4"/>
  <c r="V58" i="4" s="1"/>
  <c r="S58" i="4"/>
  <c r="Q58" i="4"/>
  <c r="O58" i="4"/>
  <c r="N58" i="4"/>
  <c r="AY57" i="4"/>
  <c r="X57" i="4"/>
  <c r="AF57" i="4" s="1"/>
  <c r="AG57" i="4" s="1"/>
  <c r="T57" i="4"/>
  <c r="V57" i="4" s="1"/>
  <c r="S57" i="4"/>
  <c r="Q57" i="4"/>
  <c r="O57" i="4"/>
  <c r="N57" i="4"/>
  <c r="AY56" i="4"/>
  <c r="X56" i="4"/>
  <c r="AF56" i="4" s="1"/>
  <c r="AG56" i="4" s="1"/>
  <c r="S56" i="4"/>
  <c r="T56" i="4" s="1"/>
  <c r="Q56" i="4"/>
  <c r="O56" i="4"/>
  <c r="N56" i="4"/>
  <c r="AY55" i="4"/>
  <c r="X55" i="4"/>
  <c r="AF55" i="4" s="1"/>
  <c r="AG55" i="4" s="1"/>
  <c r="T55" i="4"/>
  <c r="U55" i="4" s="1"/>
  <c r="S55" i="4"/>
  <c r="Q55" i="4"/>
  <c r="O55" i="4"/>
  <c r="N55" i="4"/>
  <c r="AY54" i="4"/>
  <c r="X54" i="4"/>
  <c r="AF54" i="4" s="1"/>
  <c r="AG54" i="4" s="1"/>
  <c r="V54" i="4"/>
  <c r="W54" i="4" s="1"/>
  <c r="T54" i="4"/>
  <c r="U54" i="4" s="1"/>
  <c r="S54" i="4"/>
  <c r="Q54" i="4"/>
  <c r="O54" i="4"/>
  <c r="N54" i="4"/>
  <c r="AY53" i="4"/>
  <c r="X53" i="4"/>
  <c r="V53" i="4" s="1"/>
  <c r="T53" i="4"/>
  <c r="U53" i="4" s="1"/>
  <c r="S53" i="4"/>
  <c r="Q53" i="4"/>
  <c r="O53" i="4"/>
  <c r="N53" i="4"/>
  <c r="AY52" i="4"/>
  <c r="AF52" i="4"/>
  <c r="AG52" i="4" s="1"/>
  <c r="X52" i="4"/>
  <c r="T52" i="4"/>
  <c r="V52" i="4" s="1"/>
  <c r="S52" i="4"/>
  <c r="Q52" i="4"/>
  <c r="O52" i="4"/>
  <c r="N52" i="4"/>
  <c r="AY51" i="4"/>
  <c r="X51" i="4"/>
  <c r="AF51" i="4" s="1"/>
  <c r="AG51" i="4" s="1"/>
  <c r="V51" i="4"/>
  <c r="AE51" i="4" s="1"/>
  <c r="T51" i="4"/>
  <c r="U51" i="4" s="1"/>
  <c r="S51" i="4"/>
  <c r="Q51" i="4"/>
  <c r="O51" i="4"/>
  <c r="N51" i="4"/>
  <c r="AY50" i="4"/>
  <c r="X50" i="4"/>
  <c r="AF50" i="4" s="1"/>
  <c r="AG50" i="4" s="1"/>
  <c r="S50" i="4"/>
  <c r="T50" i="4" s="1"/>
  <c r="Q50" i="4"/>
  <c r="O50" i="4"/>
  <c r="N50" i="4"/>
  <c r="AY49" i="4"/>
  <c r="X49" i="4"/>
  <c r="AF49" i="4" s="1"/>
  <c r="AG49" i="4" s="1"/>
  <c r="T49" i="4"/>
  <c r="U49" i="4" s="1"/>
  <c r="S49" i="4"/>
  <c r="Q49" i="4"/>
  <c r="O49" i="4"/>
  <c r="N49" i="4"/>
  <c r="AY48" i="4"/>
  <c r="X48" i="4"/>
  <c r="AF48" i="4" s="1"/>
  <c r="AG48" i="4" s="1"/>
  <c r="V48" i="4"/>
  <c r="AE48" i="4" s="1"/>
  <c r="T48" i="4"/>
  <c r="U48" i="4" s="1"/>
  <c r="S48" i="4"/>
  <c r="Q48" i="4"/>
  <c r="O48" i="4"/>
  <c r="N48" i="4"/>
  <c r="AY47" i="4"/>
  <c r="X47" i="4"/>
  <c r="V47" i="4" s="1"/>
  <c r="T47" i="4"/>
  <c r="U47" i="4" s="1"/>
  <c r="S47" i="4"/>
  <c r="Q47" i="4"/>
  <c r="O47" i="4"/>
  <c r="N47" i="4"/>
  <c r="AY46" i="4"/>
  <c r="AF46" i="4"/>
  <c r="AG46" i="4" s="1"/>
  <c r="X46" i="4"/>
  <c r="T46" i="4"/>
  <c r="V46" i="4" s="1"/>
  <c r="S46" i="4"/>
  <c r="Q46" i="4"/>
  <c r="O46" i="4"/>
  <c r="N46" i="4"/>
  <c r="AY45" i="4"/>
  <c r="X45" i="4"/>
  <c r="AF45" i="4" s="1"/>
  <c r="AG45" i="4" s="1"/>
  <c r="V45" i="4"/>
  <c r="AE45" i="4" s="1"/>
  <c r="T45" i="4"/>
  <c r="U45" i="4" s="1"/>
  <c r="S45" i="4"/>
  <c r="Q45" i="4"/>
  <c r="O45" i="4"/>
  <c r="N45" i="4"/>
  <c r="AY44" i="4"/>
  <c r="X44" i="4"/>
  <c r="AF44" i="4" s="1"/>
  <c r="AG44" i="4" s="1"/>
  <c r="S44" i="4"/>
  <c r="T44" i="4" s="1"/>
  <c r="Q44" i="4"/>
  <c r="O44" i="4"/>
  <c r="N44" i="4"/>
  <c r="AY43" i="4"/>
  <c r="X43" i="4"/>
  <c r="AF43" i="4" s="1"/>
  <c r="AG43" i="4" s="1"/>
  <c r="T43" i="4"/>
  <c r="U43" i="4" s="1"/>
  <c r="S43" i="4"/>
  <c r="Q43" i="4"/>
  <c r="O43" i="4"/>
  <c r="N43" i="4"/>
  <c r="AY42" i="4"/>
  <c r="X42" i="4"/>
  <c r="AF42" i="4" s="1"/>
  <c r="AG42" i="4" s="1"/>
  <c r="V42" i="4"/>
  <c r="AE42" i="4" s="1"/>
  <c r="T42" i="4"/>
  <c r="U42" i="4" s="1"/>
  <c r="S42" i="4"/>
  <c r="Q42" i="4"/>
  <c r="O42" i="4"/>
  <c r="N42" i="4"/>
  <c r="AY41" i="4"/>
  <c r="X41" i="4"/>
  <c r="V41" i="4" s="1"/>
  <c r="T41" i="4"/>
  <c r="U41" i="4" s="1"/>
  <c r="S41" i="4"/>
  <c r="Q41" i="4"/>
  <c r="O41" i="4"/>
  <c r="N41" i="4"/>
  <c r="AY40" i="4"/>
  <c r="AF40" i="4"/>
  <c r="AG40" i="4" s="1"/>
  <c r="X40" i="4"/>
  <c r="S40" i="4"/>
  <c r="T40" i="4" s="1"/>
  <c r="V40" i="4" s="1"/>
  <c r="Q40" i="4"/>
  <c r="O40" i="4"/>
  <c r="N40" i="4"/>
  <c r="AY39" i="4"/>
  <c r="X39" i="4"/>
  <c r="AF39" i="4" s="1"/>
  <c r="AG39" i="4" s="1"/>
  <c r="S39" i="4"/>
  <c r="T39" i="4" s="1"/>
  <c r="Q39" i="4"/>
  <c r="O39" i="4"/>
  <c r="N39" i="4"/>
  <c r="AY38" i="4"/>
  <c r="X38" i="4"/>
  <c r="AF38" i="4" s="1"/>
  <c r="AG38" i="4" s="1"/>
  <c r="S38" i="4"/>
  <c r="T38" i="4" s="1"/>
  <c r="Q38" i="4"/>
  <c r="O38" i="4"/>
  <c r="N38" i="4"/>
  <c r="AY37" i="4"/>
  <c r="X37" i="4"/>
  <c r="AF37" i="4" s="1"/>
  <c r="AG37" i="4" s="1"/>
  <c r="T37" i="4"/>
  <c r="U37" i="4" s="1"/>
  <c r="S37" i="4"/>
  <c r="Q37" i="4"/>
  <c r="O37" i="4"/>
  <c r="N37" i="4"/>
  <c r="AY36" i="4"/>
  <c r="X36" i="4"/>
  <c r="AF36" i="4" s="1"/>
  <c r="AG36" i="4" s="1"/>
  <c r="S36" i="4"/>
  <c r="T36" i="4" s="1"/>
  <c r="Q36" i="4"/>
  <c r="O36" i="4"/>
  <c r="N36" i="4"/>
  <c r="AY35" i="4"/>
  <c r="X35" i="4"/>
  <c r="T35" i="4"/>
  <c r="U35" i="4" s="1"/>
  <c r="S35" i="4"/>
  <c r="Q35" i="4"/>
  <c r="O35" i="4"/>
  <c r="N35" i="4"/>
  <c r="AY34" i="4"/>
  <c r="AF34" i="4"/>
  <c r="AG34" i="4" s="1"/>
  <c r="X34" i="4"/>
  <c r="S34" i="4"/>
  <c r="T34" i="4" s="1"/>
  <c r="V34" i="4" s="1"/>
  <c r="Q34" i="4"/>
  <c r="O34" i="4"/>
  <c r="N34" i="4"/>
  <c r="AY33" i="4"/>
  <c r="X33" i="4"/>
  <c r="AF33" i="4" s="1"/>
  <c r="AG33" i="4" s="1"/>
  <c r="T33" i="4"/>
  <c r="U33" i="4" s="1"/>
  <c r="S33" i="4"/>
  <c r="Q33" i="4"/>
  <c r="O33" i="4"/>
  <c r="N33" i="4"/>
  <c r="AY32" i="4"/>
  <c r="X32" i="4"/>
  <c r="AF32" i="4" s="1"/>
  <c r="AG32" i="4" s="1"/>
  <c r="S32" i="4"/>
  <c r="T32" i="4" s="1"/>
  <c r="Q32" i="4"/>
  <c r="O32" i="4"/>
  <c r="N32" i="4"/>
  <c r="AY31" i="4"/>
  <c r="X31" i="4"/>
  <c r="AF31" i="4" s="1"/>
  <c r="AG31" i="4" s="1"/>
  <c r="T31" i="4"/>
  <c r="V31" i="4" s="1"/>
  <c r="S31" i="4"/>
  <c r="Q31" i="4"/>
  <c r="O31" i="4"/>
  <c r="N31" i="4"/>
  <c r="AY30" i="4"/>
  <c r="X30" i="4"/>
  <c r="AF30" i="4" s="1"/>
  <c r="AG30" i="4" s="1"/>
  <c r="V30" i="4"/>
  <c r="W30" i="4" s="1"/>
  <c r="T30" i="4"/>
  <c r="U30" i="4" s="1"/>
  <c r="S30" i="4"/>
  <c r="Q30" i="4"/>
  <c r="O30" i="4"/>
  <c r="N30" i="4"/>
  <c r="AY29" i="4"/>
  <c r="X29" i="4"/>
  <c r="AF29" i="4" s="1"/>
  <c r="AG29" i="4" s="1"/>
  <c r="S29" i="4"/>
  <c r="T29" i="4" s="1"/>
  <c r="V29" i="4" s="1"/>
  <c r="Q29" i="4"/>
  <c r="O29" i="4"/>
  <c r="N29" i="4"/>
  <c r="AY28" i="4"/>
  <c r="AF28" i="4"/>
  <c r="AG28" i="4" s="1"/>
  <c r="X28" i="4"/>
  <c r="T28" i="4"/>
  <c r="V28" i="4" s="1"/>
  <c r="S28" i="4"/>
  <c r="Q28" i="4"/>
  <c r="O28" i="4"/>
  <c r="N28" i="4"/>
  <c r="AY27" i="4"/>
  <c r="X27" i="4"/>
  <c r="AF27" i="4" s="1"/>
  <c r="AG27" i="4" s="1"/>
  <c r="T27" i="4"/>
  <c r="U27" i="4" s="1"/>
  <c r="S27" i="4"/>
  <c r="Q27" i="4"/>
  <c r="O27" i="4"/>
  <c r="N27" i="4"/>
  <c r="AY26" i="4"/>
  <c r="X26" i="4"/>
  <c r="AF26" i="4" s="1"/>
  <c r="AG26" i="4" s="1"/>
  <c r="S26" i="4"/>
  <c r="T26" i="4" s="1"/>
  <c r="Q26" i="4"/>
  <c r="O26" i="4"/>
  <c r="N26" i="4"/>
  <c r="AY25" i="4"/>
  <c r="X25" i="4"/>
  <c r="AF25" i="4" s="1"/>
  <c r="AG25" i="4" s="1"/>
  <c r="T25" i="4"/>
  <c r="U25" i="4" s="1"/>
  <c r="S25" i="4"/>
  <c r="Q25" i="4"/>
  <c r="O25" i="4"/>
  <c r="N25" i="4"/>
  <c r="AY24" i="4"/>
  <c r="X24" i="4"/>
  <c r="AF24" i="4" s="1"/>
  <c r="AG24" i="4" s="1"/>
  <c r="T24" i="4"/>
  <c r="U24" i="4" s="1"/>
  <c r="S24" i="4"/>
  <c r="Q24" i="4"/>
  <c r="O24" i="4"/>
  <c r="N24" i="4"/>
  <c r="AE185" i="3"/>
  <c r="AE184" i="3"/>
  <c r="AE183" i="3"/>
  <c r="AE182" i="3"/>
  <c r="AE181" i="3"/>
  <c r="AE180" i="3"/>
  <c r="AE179" i="3"/>
  <c r="AE178" i="3"/>
  <c r="AE177" i="3"/>
  <c r="AE176" i="3"/>
  <c r="AE175" i="3"/>
  <c r="AE174" i="3"/>
  <c r="AE173" i="3"/>
  <c r="AE172" i="3"/>
  <c r="AE171" i="3"/>
  <c r="AE170" i="3"/>
  <c r="AE169" i="3"/>
  <c r="AE168" i="3"/>
  <c r="AE167" i="3"/>
  <c r="AE166" i="3"/>
  <c r="AE165" i="3"/>
  <c r="AE164" i="3"/>
  <c r="AE163" i="3"/>
  <c r="AE162" i="3"/>
  <c r="AE161" i="3"/>
  <c r="AE160" i="3"/>
  <c r="AE159" i="3"/>
  <c r="AE158" i="3"/>
  <c r="AE157" i="3"/>
  <c r="AE156" i="3"/>
  <c r="AE155" i="3"/>
  <c r="AE154" i="3"/>
  <c r="AE153" i="3"/>
  <c r="AE152" i="3"/>
  <c r="AE151" i="3"/>
  <c r="AE150" i="3"/>
  <c r="AE149" i="3"/>
  <c r="AE148" i="3"/>
  <c r="AE147" i="3"/>
  <c r="AE146" i="3"/>
  <c r="AE145" i="3"/>
  <c r="AE144" i="3"/>
  <c r="AE143" i="3"/>
  <c r="AE142" i="3"/>
  <c r="AE141" i="3"/>
  <c r="AE140" i="3"/>
  <c r="AE139" i="3"/>
  <c r="AE138" i="3"/>
  <c r="AE137" i="3"/>
  <c r="AE136" i="3"/>
  <c r="AE135" i="3"/>
  <c r="AE134" i="3"/>
  <c r="AE133" i="3"/>
  <c r="AE132" i="3"/>
  <c r="AE131" i="3"/>
  <c r="AE130" i="3"/>
  <c r="AE129" i="3"/>
  <c r="AE128" i="3"/>
  <c r="AE127" i="3"/>
  <c r="AE126" i="3"/>
  <c r="AE125" i="3"/>
  <c r="AE124" i="3"/>
  <c r="AE123" i="3"/>
  <c r="AE122" i="3"/>
  <c r="AE121" i="3"/>
  <c r="AE120" i="3"/>
  <c r="AE119" i="3"/>
  <c r="AE118" i="3"/>
  <c r="AE117" i="3"/>
  <c r="AE116" i="3"/>
  <c r="AE115" i="3"/>
  <c r="AE114" i="3"/>
  <c r="AE113" i="3"/>
  <c r="AE112" i="3"/>
  <c r="AE111" i="3"/>
  <c r="AE110" i="3"/>
  <c r="AE109" i="3"/>
  <c r="AE108" i="3"/>
  <c r="AE107" i="3"/>
  <c r="AE106" i="3"/>
  <c r="AE105" i="3"/>
  <c r="AE104" i="3"/>
  <c r="AE103" i="3"/>
  <c r="AE102" i="3"/>
  <c r="AE101" i="3"/>
  <c r="AE100" i="3"/>
  <c r="AE99" i="3"/>
  <c r="AE98" i="3"/>
  <c r="AE97" i="3"/>
  <c r="AE96" i="3"/>
  <c r="AY95" i="3"/>
  <c r="AG95" i="3"/>
  <c r="AF95" i="3"/>
  <c r="X95" i="3"/>
  <c r="S95" i="3"/>
  <c r="T95" i="3" s="1"/>
  <c r="Q95" i="3"/>
  <c r="O95" i="3"/>
  <c r="N95" i="3"/>
  <c r="AY94" i="3"/>
  <c r="AG94" i="3"/>
  <c r="AF94" i="3"/>
  <c r="X94" i="3"/>
  <c r="S94" i="3"/>
  <c r="T94" i="3" s="1"/>
  <c r="Q94" i="3"/>
  <c r="O94" i="3"/>
  <c r="N94" i="3"/>
  <c r="AY93" i="3"/>
  <c r="AG93" i="3"/>
  <c r="AF93" i="3"/>
  <c r="X93" i="3"/>
  <c r="S93" i="3"/>
  <c r="T93" i="3" s="1"/>
  <c r="Q93" i="3"/>
  <c r="O93" i="3"/>
  <c r="N93" i="3"/>
  <c r="AY92" i="3"/>
  <c r="X92" i="3"/>
  <c r="AF92" i="3" s="1"/>
  <c r="AG92" i="3" s="1"/>
  <c r="S92" i="3"/>
  <c r="T92" i="3" s="1"/>
  <c r="V92" i="3" s="1"/>
  <c r="Q92" i="3"/>
  <c r="O92" i="3"/>
  <c r="N92" i="3"/>
  <c r="AY91" i="3"/>
  <c r="X91" i="3"/>
  <c r="AF91" i="3" s="1"/>
  <c r="AG91" i="3" s="1"/>
  <c r="S91" i="3"/>
  <c r="T91" i="3" s="1"/>
  <c r="U91" i="3" s="1"/>
  <c r="Q91" i="3"/>
  <c r="O91" i="3"/>
  <c r="N91" i="3"/>
  <c r="AY90" i="3"/>
  <c r="AF90" i="3"/>
  <c r="AG90" i="3" s="1"/>
  <c r="X90" i="3"/>
  <c r="U90" i="3" s="1"/>
  <c r="T90" i="3"/>
  <c r="S90" i="3"/>
  <c r="Q90" i="3"/>
  <c r="O90" i="3"/>
  <c r="N90" i="3"/>
  <c r="AY89" i="3"/>
  <c r="AG89" i="3"/>
  <c r="AF89" i="3"/>
  <c r="X89" i="3"/>
  <c r="T89" i="3"/>
  <c r="U89" i="3" s="1"/>
  <c r="S89" i="3"/>
  <c r="Q89" i="3"/>
  <c r="O89" i="3"/>
  <c r="N89" i="3"/>
  <c r="AY88" i="3"/>
  <c r="AG88" i="3"/>
  <c r="AF88" i="3"/>
  <c r="X88" i="3"/>
  <c r="S88" i="3"/>
  <c r="T88" i="3" s="1"/>
  <c r="Q88" i="3"/>
  <c r="O88" i="3"/>
  <c r="N88" i="3"/>
  <c r="AY87" i="3"/>
  <c r="AG87" i="3"/>
  <c r="AF87" i="3"/>
  <c r="X87" i="3"/>
  <c r="T87" i="3"/>
  <c r="V87" i="3" s="1"/>
  <c r="S87" i="3"/>
  <c r="Q87" i="3"/>
  <c r="O87" i="3"/>
  <c r="N87" i="3"/>
  <c r="AY86" i="3"/>
  <c r="X86" i="3"/>
  <c r="AF86" i="3" s="1"/>
  <c r="AG86" i="3" s="1"/>
  <c r="V86" i="3"/>
  <c r="AE86" i="3" s="1"/>
  <c r="T86" i="3"/>
  <c r="S86" i="3"/>
  <c r="Q86" i="3"/>
  <c r="O86" i="3"/>
  <c r="N86" i="3"/>
  <c r="AY85" i="3"/>
  <c r="X85" i="3"/>
  <c r="AF85" i="3" s="1"/>
  <c r="AG85" i="3" s="1"/>
  <c r="S85" i="3"/>
  <c r="T85" i="3" s="1"/>
  <c r="U85" i="3" s="1"/>
  <c r="Q85" i="3"/>
  <c r="O85" i="3"/>
  <c r="N85" i="3"/>
  <c r="AE185" i="2"/>
  <c r="AE184" i="2"/>
  <c r="AE183" i="2"/>
  <c r="AE182" i="2"/>
  <c r="AE181" i="2"/>
  <c r="AE180" i="2"/>
  <c r="AE179" i="2"/>
  <c r="AE178" i="2"/>
  <c r="AE177" i="2"/>
  <c r="AE176" i="2"/>
  <c r="AE175" i="2"/>
  <c r="AE174" i="2"/>
  <c r="AE173" i="2"/>
  <c r="AE172" i="2"/>
  <c r="AE171" i="2"/>
  <c r="AE170" i="2"/>
  <c r="AE169" i="2"/>
  <c r="AE168" i="2"/>
  <c r="AE167" i="2"/>
  <c r="AE166" i="2"/>
  <c r="AE165" i="2"/>
  <c r="V90" i="6" l="1"/>
  <c r="W90" i="6" s="1"/>
  <c r="U39" i="5"/>
  <c r="V39" i="5"/>
  <c r="AE39" i="5" s="1"/>
  <c r="V35" i="5"/>
  <c r="V36" i="5"/>
  <c r="W36" i="5" s="1"/>
  <c r="U36" i="4"/>
  <c r="V36" i="4"/>
  <c r="W36" i="4" s="1"/>
  <c r="U39" i="4"/>
  <c r="V39" i="4"/>
  <c r="AE39" i="4" s="1"/>
  <c r="V33" i="4"/>
  <c r="AE33" i="4" s="1"/>
  <c r="V27" i="4"/>
  <c r="AE27" i="4" s="1"/>
  <c r="V35" i="4"/>
  <c r="V24" i="4"/>
  <c r="W24" i="4" s="1"/>
  <c r="V93" i="3"/>
  <c r="U93" i="3"/>
  <c r="AE92" i="3"/>
  <c r="W92" i="3"/>
  <c r="W86" i="3"/>
  <c r="V89" i="3"/>
  <c r="V95" i="3"/>
  <c r="U87" i="3"/>
  <c r="V86" i="6"/>
  <c r="U86" i="6"/>
  <c r="AC88" i="6"/>
  <c r="W88" i="6"/>
  <c r="AE88" i="6"/>
  <c r="V95" i="6"/>
  <c r="U95" i="6"/>
  <c r="V87" i="6"/>
  <c r="U87" i="6"/>
  <c r="V92" i="6"/>
  <c r="U92" i="6"/>
  <c r="AC94" i="6"/>
  <c r="W94" i="6"/>
  <c r="AE94" i="6"/>
  <c r="V93" i="6"/>
  <c r="U93" i="6"/>
  <c r="W89" i="6"/>
  <c r="AC89" i="6"/>
  <c r="AE89" i="6"/>
  <c r="V91" i="6"/>
  <c r="AC90" i="6"/>
  <c r="AE90" i="6"/>
  <c r="U88" i="6"/>
  <c r="U94" i="6"/>
  <c r="U89" i="6"/>
  <c r="V68" i="5"/>
  <c r="U68" i="5"/>
  <c r="AC88" i="5"/>
  <c r="AE88" i="5"/>
  <c r="W88" i="5"/>
  <c r="W35" i="5"/>
  <c r="AC35" i="5"/>
  <c r="AE35" i="5"/>
  <c r="W41" i="5"/>
  <c r="AE41" i="5"/>
  <c r="AC41" i="5"/>
  <c r="W47" i="5"/>
  <c r="AC47" i="5"/>
  <c r="AE47" i="5"/>
  <c r="W53" i="5"/>
  <c r="AC53" i="5"/>
  <c r="AE53" i="5"/>
  <c r="W59" i="5"/>
  <c r="AC59" i="5"/>
  <c r="AE59" i="5"/>
  <c r="W65" i="5"/>
  <c r="AC65" i="5"/>
  <c r="AE65" i="5"/>
  <c r="AC70" i="5"/>
  <c r="W70" i="5"/>
  <c r="AE70" i="5"/>
  <c r="AE75" i="5"/>
  <c r="AC75" i="5"/>
  <c r="W75" i="5"/>
  <c r="V80" i="5"/>
  <c r="U80" i="5"/>
  <c r="W83" i="5"/>
  <c r="AC83" i="5"/>
  <c r="AE83" i="5"/>
  <c r="V44" i="5"/>
  <c r="U44" i="5"/>
  <c r="V62" i="5"/>
  <c r="U62" i="5"/>
  <c r="W95" i="5"/>
  <c r="AC95" i="5"/>
  <c r="AE95" i="5"/>
  <c r="V38" i="5"/>
  <c r="U38" i="5"/>
  <c r="AC34" i="5"/>
  <c r="W34" i="5"/>
  <c r="AE34" i="5"/>
  <c r="AC40" i="5"/>
  <c r="W40" i="5"/>
  <c r="AE40" i="5"/>
  <c r="AC46" i="5"/>
  <c r="AE46" i="5"/>
  <c r="W46" i="5"/>
  <c r="AC52" i="5"/>
  <c r="W52" i="5"/>
  <c r="AE52" i="5"/>
  <c r="AC58" i="5"/>
  <c r="W58" i="5"/>
  <c r="AE58" i="5"/>
  <c r="AC64" i="5"/>
  <c r="AE64" i="5"/>
  <c r="W64" i="5"/>
  <c r="AC82" i="5"/>
  <c r="AE82" i="5"/>
  <c r="W82" i="5"/>
  <c r="AE61" i="5"/>
  <c r="AC61" i="5"/>
  <c r="W61" i="5"/>
  <c r="W77" i="5"/>
  <c r="AC77" i="5"/>
  <c r="AE77" i="5"/>
  <c r="V92" i="5"/>
  <c r="U92" i="5"/>
  <c r="AE69" i="5"/>
  <c r="AC69" i="5"/>
  <c r="W69" i="5"/>
  <c r="V74" i="5"/>
  <c r="U74" i="5"/>
  <c r="V94" i="5"/>
  <c r="U94" i="5"/>
  <c r="AE93" i="5"/>
  <c r="AC93" i="5"/>
  <c r="W93" i="5"/>
  <c r="V56" i="5"/>
  <c r="U56" i="5"/>
  <c r="AC76" i="5"/>
  <c r="AE76" i="5"/>
  <c r="W76" i="5"/>
  <c r="W89" i="5"/>
  <c r="AC89" i="5"/>
  <c r="AE89" i="5"/>
  <c r="V50" i="5"/>
  <c r="U50" i="5"/>
  <c r="V86" i="5"/>
  <c r="U86" i="5"/>
  <c r="W71" i="5"/>
  <c r="AC71" i="5"/>
  <c r="AE71" i="5"/>
  <c r="U61" i="5"/>
  <c r="W84" i="5"/>
  <c r="V37" i="5"/>
  <c r="V43" i="5"/>
  <c r="V49" i="5"/>
  <c r="V55" i="5"/>
  <c r="V67" i="5"/>
  <c r="V73" i="5"/>
  <c r="V79" i="5"/>
  <c r="V85" i="5"/>
  <c r="V91" i="5"/>
  <c r="W42" i="5"/>
  <c r="W78" i="5"/>
  <c r="AF35" i="5"/>
  <c r="AG35" i="5" s="1"/>
  <c r="AC36" i="5"/>
  <c r="AF41" i="5"/>
  <c r="AG41" i="5" s="1"/>
  <c r="AC42" i="5"/>
  <c r="AF47" i="5"/>
  <c r="AG47" i="5" s="1"/>
  <c r="AC48" i="5"/>
  <c r="AF53" i="5"/>
  <c r="AG53" i="5" s="1"/>
  <c r="AC54" i="5"/>
  <c r="AF59" i="5"/>
  <c r="AG59" i="5" s="1"/>
  <c r="AC60" i="5"/>
  <c r="AF65" i="5"/>
  <c r="AG65" i="5" s="1"/>
  <c r="AC66" i="5"/>
  <c r="AF71" i="5"/>
  <c r="AG71" i="5" s="1"/>
  <c r="AC72" i="5"/>
  <c r="AF77" i="5"/>
  <c r="AG77" i="5" s="1"/>
  <c r="AC78" i="5"/>
  <c r="AF83" i="5"/>
  <c r="AG83" i="5" s="1"/>
  <c r="AC84" i="5"/>
  <c r="AC90" i="5"/>
  <c r="W72" i="5"/>
  <c r="AE36" i="5"/>
  <c r="AE48" i="5"/>
  <c r="AE54" i="5"/>
  <c r="AE60" i="5"/>
  <c r="AE66" i="5"/>
  <c r="AE90" i="5"/>
  <c r="U69" i="5"/>
  <c r="U75" i="5"/>
  <c r="U93" i="5"/>
  <c r="U34" i="5"/>
  <c r="W39" i="5"/>
  <c r="U40" i="5"/>
  <c r="W45" i="5"/>
  <c r="U46" i="5"/>
  <c r="W51" i="5"/>
  <c r="U52" i="5"/>
  <c r="W57" i="5"/>
  <c r="U58" i="5"/>
  <c r="W63" i="5"/>
  <c r="U64" i="5"/>
  <c r="U70" i="5"/>
  <c r="U76" i="5"/>
  <c r="W81" i="5"/>
  <c r="U82" i="5"/>
  <c r="W87" i="5"/>
  <c r="U88" i="5"/>
  <c r="AC39" i="5"/>
  <c r="AC45" i="5"/>
  <c r="AC51" i="5"/>
  <c r="AC57" i="5"/>
  <c r="AC63" i="5"/>
  <c r="AC81" i="5"/>
  <c r="AC87" i="5"/>
  <c r="U89" i="5"/>
  <c r="U95" i="5"/>
  <c r="AC88" i="4"/>
  <c r="W88" i="4"/>
  <c r="AE88" i="4"/>
  <c r="AC40" i="4"/>
  <c r="W40" i="4"/>
  <c r="AE40" i="4"/>
  <c r="V68" i="4"/>
  <c r="U68" i="4"/>
  <c r="W71" i="4"/>
  <c r="AC71" i="4"/>
  <c r="AE71" i="4"/>
  <c r="AC58" i="4"/>
  <c r="W58" i="4"/>
  <c r="AE58" i="4"/>
  <c r="V32" i="4"/>
  <c r="U32" i="4"/>
  <c r="W35" i="4"/>
  <c r="AE35" i="4"/>
  <c r="AC35" i="4"/>
  <c r="V50" i="4"/>
  <c r="U50" i="4"/>
  <c r="W53" i="4"/>
  <c r="AE53" i="4"/>
  <c r="AC53" i="4"/>
  <c r="W83" i="4"/>
  <c r="AE83" i="4"/>
  <c r="AC83" i="4"/>
  <c r="W95" i="4"/>
  <c r="AC95" i="4"/>
  <c r="AE95" i="4"/>
  <c r="V93" i="4"/>
  <c r="U93" i="4"/>
  <c r="AC76" i="4"/>
  <c r="W76" i="4"/>
  <c r="AE76" i="4"/>
  <c r="AC70" i="4"/>
  <c r="W70" i="4"/>
  <c r="AE70" i="4"/>
  <c r="AE91" i="4"/>
  <c r="AC91" i="4"/>
  <c r="W91" i="4"/>
  <c r="W29" i="4"/>
  <c r="AC29" i="4"/>
  <c r="AE29" i="4"/>
  <c r="AC34" i="4"/>
  <c r="W34" i="4"/>
  <c r="AE34" i="4"/>
  <c r="AC52" i="4"/>
  <c r="AE52" i="4"/>
  <c r="W52" i="4"/>
  <c r="AE57" i="4"/>
  <c r="AC57" i="4"/>
  <c r="W57" i="4"/>
  <c r="V62" i="4"/>
  <c r="U62" i="4"/>
  <c r="W65" i="4"/>
  <c r="AE65" i="4"/>
  <c r="AC65" i="4"/>
  <c r="V80" i="4"/>
  <c r="U80" i="4"/>
  <c r="AE85" i="4"/>
  <c r="AC85" i="4"/>
  <c r="W85" i="4"/>
  <c r="V87" i="4"/>
  <c r="U87" i="4"/>
  <c r="V92" i="4"/>
  <c r="U92" i="4"/>
  <c r="AE61" i="4"/>
  <c r="AC61" i="4"/>
  <c r="W61" i="4"/>
  <c r="V26" i="4"/>
  <c r="U26" i="4"/>
  <c r="V44" i="4"/>
  <c r="U44" i="4"/>
  <c r="W47" i="4"/>
  <c r="AC47" i="4"/>
  <c r="AE47" i="4"/>
  <c r="AC82" i="4"/>
  <c r="W82" i="4"/>
  <c r="AE82" i="4"/>
  <c r="AC94" i="4"/>
  <c r="W94" i="4"/>
  <c r="AE94" i="4"/>
  <c r="AE79" i="4"/>
  <c r="AC79" i="4"/>
  <c r="W79" i="4"/>
  <c r="AE31" i="4"/>
  <c r="AC31" i="4"/>
  <c r="W31" i="4"/>
  <c r="AC64" i="4"/>
  <c r="W64" i="4"/>
  <c r="AE64" i="4"/>
  <c r="W77" i="4"/>
  <c r="AE77" i="4"/>
  <c r="AC77" i="4"/>
  <c r="W89" i="4"/>
  <c r="AC89" i="4"/>
  <c r="AE89" i="4"/>
  <c r="V86" i="4"/>
  <c r="U86" i="4"/>
  <c r="AC28" i="4"/>
  <c r="W28" i="4"/>
  <c r="AE28" i="4"/>
  <c r="AC46" i="4"/>
  <c r="W46" i="4"/>
  <c r="AE46" i="4"/>
  <c r="W59" i="4"/>
  <c r="AE59" i="4"/>
  <c r="AC59" i="4"/>
  <c r="V74" i="4"/>
  <c r="U74" i="4"/>
  <c r="V81" i="4"/>
  <c r="U81" i="4"/>
  <c r="V38" i="4"/>
  <c r="U38" i="4"/>
  <c r="W41" i="4"/>
  <c r="AC41" i="4"/>
  <c r="AE41" i="4"/>
  <c r="V56" i="4"/>
  <c r="U56" i="4"/>
  <c r="U31" i="4"/>
  <c r="W42" i="4"/>
  <c r="W48" i="4"/>
  <c r="U61" i="4"/>
  <c r="W72" i="4"/>
  <c r="U79" i="4"/>
  <c r="U85" i="4"/>
  <c r="W90" i="4"/>
  <c r="U91" i="4"/>
  <c r="V25" i="4"/>
  <c r="V37" i="4"/>
  <c r="V43" i="4"/>
  <c r="V49" i="4"/>
  <c r="V55" i="4"/>
  <c r="V67" i="4"/>
  <c r="V73" i="4"/>
  <c r="W60" i="4"/>
  <c r="W66" i="4"/>
  <c r="W78" i="4"/>
  <c r="W84" i="4"/>
  <c r="AC24" i="4"/>
  <c r="AC30" i="4"/>
  <c r="AF35" i="4"/>
  <c r="AG35" i="4" s="1"/>
  <c r="AC36" i="4"/>
  <c r="AF41" i="4"/>
  <c r="AG41" i="4" s="1"/>
  <c r="AC42" i="4"/>
  <c r="AF47" i="4"/>
  <c r="AG47" i="4" s="1"/>
  <c r="AC48" i="4"/>
  <c r="AF53" i="4"/>
  <c r="AG53" i="4" s="1"/>
  <c r="AC54" i="4"/>
  <c r="AF59" i="4"/>
  <c r="AG59" i="4" s="1"/>
  <c r="AC60" i="4"/>
  <c r="AF65" i="4"/>
  <c r="AG65" i="4" s="1"/>
  <c r="AC66" i="4"/>
  <c r="AF71" i="4"/>
  <c r="AG71" i="4" s="1"/>
  <c r="AC72" i="4"/>
  <c r="AC78" i="4"/>
  <c r="AC84" i="4"/>
  <c r="AC90" i="4"/>
  <c r="AE24" i="4"/>
  <c r="AE30" i="4"/>
  <c r="AE36" i="4"/>
  <c r="AE54" i="4"/>
  <c r="U57" i="4"/>
  <c r="W27" i="4"/>
  <c r="U28" i="4"/>
  <c r="W33" i="4"/>
  <c r="U34" i="4"/>
  <c r="W39" i="4"/>
  <c r="U40" i="4"/>
  <c r="W45" i="4"/>
  <c r="U46" i="4"/>
  <c r="W51" i="4"/>
  <c r="U52" i="4"/>
  <c r="U58" i="4"/>
  <c r="W63" i="4"/>
  <c r="U64" i="4"/>
  <c r="W69" i="4"/>
  <c r="U70" i="4"/>
  <c r="W75" i="4"/>
  <c r="U76" i="4"/>
  <c r="U82" i="4"/>
  <c r="U88" i="4"/>
  <c r="U94" i="4"/>
  <c r="AC27" i="4"/>
  <c r="U29" i="4"/>
  <c r="AC33" i="4"/>
  <c r="AC39" i="4"/>
  <c r="AC45" i="4"/>
  <c r="AC51" i="4"/>
  <c r="AC63" i="4"/>
  <c r="AC69" i="4"/>
  <c r="AC75" i="4"/>
  <c r="U77" i="4"/>
  <c r="U83" i="4"/>
  <c r="U89" i="4"/>
  <c r="U95" i="4"/>
  <c r="W95" i="3"/>
  <c r="AE95" i="3"/>
  <c r="AC95" i="3"/>
  <c r="V88" i="3"/>
  <c r="U88" i="3"/>
  <c r="AE87" i="3"/>
  <c r="AC87" i="3"/>
  <c r="W87" i="3"/>
  <c r="V94" i="3"/>
  <c r="U94" i="3"/>
  <c r="AE93" i="3"/>
  <c r="AC93" i="3"/>
  <c r="W93" i="3"/>
  <c r="W89" i="3"/>
  <c r="AE89" i="3"/>
  <c r="AC89" i="3"/>
  <c r="V90" i="3"/>
  <c r="V85" i="3"/>
  <c r="V91" i="3"/>
  <c r="U86" i="3"/>
  <c r="U92" i="3"/>
  <c r="AC86" i="3"/>
  <c r="AC92" i="3"/>
  <c r="U95" i="3"/>
  <c r="AE615" i="1"/>
  <c r="AE614" i="1"/>
  <c r="AE613" i="1"/>
  <c r="AE612" i="1"/>
  <c r="AE611" i="1"/>
  <c r="AE610" i="1"/>
  <c r="AE609" i="1"/>
  <c r="AE608" i="1"/>
  <c r="AE607" i="1"/>
  <c r="AE606" i="1"/>
  <c r="AE605" i="1"/>
  <c r="AE604" i="1"/>
  <c r="AE603" i="1"/>
  <c r="AE602" i="1"/>
  <c r="AE601" i="1"/>
  <c r="AE600" i="1"/>
  <c r="AE599" i="1"/>
  <c r="AE598" i="1"/>
  <c r="AE597" i="1"/>
  <c r="AE596" i="1"/>
  <c r="AE595" i="1"/>
  <c r="AE594" i="1"/>
  <c r="AE593" i="1"/>
  <c r="AE592" i="1"/>
  <c r="AE591" i="1"/>
  <c r="AE590" i="1"/>
  <c r="AE589" i="1"/>
  <c r="AE588" i="1"/>
  <c r="AE587" i="1"/>
  <c r="AE586" i="1"/>
  <c r="AE585" i="1"/>
  <c r="AE584" i="1"/>
  <c r="AE583" i="1"/>
  <c r="AE582" i="1"/>
  <c r="AE581" i="1"/>
  <c r="AE580" i="1"/>
  <c r="AE579" i="1"/>
  <c r="AE578" i="1"/>
  <c r="AE577" i="1"/>
  <c r="AE576" i="1"/>
  <c r="AE575" i="1"/>
  <c r="AE574" i="1"/>
  <c r="AE573" i="1"/>
  <c r="AE572" i="1"/>
  <c r="AE571" i="1"/>
  <c r="AE570" i="1"/>
  <c r="AE569" i="1"/>
  <c r="AE568" i="1"/>
  <c r="AE567" i="1"/>
  <c r="AE566" i="1"/>
  <c r="AE565" i="1"/>
  <c r="AE564" i="1"/>
  <c r="AE563" i="1"/>
  <c r="AE562" i="1"/>
  <c r="AE561" i="1"/>
  <c r="AE560" i="1"/>
  <c r="AE559" i="1"/>
  <c r="AE558" i="1"/>
  <c r="AE557" i="1"/>
  <c r="AE556" i="1"/>
  <c r="AE555" i="1"/>
  <c r="AE554" i="1"/>
  <c r="AE553" i="1"/>
  <c r="AE552" i="1"/>
  <c r="AE551" i="1"/>
  <c r="AE550" i="1"/>
  <c r="AE549" i="1"/>
  <c r="AE548" i="1"/>
  <c r="AE547" i="1"/>
  <c r="AE546" i="1"/>
  <c r="AE545" i="1"/>
  <c r="AE544" i="1"/>
  <c r="AE543" i="1"/>
  <c r="AE542" i="1"/>
  <c r="AE541" i="1"/>
  <c r="AE540" i="1"/>
  <c r="AE539" i="1"/>
  <c r="AE538" i="1"/>
  <c r="AE537" i="1"/>
  <c r="AE536" i="1"/>
  <c r="AE535" i="1"/>
  <c r="AE534" i="1"/>
  <c r="AE533" i="1"/>
  <c r="AE532" i="1"/>
  <c r="AE531" i="1"/>
  <c r="AE530" i="1"/>
  <c r="AE529" i="1"/>
  <c r="AE528" i="1"/>
  <c r="AE527" i="1"/>
  <c r="AE526" i="1"/>
  <c r="AY525" i="1"/>
  <c r="X525" i="1"/>
  <c r="AF525" i="1" s="1"/>
  <c r="AG525" i="1" s="1"/>
  <c r="S525" i="1"/>
  <c r="T525" i="1" s="1"/>
  <c r="Q525" i="1"/>
  <c r="O525" i="1"/>
  <c r="N525" i="1"/>
  <c r="AY524" i="1"/>
  <c r="X524" i="1"/>
  <c r="AF524" i="1" s="1"/>
  <c r="AG524" i="1" s="1"/>
  <c r="S524" i="1"/>
  <c r="Q524" i="1"/>
  <c r="O524" i="1"/>
  <c r="N524" i="1"/>
  <c r="AY523" i="1"/>
  <c r="X523" i="1"/>
  <c r="AF523" i="1" s="1"/>
  <c r="AG523" i="1" s="1"/>
  <c r="S523" i="1"/>
  <c r="Q523" i="1"/>
  <c r="O523" i="1"/>
  <c r="N523" i="1"/>
  <c r="AY522" i="1"/>
  <c r="X522" i="1"/>
  <c r="AF522" i="1" s="1"/>
  <c r="AG522" i="1" s="1"/>
  <c r="S522" i="1"/>
  <c r="T522" i="1" s="1"/>
  <c r="Q522" i="1"/>
  <c r="O522" i="1"/>
  <c r="N522" i="1"/>
  <c r="AY521" i="1"/>
  <c r="X521" i="1"/>
  <c r="AF521" i="1" s="1"/>
  <c r="AG521" i="1" s="1"/>
  <c r="S521" i="1"/>
  <c r="Q521" i="1"/>
  <c r="O521" i="1"/>
  <c r="N521" i="1"/>
  <c r="AY520" i="1"/>
  <c r="X520" i="1"/>
  <c r="AF520" i="1" s="1"/>
  <c r="AG520" i="1" s="1"/>
  <c r="S520" i="1"/>
  <c r="T520" i="1" s="1"/>
  <c r="Q520" i="1"/>
  <c r="O520" i="1"/>
  <c r="N520" i="1"/>
  <c r="AY519" i="1"/>
  <c r="X519" i="1"/>
  <c r="AF519" i="1" s="1"/>
  <c r="AG519" i="1" s="1"/>
  <c r="S519" i="1"/>
  <c r="T519" i="1" s="1"/>
  <c r="Q519" i="1"/>
  <c r="O519" i="1"/>
  <c r="N519" i="1"/>
  <c r="AY518" i="1"/>
  <c r="X518" i="1"/>
  <c r="AF518" i="1" s="1"/>
  <c r="AG518" i="1" s="1"/>
  <c r="S518" i="1"/>
  <c r="Q518" i="1"/>
  <c r="O518" i="1"/>
  <c r="N518" i="1"/>
  <c r="AY517" i="1"/>
  <c r="X517" i="1"/>
  <c r="AF517" i="1" s="1"/>
  <c r="AG517" i="1" s="1"/>
  <c r="S517" i="1"/>
  <c r="Q517" i="1"/>
  <c r="O517" i="1"/>
  <c r="N517" i="1"/>
  <c r="AY516" i="1"/>
  <c r="X516" i="1"/>
  <c r="AF516" i="1" s="1"/>
  <c r="AG516" i="1" s="1"/>
  <c r="S516" i="1"/>
  <c r="Q516" i="1"/>
  <c r="O516" i="1"/>
  <c r="N516" i="1"/>
  <c r="AY515" i="1"/>
  <c r="X515" i="1"/>
  <c r="AF515" i="1" s="1"/>
  <c r="AG515" i="1" s="1"/>
  <c r="S515" i="1"/>
  <c r="Q515" i="1"/>
  <c r="O515" i="1"/>
  <c r="N515" i="1"/>
  <c r="AY514" i="1"/>
  <c r="X514" i="1"/>
  <c r="AF514" i="1" s="1"/>
  <c r="AG514" i="1" s="1"/>
  <c r="S514" i="1"/>
  <c r="T514" i="1" s="1"/>
  <c r="Q514" i="1"/>
  <c r="O514" i="1"/>
  <c r="N514" i="1"/>
  <c r="AY513" i="1"/>
  <c r="X513" i="1"/>
  <c r="AF513" i="1" s="1"/>
  <c r="AG513" i="1" s="1"/>
  <c r="S513" i="1"/>
  <c r="Q513" i="1"/>
  <c r="O513" i="1"/>
  <c r="N513" i="1"/>
  <c r="AY512" i="1"/>
  <c r="X512" i="1"/>
  <c r="AF512" i="1" s="1"/>
  <c r="AG512" i="1" s="1"/>
  <c r="S512" i="1"/>
  <c r="T512" i="1" s="1"/>
  <c r="Q512" i="1"/>
  <c r="O512" i="1"/>
  <c r="N512" i="1"/>
  <c r="AY511" i="1"/>
  <c r="X511" i="1"/>
  <c r="AF511" i="1" s="1"/>
  <c r="AG511" i="1" s="1"/>
  <c r="S511" i="1"/>
  <c r="Q511" i="1"/>
  <c r="O511" i="1"/>
  <c r="N511" i="1"/>
  <c r="AY510" i="1"/>
  <c r="X510" i="1"/>
  <c r="AF510" i="1" s="1"/>
  <c r="AG510" i="1" s="1"/>
  <c r="S510" i="1"/>
  <c r="Q510" i="1"/>
  <c r="O510" i="1"/>
  <c r="N510" i="1"/>
  <c r="AY509" i="1"/>
  <c r="X509" i="1"/>
  <c r="AF509" i="1" s="1"/>
  <c r="AG509" i="1" s="1"/>
  <c r="S509" i="1"/>
  <c r="Q509" i="1"/>
  <c r="O509" i="1"/>
  <c r="N509" i="1"/>
  <c r="AY508" i="1"/>
  <c r="X508" i="1"/>
  <c r="AF508" i="1" s="1"/>
  <c r="AG508" i="1" s="1"/>
  <c r="S508" i="1"/>
  <c r="T508" i="1" s="1"/>
  <c r="Q508" i="1"/>
  <c r="O508" i="1"/>
  <c r="N508" i="1"/>
  <c r="AY507" i="1"/>
  <c r="X507" i="1"/>
  <c r="AF507" i="1" s="1"/>
  <c r="AG507" i="1" s="1"/>
  <c r="S507" i="1"/>
  <c r="T507" i="1" s="1"/>
  <c r="Q507" i="1"/>
  <c r="O507" i="1"/>
  <c r="N507" i="1"/>
  <c r="AY506" i="1"/>
  <c r="X506" i="1"/>
  <c r="AF506" i="1" s="1"/>
  <c r="AG506" i="1" s="1"/>
  <c r="S506" i="1"/>
  <c r="T506" i="1" s="1"/>
  <c r="Q506" i="1"/>
  <c r="O506" i="1"/>
  <c r="N506" i="1"/>
  <c r="AY505" i="1"/>
  <c r="X505" i="1"/>
  <c r="AF505" i="1" s="1"/>
  <c r="AG505" i="1" s="1"/>
  <c r="S505" i="1"/>
  <c r="T505" i="1" s="1"/>
  <c r="Q505" i="1"/>
  <c r="O505" i="1"/>
  <c r="N505" i="1"/>
  <c r="AY504" i="1"/>
  <c r="X504" i="1"/>
  <c r="AF504" i="1" s="1"/>
  <c r="AG504" i="1" s="1"/>
  <c r="S504" i="1"/>
  <c r="Q504" i="1"/>
  <c r="O504" i="1"/>
  <c r="N504" i="1"/>
  <c r="AY503" i="1"/>
  <c r="X503" i="1"/>
  <c r="AF503" i="1" s="1"/>
  <c r="AG503" i="1" s="1"/>
  <c r="S503" i="1"/>
  <c r="Q503" i="1"/>
  <c r="O503" i="1"/>
  <c r="N503" i="1"/>
  <c r="AY502" i="1"/>
  <c r="X502" i="1"/>
  <c r="S502" i="1"/>
  <c r="T502" i="1" s="1"/>
  <c r="Q502" i="1"/>
  <c r="O502" i="1"/>
  <c r="N502" i="1"/>
  <c r="AY501" i="1"/>
  <c r="X501" i="1"/>
  <c r="AF501" i="1" s="1"/>
  <c r="AG501" i="1" s="1"/>
  <c r="S501" i="1"/>
  <c r="T501" i="1" s="1"/>
  <c r="Q501" i="1"/>
  <c r="O501" i="1"/>
  <c r="N501" i="1"/>
  <c r="AY500" i="1"/>
  <c r="X500" i="1"/>
  <c r="AF500" i="1" s="1"/>
  <c r="AG500" i="1" s="1"/>
  <c r="S500" i="1"/>
  <c r="Q500" i="1"/>
  <c r="O500" i="1"/>
  <c r="N500" i="1"/>
  <c r="AY499" i="1"/>
  <c r="X499" i="1"/>
  <c r="AF499" i="1" s="1"/>
  <c r="AG499" i="1" s="1"/>
  <c r="S499" i="1"/>
  <c r="T499" i="1" s="1"/>
  <c r="Q499" i="1"/>
  <c r="O499" i="1"/>
  <c r="N499" i="1"/>
  <c r="AY498" i="1"/>
  <c r="X498" i="1"/>
  <c r="AF498" i="1" s="1"/>
  <c r="AG498" i="1" s="1"/>
  <c r="S498" i="1"/>
  <c r="T498" i="1" s="1"/>
  <c r="Q498" i="1"/>
  <c r="O498" i="1"/>
  <c r="N498" i="1"/>
  <c r="AY497" i="1"/>
  <c r="X497" i="1"/>
  <c r="AF497" i="1" s="1"/>
  <c r="AG497" i="1" s="1"/>
  <c r="S497" i="1"/>
  <c r="Q497" i="1"/>
  <c r="O497" i="1"/>
  <c r="N497" i="1"/>
  <c r="AY496" i="1"/>
  <c r="X496" i="1"/>
  <c r="AF496" i="1" s="1"/>
  <c r="AG496" i="1" s="1"/>
  <c r="S496" i="1"/>
  <c r="Q496" i="1"/>
  <c r="O496" i="1"/>
  <c r="N496" i="1"/>
  <c r="AY495" i="1"/>
  <c r="X495" i="1"/>
  <c r="AF495" i="1" s="1"/>
  <c r="AG495" i="1" s="1"/>
  <c r="S495" i="1"/>
  <c r="T495" i="1" s="1"/>
  <c r="Q495" i="1"/>
  <c r="O495" i="1"/>
  <c r="N495" i="1"/>
  <c r="AY494" i="1"/>
  <c r="X494" i="1"/>
  <c r="AF494" i="1" s="1"/>
  <c r="AG494" i="1" s="1"/>
  <c r="S494" i="1"/>
  <c r="T494" i="1" s="1"/>
  <c r="Q494" i="1"/>
  <c r="O494" i="1"/>
  <c r="N494" i="1"/>
  <c r="AY493" i="1"/>
  <c r="X493" i="1"/>
  <c r="AF493" i="1" s="1"/>
  <c r="AG493" i="1" s="1"/>
  <c r="S493" i="1"/>
  <c r="T493" i="1" s="1"/>
  <c r="Q493" i="1"/>
  <c r="O493" i="1"/>
  <c r="N493" i="1"/>
  <c r="AY492" i="1"/>
  <c r="X492" i="1"/>
  <c r="AF492" i="1" s="1"/>
  <c r="AG492" i="1" s="1"/>
  <c r="S492" i="1"/>
  <c r="Q492" i="1"/>
  <c r="O492" i="1"/>
  <c r="N492" i="1"/>
  <c r="AY491" i="1"/>
  <c r="X491" i="1"/>
  <c r="AF491" i="1" s="1"/>
  <c r="AG491" i="1" s="1"/>
  <c r="S491" i="1"/>
  <c r="T491" i="1" s="1"/>
  <c r="Q491" i="1"/>
  <c r="O491" i="1"/>
  <c r="N491" i="1"/>
  <c r="AY490" i="1"/>
  <c r="X490" i="1"/>
  <c r="S490" i="1"/>
  <c r="Q490" i="1"/>
  <c r="O490" i="1"/>
  <c r="N490" i="1"/>
  <c r="AY489" i="1"/>
  <c r="X489" i="1"/>
  <c r="AF489" i="1" s="1"/>
  <c r="AG489" i="1" s="1"/>
  <c r="S489" i="1"/>
  <c r="Q489" i="1"/>
  <c r="O489" i="1"/>
  <c r="N489" i="1"/>
  <c r="AY488" i="1"/>
  <c r="X488" i="1"/>
  <c r="AF488" i="1" s="1"/>
  <c r="AG488" i="1" s="1"/>
  <c r="S488" i="1"/>
  <c r="T488" i="1" s="1"/>
  <c r="Q488" i="1"/>
  <c r="O488" i="1"/>
  <c r="N488" i="1"/>
  <c r="AY487" i="1"/>
  <c r="X487" i="1"/>
  <c r="AF487" i="1" s="1"/>
  <c r="AG487" i="1" s="1"/>
  <c r="S487" i="1"/>
  <c r="Q487" i="1"/>
  <c r="O487" i="1"/>
  <c r="N487" i="1"/>
  <c r="AY486" i="1"/>
  <c r="X486" i="1"/>
  <c r="AF486" i="1" s="1"/>
  <c r="AG486" i="1" s="1"/>
  <c r="S486" i="1"/>
  <c r="Q486" i="1"/>
  <c r="O486" i="1"/>
  <c r="N486" i="1"/>
  <c r="AY485" i="1"/>
  <c r="X485" i="1"/>
  <c r="AF485" i="1" s="1"/>
  <c r="AG485" i="1" s="1"/>
  <c r="S485" i="1"/>
  <c r="Q485" i="1"/>
  <c r="O485" i="1"/>
  <c r="N485" i="1"/>
  <c r="AY484" i="1"/>
  <c r="X484" i="1"/>
  <c r="AF484" i="1" s="1"/>
  <c r="AG484" i="1" s="1"/>
  <c r="S484" i="1"/>
  <c r="Q484" i="1"/>
  <c r="O484" i="1"/>
  <c r="N484" i="1"/>
  <c r="AY483" i="1"/>
  <c r="X483" i="1"/>
  <c r="AF483" i="1" s="1"/>
  <c r="AG483" i="1" s="1"/>
  <c r="S483" i="1"/>
  <c r="T483" i="1" s="1"/>
  <c r="Q483" i="1"/>
  <c r="O483" i="1"/>
  <c r="N483" i="1"/>
  <c r="AY482" i="1"/>
  <c r="X482" i="1"/>
  <c r="AF482" i="1" s="1"/>
  <c r="AG482" i="1" s="1"/>
  <c r="S482" i="1"/>
  <c r="T482" i="1" s="1"/>
  <c r="Q482" i="1"/>
  <c r="O482" i="1"/>
  <c r="N482" i="1"/>
  <c r="AY481" i="1"/>
  <c r="X481" i="1"/>
  <c r="AF481" i="1" s="1"/>
  <c r="AG481" i="1" s="1"/>
  <c r="S481" i="1"/>
  <c r="T481" i="1" s="1"/>
  <c r="Q481" i="1"/>
  <c r="O481" i="1"/>
  <c r="N481" i="1"/>
  <c r="AY480" i="1"/>
  <c r="X480" i="1"/>
  <c r="AF480" i="1" s="1"/>
  <c r="AG480" i="1" s="1"/>
  <c r="S480" i="1"/>
  <c r="Q480" i="1"/>
  <c r="O480" i="1"/>
  <c r="N480" i="1"/>
  <c r="AY479" i="1"/>
  <c r="X479" i="1"/>
  <c r="AF479" i="1" s="1"/>
  <c r="AG479" i="1" s="1"/>
  <c r="S479" i="1"/>
  <c r="T479" i="1" s="1"/>
  <c r="Q479" i="1"/>
  <c r="O479" i="1"/>
  <c r="N479" i="1"/>
  <c r="AY478" i="1"/>
  <c r="X478" i="1"/>
  <c r="S478" i="1"/>
  <c r="Q478" i="1"/>
  <c r="O478" i="1"/>
  <c r="N478" i="1"/>
  <c r="AY477" i="1"/>
  <c r="X477" i="1"/>
  <c r="AF477" i="1" s="1"/>
  <c r="AG477" i="1" s="1"/>
  <c r="S477" i="1"/>
  <c r="T477" i="1" s="1"/>
  <c r="Q477" i="1"/>
  <c r="O477" i="1"/>
  <c r="N477" i="1"/>
  <c r="AY476" i="1"/>
  <c r="X476" i="1"/>
  <c r="AF476" i="1" s="1"/>
  <c r="AG476" i="1" s="1"/>
  <c r="S476" i="1"/>
  <c r="T476" i="1" s="1"/>
  <c r="Q476" i="1"/>
  <c r="O476" i="1"/>
  <c r="N476" i="1"/>
  <c r="AY475" i="1"/>
  <c r="X475" i="1"/>
  <c r="AF475" i="1" s="1"/>
  <c r="AG475" i="1" s="1"/>
  <c r="S475" i="1"/>
  <c r="Q475" i="1"/>
  <c r="O475" i="1"/>
  <c r="N475" i="1"/>
  <c r="AY474" i="1"/>
  <c r="X474" i="1"/>
  <c r="AF474" i="1" s="1"/>
  <c r="AG474" i="1" s="1"/>
  <c r="S474" i="1"/>
  <c r="T474" i="1" s="1"/>
  <c r="Q474" i="1"/>
  <c r="O474" i="1"/>
  <c r="N474" i="1"/>
  <c r="AY473" i="1"/>
  <c r="X473" i="1"/>
  <c r="AF473" i="1" s="1"/>
  <c r="AG473" i="1" s="1"/>
  <c r="S473" i="1"/>
  <c r="T473" i="1" s="1"/>
  <c r="Q473" i="1"/>
  <c r="O473" i="1"/>
  <c r="N473" i="1"/>
  <c r="AY472" i="1"/>
  <c r="X472" i="1"/>
  <c r="AF472" i="1" s="1"/>
  <c r="AG472" i="1" s="1"/>
  <c r="S472" i="1"/>
  <c r="Q472" i="1"/>
  <c r="O472" i="1"/>
  <c r="N472" i="1"/>
  <c r="AY471" i="1"/>
  <c r="X471" i="1"/>
  <c r="AF471" i="1" s="1"/>
  <c r="AG471" i="1" s="1"/>
  <c r="S471" i="1"/>
  <c r="T471" i="1" s="1"/>
  <c r="Q471" i="1"/>
  <c r="O471" i="1"/>
  <c r="N471" i="1"/>
  <c r="AY470" i="1"/>
  <c r="X470" i="1"/>
  <c r="AF470" i="1" s="1"/>
  <c r="AG470" i="1" s="1"/>
  <c r="S470" i="1"/>
  <c r="Q470" i="1"/>
  <c r="O470" i="1"/>
  <c r="N470" i="1"/>
  <c r="AY469" i="1"/>
  <c r="X469" i="1"/>
  <c r="AF469" i="1" s="1"/>
  <c r="AG469" i="1" s="1"/>
  <c r="S469" i="1"/>
  <c r="T469" i="1" s="1"/>
  <c r="Q469" i="1"/>
  <c r="O469" i="1"/>
  <c r="N469" i="1"/>
  <c r="AY468" i="1"/>
  <c r="X468" i="1"/>
  <c r="AF468" i="1" s="1"/>
  <c r="AG468" i="1" s="1"/>
  <c r="S468" i="1"/>
  <c r="Q468" i="1"/>
  <c r="O468" i="1"/>
  <c r="N468" i="1"/>
  <c r="AY467" i="1"/>
  <c r="X467" i="1"/>
  <c r="AF467" i="1" s="1"/>
  <c r="AG467" i="1" s="1"/>
  <c r="S467" i="1"/>
  <c r="T467" i="1" s="1"/>
  <c r="Q467" i="1"/>
  <c r="O467" i="1"/>
  <c r="N467" i="1"/>
  <c r="AY466" i="1"/>
  <c r="X466" i="1"/>
  <c r="AF466" i="1" s="1"/>
  <c r="AG466" i="1" s="1"/>
  <c r="S466" i="1"/>
  <c r="Q466" i="1"/>
  <c r="O466" i="1"/>
  <c r="N466" i="1"/>
  <c r="AY465" i="1"/>
  <c r="X465" i="1"/>
  <c r="AF465" i="1" s="1"/>
  <c r="AG465" i="1" s="1"/>
  <c r="S465" i="1"/>
  <c r="Q465" i="1"/>
  <c r="O465" i="1"/>
  <c r="N465" i="1"/>
  <c r="AY464" i="1"/>
  <c r="X464" i="1"/>
  <c r="AF464" i="1" s="1"/>
  <c r="AG464" i="1" s="1"/>
  <c r="S464" i="1"/>
  <c r="T464" i="1" s="1"/>
  <c r="Q464" i="1"/>
  <c r="O464" i="1"/>
  <c r="N464" i="1"/>
  <c r="AY463" i="1"/>
  <c r="X463" i="1"/>
  <c r="AF463" i="1" s="1"/>
  <c r="AG463" i="1" s="1"/>
  <c r="S463" i="1"/>
  <c r="T463" i="1" s="1"/>
  <c r="Q463" i="1"/>
  <c r="O463" i="1"/>
  <c r="N463" i="1"/>
  <c r="AY462" i="1"/>
  <c r="X462" i="1"/>
  <c r="AF462" i="1" s="1"/>
  <c r="AG462" i="1" s="1"/>
  <c r="S462" i="1"/>
  <c r="Q462" i="1"/>
  <c r="O462" i="1"/>
  <c r="N462" i="1"/>
  <c r="AY461" i="1"/>
  <c r="X461" i="1"/>
  <c r="S461" i="1"/>
  <c r="T461" i="1" s="1"/>
  <c r="Q461" i="1"/>
  <c r="O461" i="1"/>
  <c r="N461" i="1"/>
  <c r="AY460" i="1"/>
  <c r="X460" i="1"/>
  <c r="AF460" i="1" s="1"/>
  <c r="AG460" i="1" s="1"/>
  <c r="S460" i="1"/>
  <c r="T460" i="1" s="1"/>
  <c r="Q460" i="1"/>
  <c r="O460" i="1"/>
  <c r="N460" i="1"/>
  <c r="AY459" i="1"/>
  <c r="X459" i="1"/>
  <c r="AF459" i="1" s="1"/>
  <c r="AG459" i="1" s="1"/>
  <c r="S459" i="1"/>
  <c r="T459" i="1" s="1"/>
  <c r="Q459" i="1"/>
  <c r="O459" i="1"/>
  <c r="N459" i="1"/>
  <c r="AY458" i="1"/>
  <c r="X458" i="1"/>
  <c r="AF458" i="1" s="1"/>
  <c r="AG458" i="1" s="1"/>
  <c r="S458" i="1"/>
  <c r="Q458" i="1"/>
  <c r="O458" i="1"/>
  <c r="N458" i="1"/>
  <c r="AY457" i="1"/>
  <c r="X457" i="1"/>
  <c r="AF457" i="1" s="1"/>
  <c r="AG457" i="1" s="1"/>
  <c r="S457" i="1"/>
  <c r="T457" i="1" s="1"/>
  <c r="Q457" i="1"/>
  <c r="O457" i="1"/>
  <c r="N457" i="1"/>
  <c r="AY456" i="1"/>
  <c r="X456" i="1"/>
  <c r="AF456" i="1" s="1"/>
  <c r="AG456" i="1" s="1"/>
  <c r="S456" i="1"/>
  <c r="Q456" i="1"/>
  <c r="O456" i="1"/>
  <c r="N456" i="1"/>
  <c r="AY455" i="1"/>
  <c r="X455" i="1"/>
  <c r="AF455" i="1" s="1"/>
  <c r="AG455" i="1" s="1"/>
  <c r="S455" i="1"/>
  <c r="Q455" i="1"/>
  <c r="O455" i="1"/>
  <c r="N455" i="1"/>
  <c r="AY454" i="1"/>
  <c r="X454" i="1"/>
  <c r="AF454" i="1" s="1"/>
  <c r="AG454" i="1" s="1"/>
  <c r="S454" i="1"/>
  <c r="Q454" i="1"/>
  <c r="O454" i="1"/>
  <c r="N454" i="1"/>
  <c r="AY453" i="1"/>
  <c r="X453" i="1"/>
  <c r="S453" i="1"/>
  <c r="Q453" i="1"/>
  <c r="O453" i="1"/>
  <c r="N453" i="1"/>
  <c r="AY452" i="1"/>
  <c r="X452" i="1"/>
  <c r="AF452" i="1" s="1"/>
  <c r="AG452" i="1" s="1"/>
  <c r="S452" i="1"/>
  <c r="Q452" i="1"/>
  <c r="O452" i="1"/>
  <c r="N452" i="1"/>
  <c r="AY451" i="1"/>
  <c r="X451" i="1"/>
  <c r="AF451" i="1" s="1"/>
  <c r="AG451" i="1" s="1"/>
  <c r="S451" i="1"/>
  <c r="T451" i="1" s="1"/>
  <c r="Q451" i="1"/>
  <c r="O451" i="1"/>
  <c r="N451" i="1"/>
  <c r="AY450" i="1"/>
  <c r="X450" i="1"/>
  <c r="AF450" i="1" s="1"/>
  <c r="AG450" i="1" s="1"/>
  <c r="S450" i="1"/>
  <c r="T450" i="1" s="1"/>
  <c r="Q450" i="1"/>
  <c r="O450" i="1"/>
  <c r="N450" i="1"/>
  <c r="AY449" i="1"/>
  <c r="X449" i="1"/>
  <c r="AF449" i="1" s="1"/>
  <c r="AG449" i="1" s="1"/>
  <c r="S449" i="1"/>
  <c r="T449" i="1" s="1"/>
  <c r="Q449" i="1"/>
  <c r="O449" i="1"/>
  <c r="N449" i="1"/>
  <c r="AY448" i="1"/>
  <c r="X448" i="1"/>
  <c r="AF448" i="1" s="1"/>
  <c r="AG448" i="1" s="1"/>
  <c r="S448" i="1"/>
  <c r="Q448" i="1"/>
  <c r="O448" i="1"/>
  <c r="N448" i="1"/>
  <c r="AY447" i="1"/>
  <c r="X447" i="1"/>
  <c r="AF447" i="1" s="1"/>
  <c r="AG447" i="1" s="1"/>
  <c r="S447" i="1"/>
  <c r="T447" i="1" s="1"/>
  <c r="Q447" i="1"/>
  <c r="O447" i="1"/>
  <c r="N447" i="1"/>
  <c r="AY446" i="1"/>
  <c r="X446" i="1"/>
  <c r="AF446" i="1" s="1"/>
  <c r="AG446" i="1" s="1"/>
  <c r="S446" i="1"/>
  <c r="T446" i="1" s="1"/>
  <c r="Q446" i="1"/>
  <c r="O446" i="1"/>
  <c r="N446" i="1"/>
  <c r="AY445" i="1"/>
  <c r="X445" i="1"/>
  <c r="AF445" i="1" s="1"/>
  <c r="AG445" i="1" s="1"/>
  <c r="S445" i="1"/>
  <c r="T445" i="1" s="1"/>
  <c r="Q445" i="1"/>
  <c r="O445" i="1"/>
  <c r="N445" i="1"/>
  <c r="AY444" i="1"/>
  <c r="X444" i="1"/>
  <c r="S444" i="1"/>
  <c r="Q444" i="1"/>
  <c r="O444" i="1"/>
  <c r="N444" i="1"/>
  <c r="AY443" i="1"/>
  <c r="X443" i="1"/>
  <c r="AF443" i="1" s="1"/>
  <c r="AG443" i="1" s="1"/>
  <c r="S443" i="1"/>
  <c r="T443" i="1" s="1"/>
  <c r="Q443" i="1"/>
  <c r="O443" i="1"/>
  <c r="N443" i="1"/>
  <c r="AY442" i="1"/>
  <c r="X442" i="1"/>
  <c r="AF442" i="1" s="1"/>
  <c r="AG442" i="1" s="1"/>
  <c r="S442" i="1"/>
  <c r="Q442" i="1"/>
  <c r="O442" i="1"/>
  <c r="N442" i="1"/>
  <c r="AY441" i="1"/>
  <c r="X441" i="1"/>
  <c r="AF441" i="1" s="1"/>
  <c r="AG441" i="1" s="1"/>
  <c r="S441" i="1"/>
  <c r="T441" i="1" s="1"/>
  <c r="Q441" i="1"/>
  <c r="O441" i="1"/>
  <c r="N441" i="1"/>
  <c r="AY440" i="1"/>
  <c r="X440" i="1"/>
  <c r="AF440" i="1" s="1"/>
  <c r="AG440" i="1" s="1"/>
  <c r="S440" i="1"/>
  <c r="T440" i="1" s="1"/>
  <c r="Q440" i="1"/>
  <c r="O440" i="1"/>
  <c r="N440" i="1"/>
  <c r="AY439" i="1"/>
  <c r="X439" i="1"/>
  <c r="AF439" i="1" s="1"/>
  <c r="AG439" i="1" s="1"/>
  <c r="S439" i="1"/>
  <c r="T439" i="1" s="1"/>
  <c r="Q439" i="1"/>
  <c r="O439" i="1"/>
  <c r="N439" i="1"/>
  <c r="AY438" i="1"/>
  <c r="X438" i="1"/>
  <c r="AF438" i="1" s="1"/>
  <c r="AG438" i="1" s="1"/>
  <c r="S438" i="1"/>
  <c r="Q438" i="1"/>
  <c r="O438" i="1"/>
  <c r="N438" i="1"/>
  <c r="AY437" i="1"/>
  <c r="X437" i="1"/>
  <c r="AF437" i="1" s="1"/>
  <c r="AG437" i="1" s="1"/>
  <c r="S437" i="1"/>
  <c r="T437" i="1" s="1"/>
  <c r="Q437" i="1"/>
  <c r="O437" i="1"/>
  <c r="N437" i="1"/>
  <c r="AY436" i="1"/>
  <c r="X436" i="1"/>
  <c r="AF436" i="1" s="1"/>
  <c r="AG436" i="1" s="1"/>
  <c r="S436" i="1"/>
  <c r="Q436" i="1"/>
  <c r="O436" i="1"/>
  <c r="N436" i="1"/>
  <c r="AY435" i="1"/>
  <c r="X435" i="1"/>
  <c r="AF435" i="1" s="1"/>
  <c r="AG435" i="1" s="1"/>
  <c r="S435" i="1"/>
  <c r="T435" i="1" s="1"/>
  <c r="Q435" i="1"/>
  <c r="O435" i="1"/>
  <c r="N435" i="1"/>
  <c r="AY434" i="1"/>
  <c r="X434" i="1"/>
  <c r="AF434" i="1" s="1"/>
  <c r="AG434" i="1" s="1"/>
  <c r="S434" i="1"/>
  <c r="T434" i="1" s="1"/>
  <c r="Q434" i="1"/>
  <c r="O434" i="1"/>
  <c r="N434" i="1"/>
  <c r="AY433" i="1"/>
  <c r="X433" i="1"/>
  <c r="AF433" i="1" s="1"/>
  <c r="AG433" i="1" s="1"/>
  <c r="S433" i="1"/>
  <c r="T433" i="1" s="1"/>
  <c r="Q433" i="1"/>
  <c r="O433" i="1"/>
  <c r="N433" i="1"/>
  <c r="AY432" i="1"/>
  <c r="X432" i="1"/>
  <c r="AF432" i="1" s="1"/>
  <c r="AG432" i="1" s="1"/>
  <c r="S432" i="1"/>
  <c r="Q432" i="1"/>
  <c r="O432" i="1"/>
  <c r="N432" i="1"/>
  <c r="AY431" i="1"/>
  <c r="X431" i="1"/>
  <c r="AF431" i="1" s="1"/>
  <c r="AG431" i="1" s="1"/>
  <c r="S431" i="1"/>
  <c r="T431" i="1" s="1"/>
  <c r="Q431" i="1"/>
  <c r="O431" i="1"/>
  <c r="N431" i="1"/>
  <c r="AY430" i="1"/>
  <c r="X430" i="1"/>
  <c r="AF430" i="1" s="1"/>
  <c r="AG430" i="1" s="1"/>
  <c r="S430" i="1"/>
  <c r="Q430" i="1"/>
  <c r="O430" i="1"/>
  <c r="N430" i="1"/>
  <c r="AY429" i="1"/>
  <c r="X429" i="1"/>
  <c r="AF429" i="1" s="1"/>
  <c r="AG429" i="1" s="1"/>
  <c r="S429" i="1"/>
  <c r="Q429" i="1"/>
  <c r="O429" i="1"/>
  <c r="N429" i="1"/>
  <c r="AY428" i="1"/>
  <c r="X428" i="1"/>
  <c r="AF428" i="1" s="1"/>
  <c r="AG428" i="1" s="1"/>
  <c r="S428" i="1"/>
  <c r="T428" i="1" s="1"/>
  <c r="Q428" i="1"/>
  <c r="O428" i="1"/>
  <c r="N428" i="1"/>
  <c r="AY427" i="1"/>
  <c r="X427" i="1"/>
  <c r="AF427" i="1" s="1"/>
  <c r="AG427" i="1" s="1"/>
  <c r="S427" i="1"/>
  <c r="T427" i="1" s="1"/>
  <c r="Q427" i="1"/>
  <c r="O427" i="1"/>
  <c r="N427" i="1"/>
  <c r="AY426" i="1"/>
  <c r="X426" i="1"/>
  <c r="AF426" i="1" s="1"/>
  <c r="AG426" i="1" s="1"/>
  <c r="S426" i="1"/>
  <c r="Q426" i="1"/>
  <c r="O426" i="1"/>
  <c r="N426" i="1"/>
  <c r="AY425" i="1"/>
  <c r="X425" i="1"/>
  <c r="AF425" i="1" s="1"/>
  <c r="AG425" i="1" s="1"/>
  <c r="S425" i="1"/>
  <c r="Q425" i="1"/>
  <c r="O425" i="1"/>
  <c r="N425" i="1"/>
  <c r="AY424" i="1"/>
  <c r="X424" i="1"/>
  <c r="AF424" i="1" s="1"/>
  <c r="AG424" i="1" s="1"/>
  <c r="S424" i="1"/>
  <c r="Q424" i="1"/>
  <c r="O424" i="1"/>
  <c r="N424" i="1"/>
  <c r="AY423" i="1"/>
  <c r="X423" i="1"/>
  <c r="AF423" i="1" s="1"/>
  <c r="AG423" i="1" s="1"/>
  <c r="S423" i="1"/>
  <c r="Q423" i="1"/>
  <c r="O423" i="1"/>
  <c r="N423" i="1"/>
  <c r="AY422" i="1"/>
  <c r="X422" i="1"/>
  <c r="AF422" i="1" s="1"/>
  <c r="AG422" i="1" s="1"/>
  <c r="S422" i="1"/>
  <c r="T422" i="1" s="1"/>
  <c r="Q422" i="1"/>
  <c r="O422" i="1"/>
  <c r="N422" i="1"/>
  <c r="AY421" i="1"/>
  <c r="X421" i="1"/>
  <c r="S421" i="1"/>
  <c r="Q421" i="1"/>
  <c r="O421" i="1"/>
  <c r="N421" i="1"/>
  <c r="AY420" i="1"/>
  <c r="X420" i="1"/>
  <c r="AF420" i="1" s="1"/>
  <c r="AG420" i="1" s="1"/>
  <c r="S420" i="1"/>
  <c r="T420" i="1" s="1"/>
  <c r="Q420" i="1"/>
  <c r="O420" i="1"/>
  <c r="N420" i="1"/>
  <c r="AY419" i="1"/>
  <c r="X419" i="1"/>
  <c r="AF419" i="1" s="1"/>
  <c r="AG419" i="1" s="1"/>
  <c r="S419" i="1"/>
  <c r="Q419" i="1"/>
  <c r="O419" i="1"/>
  <c r="N419" i="1"/>
  <c r="AY418" i="1"/>
  <c r="X418" i="1"/>
  <c r="AF418" i="1" s="1"/>
  <c r="AG418" i="1" s="1"/>
  <c r="S418" i="1"/>
  <c r="T418" i="1" s="1"/>
  <c r="Q418" i="1"/>
  <c r="O418" i="1"/>
  <c r="N418" i="1"/>
  <c r="AY417" i="1"/>
  <c r="X417" i="1"/>
  <c r="AF417" i="1" s="1"/>
  <c r="AG417" i="1" s="1"/>
  <c r="S417" i="1"/>
  <c r="T417" i="1" s="1"/>
  <c r="Q417" i="1"/>
  <c r="O417" i="1"/>
  <c r="N417" i="1"/>
  <c r="AY416" i="1"/>
  <c r="X416" i="1"/>
  <c r="AF416" i="1" s="1"/>
  <c r="AG416" i="1" s="1"/>
  <c r="S416" i="1"/>
  <c r="Q416" i="1"/>
  <c r="O416" i="1"/>
  <c r="N416" i="1"/>
  <c r="AY415" i="1"/>
  <c r="X415" i="1"/>
  <c r="AF415" i="1" s="1"/>
  <c r="AG415" i="1" s="1"/>
  <c r="S415" i="1"/>
  <c r="Q415" i="1"/>
  <c r="O415" i="1"/>
  <c r="N415" i="1"/>
  <c r="AY414" i="1"/>
  <c r="X414" i="1"/>
  <c r="AF414" i="1" s="1"/>
  <c r="AG414" i="1" s="1"/>
  <c r="S414" i="1"/>
  <c r="T414" i="1" s="1"/>
  <c r="Q414" i="1"/>
  <c r="O414" i="1"/>
  <c r="N414" i="1"/>
  <c r="AY413" i="1"/>
  <c r="X413" i="1"/>
  <c r="AF413" i="1" s="1"/>
  <c r="AG413" i="1" s="1"/>
  <c r="S413" i="1"/>
  <c r="Q413" i="1"/>
  <c r="O413" i="1"/>
  <c r="N413" i="1"/>
  <c r="AY412" i="1"/>
  <c r="X412" i="1"/>
  <c r="AF412" i="1" s="1"/>
  <c r="AG412" i="1" s="1"/>
  <c r="S412" i="1"/>
  <c r="T412" i="1" s="1"/>
  <c r="Q412" i="1"/>
  <c r="O412" i="1"/>
  <c r="N412" i="1"/>
  <c r="AY411" i="1"/>
  <c r="X411" i="1"/>
  <c r="AF411" i="1" s="1"/>
  <c r="AG411" i="1" s="1"/>
  <c r="S411" i="1"/>
  <c r="Q411" i="1"/>
  <c r="O411" i="1"/>
  <c r="N411" i="1"/>
  <c r="AY410" i="1"/>
  <c r="X410" i="1"/>
  <c r="AF410" i="1" s="1"/>
  <c r="AG410" i="1" s="1"/>
  <c r="S410" i="1"/>
  <c r="T410" i="1" s="1"/>
  <c r="Q410" i="1"/>
  <c r="O410" i="1"/>
  <c r="N410" i="1"/>
  <c r="AY409" i="1"/>
  <c r="X409" i="1"/>
  <c r="S409" i="1"/>
  <c r="Q409" i="1"/>
  <c r="O409" i="1"/>
  <c r="N409" i="1"/>
  <c r="AY408" i="1"/>
  <c r="X408" i="1"/>
  <c r="AF408" i="1" s="1"/>
  <c r="AG408" i="1" s="1"/>
  <c r="S408" i="1"/>
  <c r="T408" i="1" s="1"/>
  <c r="Q408" i="1"/>
  <c r="O408" i="1"/>
  <c r="N408" i="1"/>
  <c r="AY407" i="1"/>
  <c r="X407" i="1"/>
  <c r="AF407" i="1" s="1"/>
  <c r="AG407" i="1" s="1"/>
  <c r="S407" i="1"/>
  <c r="T407" i="1" s="1"/>
  <c r="Q407" i="1"/>
  <c r="O407" i="1"/>
  <c r="N407" i="1"/>
  <c r="AY406" i="1"/>
  <c r="X406" i="1"/>
  <c r="AF406" i="1" s="1"/>
  <c r="AG406" i="1" s="1"/>
  <c r="S406" i="1"/>
  <c r="T406" i="1" s="1"/>
  <c r="Q406" i="1"/>
  <c r="O406" i="1"/>
  <c r="N406" i="1"/>
  <c r="AY405" i="1"/>
  <c r="X405" i="1"/>
  <c r="AF405" i="1" s="1"/>
  <c r="AG405" i="1" s="1"/>
  <c r="S405" i="1"/>
  <c r="Q405" i="1"/>
  <c r="O405" i="1"/>
  <c r="N405" i="1"/>
  <c r="AY404" i="1"/>
  <c r="X404" i="1"/>
  <c r="S404" i="1"/>
  <c r="Q404" i="1"/>
  <c r="O404" i="1"/>
  <c r="N404" i="1"/>
  <c r="AY403" i="1"/>
  <c r="X403" i="1"/>
  <c r="AF403" i="1" s="1"/>
  <c r="AG403" i="1" s="1"/>
  <c r="S403" i="1"/>
  <c r="Q403" i="1"/>
  <c r="O403" i="1"/>
  <c r="N403" i="1"/>
  <c r="AY402" i="1"/>
  <c r="X402" i="1"/>
  <c r="AF402" i="1" s="1"/>
  <c r="AG402" i="1" s="1"/>
  <c r="S402" i="1"/>
  <c r="T402" i="1" s="1"/>
  <c r="Q402" i="1"/>
  <c r="O402" i="1"/>
  <c r="N402" i="1"/>
  <c r="AY401" i="1"/>
  <c r="X401" i="1"/>
  <c r="AF401" i="1" s="1"/>
  <c r="AG401" i="1" s="1"/>
  <c r="S401" i="1"/>
  <c r="Q401" i="1"/>
  <c r="O401" i="1"/>
  <c r="N401" i="1"/>
  <c r="AY400" i="1"/>
  <c r="X400" i="1"/>
  <c r="AF400" i="1" s="1"/>
  <c r="AG400" i="1" s="1"/>
  <c r="S400" i="1"/>
  <c r="T400" i="1" s="1"/>
  <c r="Q400" i="1"/>
  <c r="O400" i="1"/>
  <c r="N400" i="1"/>
  <c r="AY399" i="1"/>
  <c r="X399" i="1"/>
  <c r="AF399" i="1" s="1"/>
  <c r="AG399" i="1" s="1"/>
  <c r="S399" i="1"/>
  <c r="Q399" i="1"/>
  <c r="O399" i="1"/>
  <c r="N399" i="1"/>
  <c r="AY398" i="1"/>
  <c r="X398" i="1"/>
  <c r="AF398" i="1" s="1"/>
  <c r="AG398" i="1" s="1"/>
  <c r="S398" i="1"/>
  <c r="T398" i="1" s="1"/>
  <c r="Q398" i="1"/>
  <c r="O398" i="1"/>
  <c r="N398" i="1"/>
  <c r="AY397" i="1"/>
  <c r="X397" i="1"/>
  <c r="AF397" i="1" s="1"/>
  <c r="AG397" i="1" s="1"/>
  <c r="S397" i="1"/>
  <c r="Q397" i="1"/>
  <c r="O397" i="1"/>
  <c r="N397" i="1"/>
  <c r="AY396" i="1"/>
  <c r="X396" i="1"/>
  <c r="AF396" i="1" s="1"/>
  <c r="AG396" i="1" s="1"/>
  <c r="S396" i="1"/>
  <c r="T396" i="1" s="1"/>
  <c r="Q396" i="1"/>
  <c r="O396" i="1"/>
  <c r="N396" i="1"/>
  <c r="AY395" i="1"/>
  <c r="X395" i="1"/>
  <c r="AF395" i="1" s="1"/>
  <c r="AG395" i="1" s="1"/>
  <c r="S395" i="1"/>
  <c r="T395" i="1" s="1"/>
  <c r="Q395" i="1"/>
  <c r="O395" i="1"/>
  <c r="N395" i="1"/>
  <c r="AY394" i="1"/>
  <c r="X394" i="1"/>
  <c r="AF394" i="1" s="1"/>
  <c r="AG394" i="1" s="1"/>
  <c r="S394" i="1"/>
  <c r="T394" i="1" s="1"/>
  <c r="Q394" i="1"/>
  <c r="O394" i="1"/>
  <c r="N394" i="1"/>
  <c r="AY393" i="1"/>
  <c r="X393" i="1"/>
  <c r="AF393" i="1" s="1"/>
  <c r="AG393" i="1" s="1"/>
  <c r="S393" i="1"/>
  <c r="Q393" i="1"/>
  <c r="O393" i="1"/>
  <c r="N393" i="1"/>
  <c r="AY392" i="1"/>
  <c r="X392" i="1"/>
  <c r="S392" i="1"/>
  <c r="Q392" i="1"/>
  <c r="O392" i="1"/>
  <c r="N392" i="1"/>
  <c r="AY391" i="1"/>
  <c r="X391" i="1"/>
  <c r="AF391" i="1" s="1"/>
  <c r="AG391" i="1" s="1"/>
  <c r="S391" i="1"/>
  <c r="Q391" i="1"/>
  <c r="O391" i="1"/>
  <c r="N391" i="1"/>
  <c r="AY390" i="1"/>
  <c r="X390" i="1"/>
  <c r="AF390" i="1" s="1"/>
  <c r="AG390" i="1" s="1"/>
  <c r="S390" i="1"/>
  <c r="T390" i="1" s="1"/>
  <c r="Q390" i="1"/>
  <c r="O390" i="1"/>
  <c r="N390" i="1"/>
  <c r="AY389" i="1"/>
  <c r="X389" i="1"/>
  <c r="AF389" i="1" s="1"/>
  <c r="AG389" i="1" s="1"/>
  <c r="S389" i="1"/>
  <c r="Q389" i="1"/>
  <c r="O389" i="1"/>
  <c r="N389" i="1"/>
  <c r="AY388" i="1"/>
  <c r="X388" i="1"/>
  <c r="AF388" i="1" s="1"/>
  <c r="AG388" i="1" s="1"/>
  <c r="S388" i="1"/>
  <c r="T388" i="1" s="1"/>
  <c r="Q388" i="1"/>
  <c r="O388" i="1"/>
  <c r="N388" i="1"/>
  <c r="AY387" i="1"/>
  <c r="X387" i="1"/>
  <c r="S387" i="1"/>
  <c r="T387" i="1" s="1"/>
  <c r="Q387" i="1"/>
  <c r="O387" i="1"/>
  <c r="N387" i="1"/>
  <c r="AY386" i="1"/>
  <c r="X386" i="1"/>
  <c r="AF386" i="1" s="1"/>
  <c r="AG386" i="1" s="1"/>
  <c r="S386" i="1"/>
  <c r="T386" i="1" s="1"/>
  <c r="Q386" i="1"/>
  <c r="O386" i="1"/>
  <c r="N386" i="1"/>
  <c r="AY385" i="1"/>
  <c r="X385" i="1"/>
  <c r="AF385" i="1" s="1"/>
  <c r="AG385" i="1" s="1"/>
  <c r="S385" i="1"/>
  <c r="Q385" i="1"/>
  <c r="O385" i="1"/>
  <c r="N385" i="1"/>
  <c r="AY384" i="1"/>
  <c r="X384" i="1"/>
  <c r="AF384" i="1" s="1"/>
  <c r="AG384" i="1" s="1"/>
  <c r="S384" i="1"/>
  <c r="Q384" i="1"/>
  <c r="O384" i="1"/>
  <c r="N384" i="1"/>
  <c r="AY383" i="1"/>
  <c r="X383" i="1"/>
  <c r="AF383" i="1" s="1"/>
  <c r="AG383" i="1" s="1"/>
  <c r="S383" i="1"/>
  <c r="T383" i="1" s="1"/>
  <c r="Q383" i="1"/>
  <c r="O383" i="1"/>
  <c r="N383" i="1"/>
  <c r="AY382" i="1"/>
  <c r="X382" i="1"/>
  <c r="AF382" i="1" s="1"/>
  <c r="AG382" i="1" s="1"/>
  <c r="S382" i="1"/>
  <c r="T382" i="1" s="1"/>
  <c r="Q382" i="1"/>
  <c r="O382" i="1"/>
  <c r="N382" i="1"/>
  <c r="AY381" i="1"/>
  <c r="X381" i="1"/>
  <c r="AF381" i="1" s="1"/>
  <c r="AG381" i="1" s="1"/>
  <c r="S381" i="1"/>
  <c r="Q381" i="1"/>
  <c r="O381" i="1"/>
  <c r="N381" i="1"/>
  <c r="AY380" i="1"/>
  <c r="X380" i="1"/>
  <c r="AF380" i="1" s="1"/>
  <c r="AG380" i="1" s="1"/>
  <c r="S380" i="1"/>
  <c r="Q380" i="1"/>
  <c r="O380" i="1"/>
  <c r="N380" i="1"/>
  <c r="AY379" i="1"/>
  <c r="X379" i="1"/>
  <c r="AF379" i="1" s="1"/>
  <c r="AG379" i="1" s="1"/>
  <c r="S379" i="1"/>
  <c r="Q379" i="1"/>
  <c r="O379" i="1"/>
  <c r="N379" i="1"/>
  <c r="AY378" i="1"/>
  <c r="X378" i="1"/>
  <c r="AF378" i="1" s="1"/>
  <c r="AG378" i="1" s="1"/>
  <c r="S378" i="1"/>
  <c r="Q378" i="1"/>
  <c r="O378" i="1"/>
  <c r="N378" i="1"/>
  <c r="AY377" i="1"/>
  <c r="X377" i="1"/>
  <c r="AF377" i="1" s="1"/>
  <c r="AG377" i="1" s="1"/>
  <c r="S377" i="1"/>
  <c r="Q377" i="1"/>
  <c r="O377" i="1"/>
  <c r="N377" i="1"/>
  <c r="AY376" i="1"/>
  <c r="X376" i="1"/>
  <c r="AF376" i="1" s="1"/>
  <c r="AG376" i="1" s="1"/>
  <c r="S376" i="1"/>
  <c r="T376" i="1" s="1"/>
  <c r="Q376" i="1"/>
  <c r="O376" i="1"/>
  <c r="N376" i="1"/>
  <c r="AY375" i="1"/>
  <c r="X375" i="1"/>
  <c r="AF375" i="1" s="1"/>
  <c r="AG375" i="1" s="1"/>
  <c r="S375" i="1"/>
  <c r="Q375" i="1"/>
  <c r="O375" i="1"/>
  <c r="N375" i="1"/>
  <c r="AY374" i="1"/>
  <c r="X374" i="1"/>
  <c r="AF374" i="1" s="1"/>
  <c r="AG374" i="1" s="1"/>
  <c r="S374" i="1"/>
  <c r="Q374" i="1"/>
  <c r="O374" i="1"/>
  <c r="N374" i="1"/>
  <c r="AY373" i="1"/>
  <c r="X373" i="1"/>
  <c r="AF373" i="1" s="1"/>
  <c r="AG373" i="1" s="1"/>
  <c r="S373" i="1"/>
  <c r="T373" i="1" s="1"/>
  <c r="Q373" i="1"/>
  <c r="O373" i="1"/>
  <c r="N373" i="1"/>
  <c r="AY372" i="1"/>
  <c r="X372" i="1"/>
  <c r="AF372" i="1" s="1"/>
  <c r="AG372" i="1" s="1"/>
  <c r="S372" i="1"/>
  <c r="Q372" i="1"/>
  <c r="O372" i="1"/>
  <c r="N372" i="1"/>
  <c r="AY371" i="1"/>
  <c r="X371" i="1"/>
  <c r="AF371" i="1" s="1"/>
  <c r="AG371" i="1" s="1"/>
  <c r="S371" i="1"/>
  <c r="T371" i="1" s="1"/>
  <c r="Q371" i="1"/>
  <c r="O371" i="1"/>
  <c r="N371" i="1"/>
  <c r="AY370" i="1"/>
  <c r="X370" i="1"/>
  <c r="AF370" i="1" s="1"/>
  <c r="AG370" i="1" s="1"/>
  <c r="S370" i="1"/>
  <c r="T370" i="1" s="1"/>
  <c r="Q370" i="1"/>
  <c r="O370" i="1"/>
  <c r="N370" i="1"/>
  <c r="AY369" i="1"/>
  <c r="X369" i="1"/>
  <c r="AF369" i="1" s="1"/>
  <c r="AG369" i="1" s="1"/>
  <c r="S369" i="1"/>
  <c r="Q369" i="1"/>
  <c r="O369" i="1"/>
  <c r="N369" i="1"/>
  <c r="AY368" i="1"/>
  <c r="X368" i="1"/>
  <c r="S368" i="1"/>
  <c r="Q368" i="1"/>
  <c r="O368" i="1"/>
  <c r="N368" i="1"/>
  <c r="AY367" i="1"/>
  <c r="X367" i="1"/>
  <c r="AF367" i="1" s="1"/>
  <c r="AG367" i="1" s="1"/>
  <c r="S367" i="1"/>
  <c r="T367" i="1" s="1"/>
  <c r="Q367" i="1"/>
  <c r="O367" i="1"/>
  <c r="N367" i="1"/>
  <c r="AY366" i="1"/>
  <c r="X366" i="1"/>
  <c r="AF366" i="1" s="1"/>
  <c r="AG366" i="1" s="1"/>
  <c r="S366" i="1"/>
  <c r="T366" i="1" s="1"/>
  <c r="Q366" i="1"/>
  <c r="O366" i="1"/>
  <c r="N366" i="1"/>
  <c r="AY365" i="1"/>
  <c r="X365" i="1"/>
  <c r="AF365" i="1" s="1"/>
  <c r="AG365" i="1" s="1"/>
  <c r="S365" i="1"/>
  <c r="Q365" i="1"/>
  <c r="O365" i="1"/>
  <c r="N365" i="1"/>
  <c r="AY364" i="1"/>
  <c r="X364" i="1"/>
  <c r="AF364" i="1" s="1"/>
  <c r="AG364" i="1" s="1"/>
  <c r="S364" i="1"/>
  <c r="Q364" i="1"/>
  <c r="O364" i="1"/>
  <c r="N364" i="1"/>
  <c r="AY363" i="1"/>
  <c r="X363" i="1"/>
  <c r="AF363" i="1" s="1"/>
  <c r="AG363" i="1" s="1"/>
  <c r="S363" i="1"/>
  <c r="Q363" i="1"/>
  <c r="O363" i="1"/>
  <c r="N363" i="1"/>
  <c r="AY362" i="1"/>
  <c r="X362" i="1"/>
  <c r="S362" i="1"/>
  <c r="Q362" i="1"/>
  <c r="O362" i="1"/>
  <c r="N362" i="1"/>
  <c r="AY360" i="1"/>
  <c r="X360" i="1"/>
  <c r="AF360" i="1" s="1"/>
  <c r="AG360" i="1" s="1"/>
  <c r="S360" i="1"/>
  <c r="T360" i="1" s="1"/>
  <c r="Q360" i="1"/>
  <c r="O360" i="1"/>
  <c r="N360" i="1"/>
  <c r="AY359" i="1"/>
  <c r="X359" i="1"/>
  <c r="AF359" i="1" s="1"/>
  <c r="AG359" i="1" s="1"/>
  <c r="S359" i="1"/>
  <c r="Q359" i="1"/>
  <c r="O359" i="1"/>
  <c r="N359" i="1"/>
  <c r="AY358" i="1"/>
  <c r="X358" i="1"/>
  <c r="S358" i="1"/>
  <c r="T358" i="1" s="1"/>
  <c r="Q358" i="1"/>
  <c r="O358" i="1"/>
  <c r="N358" i="1"/>
  <c r="AY357" i="1"/>
  <c r="X357" i="1"/>
  <c r="AF357" i="1" s="1"/>
  <c r="AG357" i="1" s="1"/>
  <c r="S357" i="1"/>
  <c r="Q357" i="1"/>
  <c r="O357" i="1"/>
  <c r="N357" i="1"/>
  <c r="AY356" i="1"/>
  <c r="X356" i="1"/>
  <c r="AF356" i="1" s="1"/>
  <c r="AG356" i="1" s="1"/>
  <c r="S356" i="1"/>
  <c r="Q356" i="1"/>
  <c r="O356" i="1"/>
  <c r="N356" i="1"/>
  <c r="AY355" i="1"/>
  <c r="X355" i="1"/>
  <c r="AF355" i="1" s="1"/>
  <c r="AG355" i="1" s="1"/>
  <c r="S355" i="1"/>
  <c r="Q355" i="1"/>
  <c r="O355" i="1"/>
  <c r="N355" i="1"/>
  <c r="AY354" i="1"/>
  <c r="X354" i="1"/>
  <c r="AF354" i="1" s="1"/>
  <c r="AG354" i="1" s="1"/>
  <c r="S354" i="1"/>
  <c r="T354" i="1" s="1"/>
  <c r="Q354" i="1"/>
  <c r="O354" i="1"/>
  <c r="N354" i="1"/>
  <c r="AY353" i="1"/>
  <c r="X353" i="1"/>
  <c r="AF353" i="1" s="1"/>
  <c r="AG353" i="1" s="1"/>
  <c r="S353" i="1"/>
  <c r="Q353" i="1"/>
  <c r="O353" i="1"/>
  <c r="N353" i="1"/>
  <c r="AY352" i="1"/>
  <c r="X352" i="1"/>
  <c r="AF352" i="1" s="1"/>
  <c r="AG352" i="1" s="1"/>
  <c r="S352" i="1"/>
  <c r="Q352" i="1"/>
  <c r="O352" i="1"/>
  <c r="N352" i="1"/>
  <c r="AY351" i="1"/>
  <c r="X351" i="1"/>
  <c r="AF351" i="1" s="1"/>
  <c r="AG351" i="1" s="1"/>
  <c r="S351" i="1"/>
  <c r="T351" i="1" s="1"/>
  <c r="Q351" i="1"/>
  <c r="O351" i="1"/>
  <c r="N351" i="1"/>
  <c r="AY350" i="1"/>
  <c r="X350" i="1"/>
  <c r="AF350" i="1" s="1"/>
  <c r="AG350" i="1" s="1"/>
  <c r="S350" i="1"/>
  <c r="T350" i="1" s="1"/>
  <c r="Q350" i="1"/>
  <c r="O350" i="1"/>
  <c r="N350" i="1"/>
  <c r="AY349" i="1"/>
  <c r="X349" i="1"/>
  <c r="AF349" i="1" s="1"/>
  <c r="AG349" i="1" s="1"/>
  <c r="S349" i="1"/>
  <c r="Q349" i="1"/>
  <c r="O349" i="1"/>
  <c r="N349" i="1"/>
  <c r="AY348" i="1"/>
  <c r="X348" i="1"/>
  <c r="AF348" i="1" s="1"/>
  <c r="AG348" i="1" s="1"/>
  <c r="S348" i="1"/>
  <c r="Q348" i="1"/>
  <c r="O348" i="1"/>
  <c r="N348" i="1"/>
  <c r="AY347" i="1"/>
  <c r="X347" i="1"/>
  <c r="AF347" i="1" s="1"/>
  <c r="AG347" i="1" s="1"/>
  <c r="S347" i="1"/>
  <c r="T347" i="1" s="1"/>
  <c r="Q347" i="1"/>
  <c r="O347" i="1"/>
  <c r="N347" i="1"/>
  <c r="AY346" i="1"/>
  <c r="X346" i="1"/>
  <c r="AF346" i="1" s="1"/>
  <c r="AG346" i="1" s="1"/>
  <c r="S346" i="1"/>
  <c r="T346" i="1" s="1"/>
  <c r="Q346" i="1"/>
  <c r="O346" i="1"/>
  <c r="N346" i="1"/>
  <c r="AY345" i="1"/>
  <c r="X345" i="1"/>
  <c r="AF345" i="1" s="1"/>
  <c r="AG345" i="1" s="1"/>
  <c r="S345" i="1"/>
  <c r="T345" i="1" s="1"/>
  <c r="Q345" i="1"/>
  <c r="O345" i="1"/>
  <c r="N345" i="1"/>
  <c r="AY344" i="1"/>
  <c r="X344" i="1"/>
  <c r="AF344" i="1" s="1"/>
  <c r="AG344" i="1" s="1"/>
  <c r="S344" i="1"/>
  <c r="Q344" i="1"/>
  <c r="O344" i="1"/>
  <c r="N344" i="1"/>
  <c r="AY343" i="1"/>
  <c r="X343" i="1"/>
  <c r="AF343" i="1" s="1"/>
  <c r="AG343" i="1" s="1"/>
  <c r="S343" i="1"/>
  <c r="T343" i="1" s="1"/>
  <c r="Q343" i="1"/>
  <c r="O343" i="1"/>
  <c r="N343" i="1"/>
  <c r="AY342" i="1"/>
  <c r="X342" i="1"/>
  <c r="AF342" i="1" s="1"/>
  <c r="AG342" i="1" s="1"/>
  <c r="S342" i="1"/>
  <c r="T342" i="1" s="1"/>
  <c r="Q342" i="1"/>
  <c r="O342" i="1"/>
  <c r="N342" i="1"/>
  <c r="AY341" i="1"/>
  <c r="X341" i="1"/>
  <c r="S341" i="1"/>
  <c r="Q341" i="1"/>
  <c r="O341" i="1"/>
  <c r="N341" i="1"/>
  <c r="AY340" i="1"/>
  <c r="X340" i="1"/>
  <c r="AF340" i="1" s="1"/>
  <c r="AG340" i="1" s="1"/>
  <c r="S340" i="1"/>
  <c r="T340" i="1" s="1"/>
  <c r="Q340" i="1"/>
  <c r="O340" i="1"/>
  <c r="N340" i="1"/>
  <c r="AY339" i="1"/>
  <c r="X339" i="1"/>
  <c r="AF339" i="1" s="1"/>
  <c r="AG339" i="1" s="1"/>
  <c r="S339" i="1"/>
  <c r="T339" i="1" s="1"/>
  <c r="Q339" i="1"/>
  <c r="O339" i="1"/>
  <c r="N339" i="1"/>
  <c r="AY338" i="1"/>
  <c r="X338" i="1"/>
  <c r="AF338" i="1" s="1"/>
  <c r="AG338" i="1" s="1"/>
  <c r="S338" i="1"/>
  <c r="T338" i="1" s="1"/>
  <c r="Q338" i="1"/>
  <c r="O338" i="1"/>
  <c r="N338" i="1"/>
  <c r="AY337" i="1"/>
  <c r="X337" i="1"/>
  <c r="AF337" i="1" s="1"/>
  <c r="AG337" i="1" s="1"/>
  <c r="S337" i="1"/>
  <c r="Q337" i="1"/>
  <c r="O337" i="1"/>
  <c r="N337" i="1"/>
  <c r="AY336" i="1"/>
  <c r="X336" i="1"/>
  <c r="AF336" i="1" s="1"/>
  <c r="AG336" i="1" s="1"/>
  <c r="S336" i="1"/>
  <c r="Q336" i="1"/>
  <c r="O336" i="1"/>
  <c r="N336" i="1"/>
  <c r="AY335" i="1"/>
  <c r="X335" i="1"/>
  <c r="AF335" i="1" s="1"/>
  <c r="AG335" i="1" s="1"/>
  <c r="S335" i="1"/>
  <c r="T335" i="1" s="1"/>
  <c r="Q335" i="1"/>
  <c r="O335" i="1"/>
  <c r="N335" i="1"/>
  <c r="AY334" i="1"/>
  <c r="X334" i="1"/>
  <c r="AF334" i="1" s="1"/>
  <c r="AG334" i="1" s="1"/>
  <c r="S334" i="1"/>
  <c r="T334" i="1" s="1"/>
  <c r="Q334" i="1"/>
  <c r="O334" i="1"/>
  <c r="N334" i="1"/>
  <c r="AY333" i="1"/>
  <c r="X333" i="1"/>
  <c r="AF333" i="1" s="1"/>
  <c r="AG333" i="1" s="1"/>
  <c r="S333" i="1"/>
  <c r="Q333" i="1"/>
  <c r="O333" i="1"/>
  <c r="N333" i="1"/>
  <c r="AY332" i="1"/>
  <c r="X332" i="1"/>
  <c r="AF332" i="1" s="1"/>
  <c r="AG332" i="1" s="1"/>
  <c r="S332" i="1"/>
  <c r="T332" i="1" s="1"/>
  <c r="Q332" i="1"/>
  <c r="O332" i="1"/>
  <c r="N332" i="1"/>
  <c r="AY331" i="1"/>
  <c r="X331" i="1"/>
  <c r="AF331" i="1" s="1"/>
  <c r="AG331" i="1" s="1"/>
  <c r="S331" i="1"/>
  <c r="T331" i="1" s="1"/>
  <c r="Q331" i="1"/>
  <c r="O331" i="1"/>
  <c r="N331" i="1"/>
  <c r="AY330" i="1"/>
  <c r="X330" i="1"/>
  <c r="AF330" i="1" s="1"/>
  <c r="AG330" i="1" s="1"/>
  <c r="S330" i="1"/>
  <c r="T330" i="1" s="1"/>
  <c r="Q330" i="1"/>
  <c r="O330" i="1"/>
  <c r="N330" i="1"/>
  <c r="AY329" i="1"/>
  <c r="X329" i="1"/>
  <c r="AF329" i="1" s="1"/>
  <c r="AG329" i="1" s="1"/>
  <c r="S329" i="1"/>
  <c r="Q329" i="1"/>
  <c r="O329" i="1"/>
  <c r="N329" i="1"/>
  <c r="AY328" i="1"/>
  <c r="X328" i="1"/>
  <c r="AF328" i="1" s="1"/>
  <c r="AG328" i="1" s="1"/>
  <c r="S328" i="1"/>
  <c r="T328" i="1" s="1"/>
  <c r="Q328" i="1"/>
  <c r="O328" i="1"/>
  <c r="N328" i="1"/>
  <c r="AY327" i="1"/>
  <c r="X327" i="1"/>
  <c r="AF327" i="1" s="1"/>
  <c r="AG327" i="1" s="1"/>
  <c r="S327" i="1"/>
  <c r="T327" i="1" s="1"/>
  <c r="Q327" i="1"/>
  <c r="O327" i="1"/>
  <c r="N327" i="1"/>
  <c r="AY326" i="1"/>
  <c r="X326" i="1"/>
  <c r="AF326" i="1" s="1"/>
  <c r="AG326" i="1" s="1"/>
  <c r="S326" i="1"/>
  <c r="T326" i="1" s="1"/>
  <c r="Q326" i="1"/>
  <c r="O326" i="1"/>
  <c r="N326" i="1"/>
  <c r="AY325" i="1"/>
  <c r="X325" i="1"/>
  <c r="AF325" i="1" s="1"/>
  <c r="AG325" i="1" s="1"/>
  <c r="S325" i="1"/>
  <c r="Q325" i="1"/>
  <c r="O325" i="1"/>
  <c r="N325" i="1"/>
  <c r="AY324" i="1"/>
  <c r="X324" i="1"/>
  <c r="AF324" i="1" s="1"/>
  <c r="AG324" i="1" s="1"/>
  <c r="S324" i="1"/>
  <c r="Q324" i="1"/>
  <c r="O324" i="1"/>
  <c r="N324" i="1"/>
  <c r="AY323" i="1"/>
  <c r="X323" i="1"/>
  <c r="AF323" i="1" s="1"/>
  <c r="AG323" i="1" s="1"/>
  <c r="S323" i="1"/>
  <c r="T323" i="1" s="1"/>
  <c r="Q323" i="1"/>
  <c r="O323" i="1"/>
  <c r="N323" i="1"/>
  <c r="AY322" i="1"/>
  <c r="X322" i="1"/>
  <c r="AF322" i="1" s="1"/>
  <c r="AG322" i="1" s="1"/>
  <c r="S322" i="1"/>
  <c r="T322" i="1" s="1"/>
  <c r="Q322" i="1"/>
  <c r="O322" i="1"/>
  <c r="N322" i="1"/>
  <c r="AY321" i="1"/>
  <c r="X321" i="1"/>
  <c r="AF321" i="1" s="1"/>
  <c r="AG321" i="1" s="1"/>
  <c r="S321" i="1"/>
  <c r="Q321" i="1"/>
  <c r="O321" i="1"/>
  <c r="N321" i="1"/>
  <c r="AY320" i="1"/>
  <c r="X320" i="1"/>
  <c r="AF320" i="1" s="1"/>
  <c r="AG320" i="1" s="1"/>
  <c r="S320" i="1"/>
  <c r="T320" i="1" s="1"/>
  <c r="Q320" i="1"/>
  <c r="O320" i="1"/>
  <c r="N320" i="1"/>
  <c r="AY319" i="1"/>
  <c r="X319" i="1"/>
  <c r="AF319" i="1" s="1"/>
  <c r="AG319" i="1" s="1"/>
  <c r="S319" i="1"/>
  <c r="Q319" i="1"/>
  <c r="O319" i="1"/>
  <c r="N319" i="1"/>
  <c r="AY318" i="1"/>
  <c r="X318" i="1"/>
  <c r="AF318" i="1" s="1"/>
  <c r="AG318" i="1" s="1"/>
  <c r="S318" i="1"/>
  <c r="Q318" i="1"/>
  <c r="O318" i="1"/>
  <c r="N318" i="1"/>
  <c r="AY317" i="1"/>
  <c r="X317" i="1"/>
  <c r="AF317" i="1" s="1"/>
  <c r="AG317" i="1" s="1"/>
  <c r="S317" i="1"/>
  <c r="Q317" i="1"/>
  <c r="O317" i="1"/>
  <c r="N317" i="1"/>
  <c r="AY316" i="1"/>
  <c r="X316" i="1"/>
  <c r="AF316" i="1" s="1"/>
  <c r="AG316" i="1" s="1"/>
  <c r="S316" i="1"/>
  <c r="T316" i="1" s="1"/>
  <c r="Q316" i="1"/>
  <c r="O316" i="1"/>
  <c r="N316" i="1"/>
  <c r="AY315" i="1"/>
  <c r="X315" i="1"/>
  <c r="AF315" i="1" s="1"/>
  <c r="AG315" i="1" s="1"/>
  <c r="S315" i="1"/>
  <c r="Q315" i="1"/>
  <c r="O315" i="1"/>
  <c r="N315" i="1"/>
  <c r="AY314" i="1"/>
  <c r="X314" i="1"/>
  <c r="AF314" i="1" s="1"/>
  <c r="AG314" i="1" s="1"/>
  <c r="S314" i="1"/>
  <c r="T314" i="1" s="1"/>
  <c r="Q314" i="1"/>
  <c r="O314" i="1"/>
  <c r="N314" i="1"/>
  <c r="AY313" i="1"/>
  <c r="X313" i="1"/>
  <c r="AF313" i="1" s="1"/>
  <c r="AG313" i="1" s="1"/>
  <c r="S313" i="1"/>
  <c r="Q313" i="1"/>
  <c r="O313" i="1"/>
  <c r="N313" i="1"/>
  <c r="AY312" i="1"/>
  <c r="X312" i="1"/>
  <c r="AF312" i="1" s="1"/>
  <c r="AG312" i="1" s="1"/>
  <c r="S312" i="1"/>
  <c r="Q312" i="1"/>
  <c r="O312" i="1"/>
  <c r="N312" i="1"/>
  <c r="AY311" i="1"/>
  <c r="X311" i="1"/>
  <c r="AF311" i="1" s="1"/>
  <c r="AG311" i="1" s="1"/>
  <c r="S311" i="1"/>
  <c r="T311" i="1" s="1"/>
  <c r="Q311" i="1"/>
  <c r="O311" i="1"/>
  <c r="N311" i="1"/>
  <c r="AY310" i="1"/>
  <c r="X310" i="1"/>
  <c r="AF310" i="1" s="1"/>
  <c r="AG310" i="1" s="1"/>
  <c r="S310" i="1"/>
  <c r="T310" i="1" s="1"/>
  <c r="Q310" i="1"/>
  <c r="O310" i="1"/>
  <c r="N310" i="1"/>
  <c r="AY309" i="1"/>
  <c r="X309" i="1"/>
  <c r="AF309" i="1" s="1"/>
  <c r="AG309" i="1" s="1"/>
  <c r="S309" i="1"/>
  <c r="T309" i="1" s="1"/>
  <c r="Q309" i="1"/>
  <c r="O309" i="1"/>
  <c r="N309" i="1"/>
  <c r="AY308" i="1"/>
  <c r="X308" i="1"/>
  <c r="AF308" i="1" s="1"/>
  <c r="AG308" i="1" s="1"/>
  <c r="S308" i="1"/>
  <c r="Q308" i="1"/>
  <c r="O308" i="1"/>
  <c r="N308" i="1"/>
  <c r="AY307" i="1"/>
  <c r="X307" i="1"/>
  <c r="AF307" i="1" s="1"/>
  <c r="AG307" i="1" s="1"/>
  <c r="S307" i="1"/>
  <c r="T307" i="1" s="1"/>
  <c r="Q307" i="1"/>
  <c r="O307" i="1"/>
  <c r="N307" i="1"/>
  <c r="AY306" i="1"/>
  <c r="X306" i="1"/>
  <c r="AF306" i="1" s="1"/>
  <c r="AG306" i="1" s="1"/>
  <c r="S306" i="1"/>
  <c r="Q306" i="1"/>
  <c r="O306" i="1"/>
  <c r="N306" i="1"/>
  <c r="AY305" i="1"/>
  <c r="X305" i="1"/>
  <c r="AF305" i="1" s="1"/>
  <c r="AG305" i="1" s="1"/>
  <c r="S305" i="1"/>
  <c r="Q305" i="1"/>
  <c r="O305" i="1"/>
  <c r="N305" i="1"/>
  <c r="AY304" i="1"/>
  <c r="X304" i="1"/>
  <c r="AF304" i="1" s="1"/>
  <c r="AG304" i="1" s="1"/>
  <c r="S304" i="1"/>
  <c r="Q304" i="1"/>
  <c r="O304" i="1"/>
  <c r="N304" i="1"/>
  <c r="AY303" i="1"/>
  <c r="X303" i="1"/>
  <c r="AF303" i="1" s="1"/>
  <c r="AG303" i="1" s="1"/>
  <c r="S303" i="1"/>
  <c r="Q303" i="1"/>
  <c r="O303" i="1"/>
  <c r="N303" i="1"/>
  <c r="AY302" i="1"/>
  <c r="AD302" i="1"/>
  <c r="X302" i="1"/>
  <c r="AF302" i="1" s="1"/>
  <c r="AG302" i="1" s="1"/>
  <c r="S302" i="1"/>
  <c r="T302" i="1" s="1"/>
  <c r="Q302" i="1"/>
  <c r="O302" i="1"/>
  <c r="N302" i="1"/>
  <c r="AY301" i="1"/>
  <c r="X301" i="1"/>
  <c r="AF301" i="1" s="1"/>
  <c r="AG301" i="1" s="1"/>
  <c r="S301" i="1"/>
  <c r="Q301" i="1"/>
  <c r="O301" i="1"/>
  <c r="N301" i="1"/>
  <c r="AY300" i="1"/>
  <c r="X300" i="1"/>
  <c r="AF300" i="1" s="1"/>
  <c r="AG300" i="1" s="1"/>
  <c r="S300" i="1"/>
  <c r="Q300" i="1"/>
  <c r="O300" i="1"/>
  <c r="N300" i="1"/>
  <c r="AY299" i="1"/>
  <c r="X299" i="1"/>
  <c r="AF299" i="1" s="1"/>
  <c r="AG299" i="1" s="1"/>
  <c r="S299" i="1"/>
  <c r="Q299" i="1"/>
  <c r="O299" i="1"/>
  <c r="N299" i="1"/>
  <c r="AY298" i="1"/>
  <c r="X298" i="1"/>
  <c r="AF298" i="1" s="1"/>
  <c r="AG298" i="1" s="1"/>
  <c r="S298" i="1"/>
  <c r="Q298" i="1"/>
  <c r="O298" i="1"/>
  <c r="N298" i="1"/>
  <c r="AY297" i="1"/>
  <c r="X297" i="1"/>
  <c r="AF297" i="1" s="1"/>
  <c r="AG297" i="1" s="1"/>
  <c r="S297" i="1"/>
  <c r="Q297" i="1"/>
  <c r="O297" i="1"/>
  <c r="N297" i="1"/>
  <c r="AY296" i="1"/>
  <c r="X296" i="1"/>
  <c r="AF296" i="1" s="1"/>
  <c r="AG296" i="1" s="1"/>
  <c r="S296" i="1"/>
  <c r="Q296" i="1"/>
  <c r="O296" i="1"/>
  <c r="N296" i="1"/>
  <c r="AY295" i="1"/>
  <c r="X295" i="1"/>
  <c r="AF295" i="1" s="1"/>
  <c r="AG295" i="1" s="1"/>
  <c r="S295" i="1"/>
  <c r="Q295" i="1"/>
  <c r="O295" i="1"/>
  <c r="N295" i="1"/>
  <c r="AY294" i="1"/>
  <c r="X294" i="1"/>
  <c r="AF294" i="1" s="1"/>
  <c r="AG294" i="1" s="1"/>
  <c r="S294" i="1"/>
  <c r="Q294" i="1"/>
  <c r="O294" i="1"/>
  <c r="N294" i="1"/>
  <c r="AY293" i="1"/>
  <c r="Z293" i="1"/>
  <c r="Y293" i="1"/>
  <c r="S293" i="1"/>
  <c r="Q293" i="1"/>
  <c r="O293" i="1"/>
  <c r="N293" i="1"/>
  <c r="AY292" i="1"/>
  <c r="X292" i="1"/>
  <c r="AF292" i="1" s="1"/>
  <c r="AG292" i="1" s="1"/>
  <c r="S292" i="1"/>
  <c r="Q292" i="1"/>
  <c r="O292" i="1"/>
  <c r="N292" i="1"/>
  <c r="AY291" i="1"/>
  <c r="X291" i="1"/>
  <c r="AF291" i="1" s="1"/>
  <c r="AG291" i="1" s="1"/>
  <c r="S291" i="1"/>
  <c r="Q291" i="1"/>
  <c r="O291" i="1"/>
  <c r="N291" i="1"/>
  <c r="AY290" i="1"/>
  <c r="X290" i="1"/>
  <c r="AF290" i="1" s="1"/>
  <c r="AG290" i="1" s="1"/>
  <c r="S290" i="1"/>
  <c r="Q290" i="1"/>
  <c r="O290" i="1"/>
  <c r="N290" i="1"/>
  <c r="AY289" i="1"/>
  <c r="X289" i="1"/>
  <c r="AF289" i="1" s="1"/>
  <c r="AG289" i="1" s="1"/>
  <c r="S289" i="1"/>
  <c r="Q289" i="1"/>
  <c r="O289" i="1"/>
  <c r="N289" i="1"/>
  <c r="AY288" i="1"/>
  <c r="X288" i="1"/>
  <c r="S288" i="1"/>
  <c r="Q288" i="1"/>
  <c r="O288" i="1"/>
  <c r="N288" i="1"/>
  <c r="AY287" i="1"/>
  <c r="X287" i="1"/>
  <c r="AF287" i="1" s="1"/>
  <c r="AG287" i="1" s="1"/>
  <c r="S287" i="1"/>
  <c r="Q287" i="1"/>
  <c r="O287" i="1"/>
  <c r="N287" i="1"/>
  <c r="AY286" i="1"/>
  <c r="X286" i="1"/>
  <c r="AF286" i="1" s="1"/>
  <c r="AG286" i="1" s="1"/>
  <c r="S286" i="1"/>
  <c r="Q286" i="1"/>
  <c r="O286" i="1"/>
  <c r="N286" i="1"/>
  <c r="AY285" i="1"/>
  <c r="X285" i="1"/>
  <c r="AF285" i="1" s="1"/>
  <c r="AG285" i="1" s="1"/>
  <c r="S285" i="1"/>
  <c r="Q285" i="1"/>
  <c r="O285" i="1"/>
  <c r="N285" i="1"/>
  <c r="AY284" i="1"/>
  <c r="X284" i="1"/>
  <c r="AF284" i="1" s="1"/>
  <c r="AG284" i="1" s="1"/>
  <c r="S284" i="1"/>
  <c r="Q284" i="1"/>
  <c r="O284" i="1"/>
  <c r="N284" i="1"/>
  <c r="AY283" i="1"/>
  <c r="X283" i="1"/>
  <c r="AF283" i="1" s="1"/>
  <c r="AG283" i="1" s="1"/>
  <c r="S283" i="1"/>
  <c r="Q283" i="1"/>
  <c r="O283" i="1"/>
  <c r="N283" i="1"/>
  <c r="AY282" i="1"/>
  <c r="X282" i="1"/>
  <c r="AF282" i="1" s="1"/>
  <c r="AG282" i="1" s="1"/>
  <c r="S282" i="1"/>
  <c r="Q282" i="1"/>
  <c r="O282" i="1"/>
  <c r="N282" i="1"/>
  <c r="AY281" i="1"/>
  <c r="X281" i="1"/>
  <c r="AF281" i="1" s="1"/>
  <c r="AG281" i="1" s="1"/>
  <c r="S281" i="1"/>
  <c r="Q281" i="1"/>
  <c r="O281" i="1"/>
  <c r="N281" i="1"/>
  <c r="AY280" i="1"/>
  <c r="X280" i="1"/>
  <c r="AF280" i="1" s="1"/>
  <c r="AG280" i="1" s="1"/>
  <c r="S280" i="1"/>
  <c r="Q280" i="1"/>
  <c r="O280" i="1"/>
  <c r="N280" i="1"/>
  <c r="AY279" i="1"/>
  <c r="X279" i="1"/>
  <c r="AF279" i="1" s="1"/>
  <c r="AG279" i="1" s="1"/>
  <c r="S279" i="1"/>
  <c r="Q279" i="1"/>
  <c r="O279" i="1"/>
  <c r="N279" i="1"/>
  <c r="AY278" i="1"/>
  <c r="X278" i="1"/>
  <c r="S278" i="1"/>
  <c r="Q278" i="1"/>
  <c r="O278" i="1"/>
  <c r="N278" i="1"/>
  <c r="AY277" i="1"/>
  <c r="X277" i="1"/>
  <c r="AF277" i="1" s="1"/>
  <c r="AG277" i="1" s="1"/>
  <c r="S277" i="1"/>
  <c r="Q277" i="1"/>
  <c r="O277" i="1"/>
  <c r="N277" i="1"/>
  <c r="AY276" i="1"/>
  <c r="X276" i="1"/>
  <c r="AF276" i="1" s="1"/>
  <c r="AG276" i="1" s="1"/>
  <c r="S276" i="1"/>
  <c r="Q276" i="1"/>
  <c r="O276" i="1"/>
  <c r="N276" i="1"/>
  <c r="AY275" i="1"/>
  <c r="X275" i="1"/>
  <c r="AF275" i="1" s="1"/>
  <c r="AG275" i="1" s="1"/>
  <c r="S275" i="1"/>
  <c r="Q275" i="1"/>
  <c r="O275" i="1"/>
  <c r="N275" i="1"/>
  <c r="AY274" i="1"/>
  <c r="X274" i="1"/>
  <c r="AF274" i="1" s="1"/>
  <c r="AG274" i="1" s="1"/>
  <c r="S274" i="1"/>
  <c r="Q274" i="1"/>
  <c r="O274" i="1"/>
  <c r="N274" i="1"/>
  <c r="AY273" i="1"/>
  <c r="X273" i="1"/>
  <c r="AF273" i="1" s="1"/>
  <c r="AG273" i="1" s="1"/>
  <c r="S273" i="1"/>
  <c r="Q273" i="1"/>
  <c r="O273" i="1"/>
  <c r="N273" i="1"/>
  <c r="AY272" i="1"/>
  <c r="X272" i="1"/>
  <c r="S272" i="1"/>
  <c r="Q272" i="1"/>
  <c r="O272" i="1"/>
  <c r="N272" i="1"/>
  <c r="AY271" i="1"/>
  <c r="X271" i="1"/>
  <c r="AF271" i="1" s="1"/>
  <c r="AG271" i="1" s="1"/>
  <c r="S271" i="1"/>
  <c r="T271" i="1" s="1"/>
  <c r="Q271" i="1"/>
  <c r="O271" i="1"/>
  <c r="N271" i="1"/>
  <c r="AY270" i="1"/>
  <c r="X270" i="1"/>
  <c r="S270" i="1"/>
  <c r="T270" i="1" s="1"/>
  <c r="Q270" i="1"/>
  <c r="O270" i="1"/>
  <c r="N270" i="1"/>
  <c r="AY269" i="1"/>
  <c r="X269" i="1"/>
  <c r="AF269" i="1" s="1"/>
  <c r="AG269" i="1" s="1"/>
  <c r="S269" i="1"/>
  <c r="Q269" i="1"/>
  <c r="O269" i="1"/>
  <c r="N269" i="1"/>
  <c r="AY268" i="1"/>
  <c r="X268" i="1"/>
  <c r="S268" i="1"/>
  <c r="Q268" i="1"/>
  <c r="O268" i="1"/>
  <c r="N268" i="1"/>
  <c r="AY267" i="1"/>
  <c r="X267" i="1"/>
  <c r="AF267" i="1" s="1"/>
  <c r="AG267" i="1" s="1"/>
  <c r="S267" i="1"/>
  <c r="Q267" i="1"/>
  <c r="O267" i="1"/>
  <c r="N267" i="1"/>
  <c r="AY266" i="1"/>
  <c r="X266" i="1"/>
  <c r="S266" i="1"/>
  <c r="Q266" i="1"/>
  <c r="O266" i="1"/>
  <c r="N266" i="1"/>
  <c r="AY265" i="1"/>
  <c r="X265" i="1"/>
  <c r="AF265" i="1" s="1"/>
  <c r="AG265" i="1" s="1"/>
  <c r="S265" i="1"/>
  <c r="Q265" i="1"/>
  <c r="O265" i="1"/>
  <c r="N265" i="1"/>
  <c r="AY264" i="1"/>
  <c r="X264" i="1"/>
  <c r="AF264" i="1" s="1"/>
  <c r="AG264" i="1" s="1"/>
  <c r="S264" i="1"/>
  <c r="Q264" i="1"/>
  <c r="O264" i="1"/>
  <c r="N264" i="1"/>
  <c r="AY263" i="1"/>
  <c r="X263" i="1"/>
  <c r="AF263" i="1" s="1"/>
  <c r="AG263" i="1" s="1"/>
  <c r="S263" i="1"/>
  <c r="T263" i="1" s="1"/>
  <c r="Q263" i="1"/>
  <c r="O263" i="1"/>
  <c r="N263" i="1"/>
  <c r="AY262" i="1"/>
  <c r="X262" i="1"/>
  <c r="AF262" i="1" s="1"/>
  <c r="AG262" i="1" s="1"/>
  <c r="S262" i="1"/>
  <c r="Q262" i="1"/>
  <c r="O262" i="1"/>
  <c r="N262" i="1"/>
  <c r="AY261" i="1"/>
  <c r="X261" i="1"/>
  <c r="AF261" i="1" s="1"/>
  <c r="AG261" i="1" s="1"/>
  <c r="S261" i="1"/>
  <c r="Q261" i="1"/>
  <c r="O261" i="1"/>
  <c r="N261" i="1"/>
  <c r="AY260" i="1"/>
  <c r="X260" i="1"/>
  <c r="AF260" i="1" s="1"/>
  <c r="AG260" i="1" s="1"/>
  <c r="S260" i="1"/>
  <c r="Q260" i="1"/>
  <c r="O260" i="1"/>
  <c r="N260" i="1"/>
  <c r="AY259" i="1"/>
  <c r="X259" i="1"/>
  <c r="AF259" i="1" s="1"/>
  <c r="AG259" i="1" s="1"/>
  <c r="S259" i="1"/>
  <c r="T259" i="1" s="1"/>
  <c r="Q259" i="1"/>
  <c r="O259" i="1"/>
  <c r="N259" i="1"/>
  <c r="AY258" i="1"/>
  <c r="X258" i="1"/>
  <c r="AF258" i="1" s="1"/>
  <c r="AG258" i="1" s="1"/>
  <c r="S258" i="1"/>
  <c r="Q258" i="1"/>
  <c r="O258" i="1"/>
  <c r="N258" i="1"/>
  <c r="AY257" i="1"/>
  <c r="X257" i="1"/>
  <c r="AF257" i="1" s="1"/>
  <c r="AG257" i="1" s="1"/>
  <c r="S257" i="1"/>
  <c r="T257" i="1" s="1"/>
  <c r="Q257" i="1"/>
  <c r="O257" i="1"/>
  <c r="N257" i="1"/>
  <c r="AY256" i="1"/>
  <c r="X256" i="1"/>
  <c r="AF256" i="1" s="1"/>
  <c r="AG256" i="1" s="1"/>
  <c r="S256" i="1"/>
  <c r="T256" i="1" s="1"/>
  <c r="Q256" i="1"/>
  <c r="O256" i="1"/>
  <c r="N256" i="1"/>
  <c r="AY255" i="1"/>
  <c r="X255" i="1"/>
  <c r="AF255" i="1" s="1"/>
  <c r="AG255" i="1" s="1"/>
  <c r="S255" i="1"/>
  <c r="T255" i="1" s="1"/>
  <c r="Q255" i="1"/>
  <c r="O255" i="1"/>
  <c r="N255" i="1"/>
  <c r="AY254" i="1"/>
  <c r="X254" i="1"/>
  <c r="AF254" i="1" s="1"/>
  <c r="AG254" i="1" s="1"/>
  <c r="S254" i="1"/>
  <c r="Q254" i="1"/>
  <c r="O254" i="1"/>
  <c r="N254" i="1"/>
  <c r="AY253" i="1"/>
  <c r="X253" i="1"/>
  <c r="AF253" i="1" s="1"/>
  <c r="AG253" i="1" s="1"/>
  <c r="S253" i="1"/>
  <c r="T253" i="1" s="1"/>
  <c r="Q253" i="1"/>
  <c r="O253" i="1"/>
  <c r="N253" i="1"/>
  <c r="AY252" i="1"/>
  <c r="X252" i="1"/>
  <c r="AF252" i="1" s="1"/>
  <c r="AG252" i="1" s="1"/>
  <c r="S252" i="1"/>
  <c r="Q252" i="1"/>
  <c r="O252" i="1"/>
  <c r="N252" i="1"/>
  <c r="AY251" i="1"/>
  <c r="X251" i="1"/>
  <c r="AF251" i="1" s="1"/>
  <c r="AG251" i="1" s="1"/>
  <c r="S251" i="1"/>
  <c r="T251" i="1" s="1"/>
  <c r="Q251" i="1"/>
  <c r="O251" i="1"/>
  <c r="N251" i="1"/>
  <c r="AY250" i="1"/>
  <c r="X250" i="1"/>
  <c r="AF250" i="1" s="1"/>
  <c r="AG250" i="1" s="1"/>
  <c r="S250" i="1"/>
  <c r="Q250" i="1"/>
  <c r="O250" i="1"/>
  <c r="N250" i="1"/>
  <c r="AY249" i="1"/>
  <c r="X249" i="1"/>
  <c r="AF249" i="1" s="1"/>
  <c r="AG249" i="1" s="1"/>
  <c r="S249" i="1"/>
  <c r="Q249" i="1"/>
  <c r="O249" i="1"/>
  <c r="N249" i="1"/>
  <c r="AY248" i="1"/>
  <c r="X248" i="1"/>
  <c r="AF248" i="1" s="1"/>
  <c r="AG248" i="1" s="1"/>
  <c r="S248" i="1"/>
  <c r="T248" i="1" s="1"/>
  <c r="Q248" i="1"/>
  <c r="O248" i="1"/>
  <c r="N248" i="1"/>
  <c r="AY247" i="1"/>
  <c r="X247" i="1"/>
  <c r="AF247" i="1" s="1"/>
  <c r="AG247" i="1" s="1"/>
  <c r="S247" i="1"/>
  <c r="T247" i="1" s="1"/>
  <c r="Q247" i="1"/>
  <c r="O247" i="1"/>
  <c r="N247" i="1"/>
  <c r="AY246" i="1"/>
  <c r="X246" i="1"/>
  <c r="AF246" i="1" s="1"/>
  <c r="AG246" i="1" s="1"/>
  <c r="T246" i="1"/>
  <c r="Q246" i="1"/>
  <c r="O246" i="1"/>
  <c r="N246" i="1"/>
  <c r="AY245" i="1"/>
  <c r="X245" i="1"/>
  <c r="AF245" i="1" s="1"/>
  <c r="AG245" i="1" s="1"/>
  <c r="S245" i="1"/>
  <c r="Q245" i="1"/>
  <c r="O245" i="1"/>
  <c r="N245" i="1"/>
  <c r="AY244" i="1"/>
  <c r="X244" i="1"/>
  <c r="AF244" i="1" s="1"/>
  <c r="AG244" i="1" s="1"/>
  <c r="S244" i="1"/>
  <c r="T244" i="1" s="1"/>
  <c r="Q244" i="1"/>
  <c r="O244" i="1"/>
  <c r="N244" i="1"/>
  <c r="AY243" i="1"/>
  <c r="X243" i="1"/>
  <c r="AF243" i="1" s="1"/>
  <c r="AG243" i="1" s="1"/>
  <c r="S243" i="1"/>
  <c r="Q243" i="1"/>
  <c r="O243" i="1"/>
  <c r="N243" i="1"/>
  <c r="AY242" i="1"/>
  <c r="X242" i="1"/>
  <c r="AF242" i="1" s="1"/>
  <c r="AG242" i="1" s="1"/>
  <c r="S242" i="1"/>
  <c r="T242" i="1" s="1"/>
  <c r="Q242" i="1"/>
  <c r="O242" i="1"/>
  <c r="N242" i="1"/>
  <c r="AY241" i="1"/>
  <c r="X241" i="1"/>
  <c r="AF241" i="1" s="1"/>
  <c r="AG241" i="1" s="1"/>
  <c r="S241" i="1"/>
  <c r="T241" i="1" s="1"/>
  <c r="Q241" i="1"/>
  <c r="O241" i="1"/>
  <c r="N241" i="1"/>
  <c r="AY240" i="1"/>
  <c r="X240" i="1"/>
  <c r="AF240" i="1" s="1"/>
  <c r="AG240" i="1" s="1"/>
  <c r="S240" i="1"/>
  <c r="T240" i="1" s="1"/>
  <c r="Q240" i="1"/>
  <c r="O240" i="1"/>
  <c r="N240" i="1"/>
  <c r="AY239" i="1"/>
  <c r="X239" i="1"/>
  <c r="AF239" i="1" s="1"/>
  <c r="AG239" i="1" s="1"/>
  <c r="S239" i="1"/>
  <c r="Q239" i="1"/>
  <c r="O239" i="1"/>
  <c r="N239" i="1"/>
  <c r="AY238" i="1"/>
  <c r="X238" i="1"/>
  <c r="AF238" i="1" s="1"/>
  <c r="AG238" i="1" s="1"/>
  <c r="S238" i="1"/>
  <c r="T238" i="1" s="1"/>
  <c r="Q238" i="1"/>
  <c r="O238" i="1"/>
  <c r="N238" i="1"/>
  <c r="AY237" i="1"/>
  <c r="X237" i="1"/>
  <c r="AF237" i="1" s="1"/>
  <c r="AG237" i="1" s="1"/>
  <c r="S237" i="1"/>
  <c r="T237" i="1" s="1"/>
  <c r="Q237" i="1"/>
  <c r="O237" i="1"/>
  <c r="N237" i="1"/>
  <c r="AY236" i="1"/>
  <c r="X236" i="1"/>
  <c r="AF236" i="1" s="1"/>
  <c r="AG236" i="1" s="1"/>
  <c r="S236" i="1"/>
  <c r="Q236" i="1"/>
  <c r="O236" i="1"/>
  <c r="N236" i="1"/>
  <c r="AY235" i="1"/>
  <c r="X235" i="1"/>
  <c r="S235" i="1"/>
  <c r="Q235" i="1"/>
  <c r="O235" i="1"/>
  <c r="N235" i="1"/>
  <c r="AY234" i="1"/>
  <c r="X234" i="1"/>
  <c r="AF234" i="1" s="1"/>
  <c r="AG234" i="1" s="1"/>
  <c r="S234" i="1"/>
  <c r="T234" i="1" s="1"/>
  <c r="Q234" i="1"/>
  <c r="O234" i="1"/>
  <c r="N234" i="1"/>
  <c r="AY233" i="1"/>
  <c r="X233" i="1"/>
  <c r="AF233" i="1" s="1"/>
  <c r="AG233" i="1" s="1"/>
  <c r="S233" i="1"/>
  <c r="T233" i="1" s="1"/>
  <c r="Q233" i="1"/>
  <c r="O233" i="1"/>
  <c r="N233" i="1"/>
  <c r="AY232" i="1"/>
  <c r="X232" i="1"/>
  <c r="AF232" i="1" s="1"/>
  <c r="AG232" i="1" s="1"/>
  <c r="S232" i="1"/>
  <c r="Q232" i="1"/>
  <c r="O232" i="1"/>
  <c r="N232" i="1"/>
  <c r="AY231" i="1"/>
  <c r="X231" i="1"/>
  <c r="AF231" i="1" s="1"/>
  <c r="AG231" i="1" s="1"/>
  <c r="S231" i="1"/>
  <c r="T231" i="1" s="1"/>
  <c r="Q231" i="1"/>
  <c r="O231" i="1"/>
  <c r="N231" i="1"/>
  <c r="AY230" i="1"/>
  <c r="X230" i="1"/>
  <c r="AF230" i="1" s="1"/>
  <c r="AG230" i="1" s="1"/>
  <c r="S230" i="1"/>
  <c r="Q230" i="1"/>
  <c r="O230" i="1"/>
  <c r="N230" i="1"/>
  <c r="AY229" i="1"/>
  <c r="X229" i="1"/>
  <c r="AF229" i="1" s="1"/>
  <c r="AG229" i="1" s="1"/>
  <c r="S229" i="1"/>
  <c r="T229" i="1" s="1"/>
  <c r="Q229" i="1"/>
  <c r="O229" i="1"/>
  <c r="N229" i="1"/>
  <c r="AY228" i="1"/>
  <c r="X228" i="1"/>
  <c r="AF228" i="1" s="1"/>
  <c r="AG228" i="1" s="1"/>
  <c r="S228" i="1"/>
  <c r="T228" i="1" s="1"/>
  <c r="Q228" i="1"/>
  <c r="O228" i="1"/>
  <c r="N228" i="1"/>
  <c r="AY227" i="1"/>
  <c r="X227" i="1"/>
  <c r="AF227" i="1" s="1"/>
  <c r="AG227" i="1" s="1"/>
  <c r="S227" i="1"/>
  <c r="T227" i="1" s="1"/>
  <c r="Q227" i="1"/>
  <c r="O227" i="1"/>
  <c r="N227" i="1"/>
  <c r="AY226" i="1"/>
  <c r="X226" i="1"/>
  <c r="AF226" i="1" s="1"/>
  <c r="AG226" i="1" s="1"/>
  <c r="S226" i="1"/>
  <c r="Q226" i="1"/>
  <c r="O226" i="1"/>
  <c r="N226" i="1"/>
  <c r="AY225" i="1"/>
  <c r="X225" i="1"/>
  <c r="AF225" i="1" s="1"/>
  <c r="AG225" i="1" s="1"/>
  <c r="S225" i="1"/>
  <c r="T225" i="1" s="1"/>
  <c r="Q225" i="1"/>
  <c r="O225" i="1"/>
  <c r="N225" i="1"/>
  <c r="AY224" i="1"/>
  <c r="X224" i="1"/>
  <c r="AF224" i="1" s="1"/>
  <c r="AG224" i="1" s="1"/>
  <c r="S224" i="1"/>
  <c r="Q224" i="1"/>
  <c r="O224" i="1"/>
  <c r="N224" i="1"/>
  <c r="AY223" i="1"/>
  <c r="X223" i="1"/>
  <c r="AF223" i="1" s="1"/>
  <c r="AG223" i="1" s="1"/>
  <c r="S223" i="1"/>
  <c r="T223" i="1" s="1"/>
  <c r="Q223" i="1"/>
  <c r="O223" i="1"/>
  <c r="N223" i="1"/>
  <c r="AY222" i="1"/>
  <c r="X222" i="1"/>
  <c r="AF222" i="1" s="1"/>
  <c r="AG222" i="1" s="1"/>
  <c r="S222" i="1"/>
  <c r="Q222" i="1"/>
  <c r="O222" i="1"/>
  <c r="N222" i="1"/>
  <c r="AY221" i="1"/>
  <c r="X221" i="1"/>
  <c r="AF221" i="1" s="1"/>
  <c r="AG221" i="1" s="1"/>
  <c r="S221" i="1"/>
  <c r="T221" i="1" s="1"/>
  <c r="Q221" i="1"/>
  <c r="O221" i="1"/>
  <c r="N221" i="1"/>
  <c r="AY220" i="1"/>
  <c r="X220" i="1"/>
  <c r="AF220" i="1" s="1"/>
  <c r="AG220" i="1" s="1"/>
  <c r="S220" i="1"/>
  <c r="Q220" i="1"/>
  <c r="O220" i="1"/>
  <c r="N220" i="1"/>
  <c r="AY219" i="1"/>
  <c r="X219" i="1"/>
  <c r="AF219" i="1" s="1"/>
  <c r="AG219" i="1" s="1"/>
  <c r="S219" i="1"/>
  <c r="T219" i="1" s="1"/>
  <c r="Q219" i="1"/>
  <c r="O219" i="1"/>
  <c r="N219" i="1"/>
  <c r="AY218" i="1"/>
  <c r="X218" i="1"/>
  <c r="AF218" i="1" s="1"/>
  <c r="AG218" i="1" s="1"/>
  <c r="S218" i="1"/>
  <c r="Q218" i="1"/>
  <c r="O218" i="1"/>
  <c r="N218" i="1"/>
  <c r="AY217" i="1"/>
  <c r="X217" i="1"/>
  <c r="AF217" i="1" s="1"/>
  <c r="AG217" i="1" s="1"/>
  <c r="S217" i="1"/>
  <c r="T217" i="1" s="1"/>
  <c r="Q217" i="1"/>
  <c r="O217" i="1"/>
  <c r="N217" i="1"/>
  <c r="AY216" i="1"/>
  <c r="X216" i="1"/>
  <c r="AF216" i="1" s="1"/>
  <c r="AG216" i="1" s="1"/>
  <c r="T216" i="1"/>
  <c r="Q216" i="1"/>
  <c r="O216" i="1"/>
  <c r="N216" i="1"/>
  <c r="AY215" i="1"/>
  <c r="AD215" i="1"/>
  <c r="AB215" i="1"/>
  <c r="Z215" i="1"/>
  <c r="Y215" i="1"/>
  <c r="S215" i="1"/>
  <c r="Q215" i="1"/>
  <c r="O215" i="1"/>
  <c r="N215" i="1"/>
  <c r="AY214" i="1"/>
  <c r="X214" i="1"/>
  <c r="AF214" i="1" s="1"/>
  <c r="AG214" i="1" s="1"/>
  <c r="S214" i="1"/>
  <c r="T214" i="1" s="1"/>
  <c r="Q214" i="1"/>
  <c r="O214" i="1"/>
  <c r="N214" i="1"/>
  <c r="AY213" i="1"/>
  <c r="X213" i="1"/>
  <c r="AF213" i="1" s="1"/>
  <c r="AG213" i="1" s="1"/>
  <c r="S213" i="1"/>
  <c r="T213" i="1" s="1"/>
  <c r="Q213" i="1"/>
  <c r="O213" i="1"/>
  <c r="N213" i="1"/>
  <c r="AY212" i="1"/>
  <c r="X212" i="1"/>
  <c r="AF212" i="1" s="1"/>
  <c r="AG212" i="1" s="1"/>
  <c r="S212" i="1"/>
  <c r="Q212" i="1"/>
  <c r="O212" i="1"/>
  <c r="N212" i="1"/>
  <c r="AY211" i="1"/>
  <c r="X211" i="1"/>
  <c r="AF211" i="1" s="1"/>
  <c r="AG211" i="1" s="1"/>
  <c r="S211" i="1"/>
  <c r="Q211" i="1"/>
  <c r="O211" i="1"/>
  <c r="N211" i="1"/>
  <c r="AY210" i="1"/>
  <c r="X210" i="1"/>
  <c r="AF210" i="1" s="1"/>
  <c r="AG210" i="1" s="1"/>
  <c r="S210" i="1"/>
  <c r="T210" i="1" s="1"/>
  <c r="Q210" i="1"/>
  <c r="O210" i="1"/>
  <c r="N210" i="1"/>
  <c r="AY209" i="1"/>
  <c r="X209" i="1"/>
  <c r="AF209" i="1" s="1"/>
  <c r="AG209" i="1" s="1"/>
  <c r="S209" i="1"/>
  <c r="Q209" i="1"/>
  <c r="O209" i="1"/>
  <c r="N209" i="1"/>
  <c r="AY208" i="1"/>
  <c r="X208" i="1"/>
  <c r="AF208" i="1" s="1"/>
  <c r="AG208" i="1" s="1"/>
  <c r="S208" i="1"/>
  <c r="T208" i="1" s="1"/>
  <c r="Q208" i="1"/>
  <c r="O208" i="1"/>
  <c r="N208" i="1"/>
  <c r="AY207" i="1"/>
  <c r="X207" i="1"/>
  <c r="AF207" i="1" s="1"/>
  <c r="AG207" i="1" s="1"/>
  <c r="S207" i="1"/>
  <c r="Q207" i="1"/>
  <c r="O207" i="1"/>
  <c r="N207" i="1"/>
  <c r="AY206" i="1"/>
  <c r="X206" i="1"/>
  <c r="AF206" i="1" s="1"/>
  <c r="AG206" i="1" s="1"/>
  <c r="S206" i="1"/>
  <c r="T206" i="1" s="1"/>
  <c r="Q206" i="1"/>
  <c r="O206" i="1"/>
  <c r="N206" i="1"/>
  <c r="AY205" i="1"/>
  <c r="Y205" i="1"/>
  <c r="S205" i="1"/>
  <c r="Q205" i="1"/>
  <c r="O205" i="1"/>
  <c r="N205" i="1"/>
  <c r="AY204" i="1"/>
  <c r="Y204" i="1"/>
  <c r="S204" i="1"/>
  <c r="Q204" i="1"/>
  <c r="O204" i="1"/>
  <c r="N204" i="1"/>
  <c r="AY203" i="1"/>
  <c r="Y203" i="1"/>
  <c r="S203" i="1"/>
  <c r="Q203" i="1"/>
  <c r="O203" i="1"/>
  <c r="N203" i="1"/>
  <c r="AY202" i="1"/>
  <c r="Y202" i="1"/>
  <c r="S202" i="1"/>
  <c r="Q202" i="1"/>
  <c r="O202" i="1"/>
  <c r="N202" i="1"/>
  <c r="AY201" i="1"/>
  <c r="X201" i="1"/>
  <c r="AF201" i="1" s="1"/>
  <c r="AG201" i="1" s="1"/>
  <c r="S201" i="1"/>
  <c r="T201" i="1" s="1"/>
  <c r="Q201" i="1"/>
  <c r="O201" i="1"/>
  <c r="N201" i="1"/>
  <c r="AY200" i="1"/>
  <c r="Y200" i="1"/>
  <c r="S200" i="1"/>
  <c r="T200" i="1" s="1"/>
  <c r="Q200" i="1"/>
  <c r="O200" i="1"/>
  <c r="N200" i="1"/>
  <c r="AY199" i="1"/>
  <c r="AF199" i="1"/>
  <c r="AG199" i="1" s="1"/>
  <c r="Y199" i="1"/>
  <c r="V199" i="1"/>
  <c r="W199" i="1" s="1"/>
  <c r="U199" i="1"/>
  <c r="S199" i="1"/>
  <c r="O199" i="1"/>
  <c r="N199" i="1"/>
  <c r="AY198" i="1"/>
  <c r="Y198" i="1"/>
  <c r="S198" i="1"/>
  <c r="T198" i="1" s="1"/>
  <c r="Q198" i="1"/>
  <c r="O198" i="1"/>
  <c r="N198" i="1"/>
  <c r="AY197" i="1"/>
  <c r="X197" i="1"/>
  <c r="S197" i="1"/>
  <c r="Q197" i="1"/>
  <c r="O197" i="1"/>
  <c r="N197" i="1"/>
  <c r="AY196" i="1"/>
  <c r="AD196" i="1"/>
  <c r="AB196" i="1"/>
  <c r="Z196" i="1"/>
  <c r="Y196" i="1"/>
  <c r="S196" i="1"/>
  <c r="Q196" i="1"/>
  <c r="O196" i="1"/>
  <c r="N196" i="1"/>
  <c r="AY195" i="1"/>
  <c r="Y195" i="1"/>
  <c r="S195" i="1"/>
  <c r="Q195" i="1"/>
  <c r="O195" i="1"/>
  <c r="N195" i="1"/>
  <c r="AY194" i="1"/>
  <c r="Y194" i="1"/>
  <c r="S194" i="1"/>
  <c r="Q194" i="1"/>
  <c r="O194" i="1"/>
  <c r="N194" i="1"/>
  <c r="AY193" i="1"/>
  <c r="X193" i="1"/>
  <c r="AF193" i="1" s="1"/>
  <c r="AG193" i="1" s="1"/>
  <c r="S193" i="1"/>
  <c r="T193" i="1" s="1"/>
  <c r="Q193" i="1"/>
  <c r="O193" i="1"/>
  <c r="N193" i="1"/>
  <c r="AY192" i="1"/>
  <c r="AD192" i="1"/>
  <c r="AB192" i="1"/>
  <c r="Z192" i="1"/>
  <c r="Y192" i="1"/>
  <c r="S192" i="1"/>
  <c r="Q192" i="1"/>
  <c r="O192" i="1"/>
  <c r="N192" i="1"/>
  <c r="AY191" i="1"/>
  <c r="X191" i="1"/>
  <c r="AF191" i="1" s="1"/>
  <c r="AG191" i="1" s="1"/>
  <c r="S191" i="1"/>
  <c r="Q191" i="1"/>
  <c r="O191" i="1"/>
  <c r="N191" i="1"/>
  <c r="AY190" i="1"/>
  <c r="X190" i="1"/>
  <c r="AF190" i="1" s="1"/>
  <c r="AG190" i="1" s="1"/>
  <c r="S190" i="1"/>
  <c r="T190" i="1" s="1"/>
  <c r="Q190" i="1"/>
  <c r="O190" i="1"/>
  <c r="N190" i="1"/>
  <c r="AY189" i="1"/>
  <c r="X189" i="1"/>
  <c r="AF189" i="1" s="1"/>
  <c r="AG189" i="1" s="1"/>
  <c r="S189" i="1"/>
  <c r="Q189" i="1"/>
  <c r="O189" i="1"/>
  <c r="N189" i="1"/>
  <c r="AY188" i="1"/>
  <c r="Y188" i="1"/>
  <c r="S188" i="1"/>
  <c r="Q188" i="1"/>
  <c r="O188" i="1"/>
  <c r="N188" i="1"/>
  <c r="AY187" i="1"/>
  <c r="X187" i="1"/>
  <c r="AF187" i="1" s="1"/>
  <c r="AG187" i="1" s="1"/>
  <c r="S187" i="1"/>
  <c r="T187" i="1" s="1"/>
  <c r="Q187" i="1"/>
  <c r="O187" i="1"/>
  <c r="N187" i="1"/>
  <c r="AY186" i="1"/>
  <c r="Y186" i="1"/>
  <c r="S186" i="1"/>
  <c r="Q186" i="1"/>
  <c r="O186" i="1"/>
  <c r="N186" i="1"/>
  <c r="AY185" i="1"/>
  <c r="Y185" i="1"/>
  <c r="S185" i="1"/>
  <c r="Q185" i="1"/>
  <c r="O185" i="1"/>
  <c r="N185" i="1"/>
  <c r="AY184" i="1"/>
  <c r="X184" i="1"/>
  <c r="AF184" i="1" s="1"/>
  <c r="AG184" i="1" s="1"/>
  <c r="S184" i="1"/>
  <c r="T184" i="1" s="1"/>
  <c r="Q184" i="1"/>
  <c r="O184" i="1"/>
  <c r="N184" i="1"/>
  <c r="AY183" i="1"/>
  <c r="Y183" i="1"/>
  <c r="T183" i="1"/>
  <c r="Q183" i="1"/>
  <c r="O183" i="1"/>
  <c r="N183" i="1"/>
  <c r="AY182" i="1"/>
  <c r="X182" i="1"/>
  <c r="AF182" i="1" s="1"/>
  <c r="AG182" i="1" s="1"/>
  <c r="S182" i="1"/>
  <c r="Q182" i="1"/>
  <c r="O182" i="1"/>
  <c r="N182" i="1"/>
  <c r="AY181" i="1"/>
  <c r="X181" i="1"/>
  <c r="AF181" i="1" s="1"/>
  <c r="AG181" i="1" s="1"/>
  <c r="S181" i="1"/>
  <c r="T181" i="1" s="1"/>
  <c r="Q181" i="1"/>
  <c r="O181" i="1"/>
  <c r="N181" i="1"/>
  <c r="AY180" i="1"/>
  <c r="X180" i="1"/>
  <c r="AF180" i="1" s="1"/>
  <c r="AG180" i="1" s="1"/>
  <c r="S180" i="1"/>
  <c r="T180" i="1" s="1"/>
  <c r="Q180" i="1"/>
  <c r="O180" i="1"/>
  <c r="N180" i="1"/>
  <c r="AY179" i="1"/>
  <c r="X179" i="1"/>
  <c r="AF179" i="1" s="1"/>
  <c r="AG179" i="1" s="1"/>
  <c r="Q179" i="1"/>
  <c r="O179" i="1"/>
  <c r="N179" i="1"/>
  <c r="AY178" i="1"/>
  <c r="X178" i="1"/>
  <c r="AF178" i="1" s="1"/>
  <c r="AG178" i="1" s="1"/>
  <c r="S178" i="1"/>
  <c r="T178" i="1" s="1"/>
  <c r="Q178" i="1"/>
  <c r="O178" i="1"/>
  <c r="N178" i="1"/>
  <c r="AY177" i="1"/>
  <c r="X177" i="1"/>
  <c r="AF177" i="1" s="1"/>
  <c r="AG177" i="1" s="1"/>
  <c r="S177" i="1"/>
  <c r="Q177" i="1"/>
  <c r="O177" i="1"/>
  <c r="N177" i="1"/>
  <c r="AY176" i="1"/>
  <c r="X176" i="1"/>
  <c r="AF176" i="1" s="1"/>
  <c r="AG176" i="1" s="1"/>
  <c r="S176" i="1"/>
  <c r="Q176" i="1"/>
  <c r="O176" i="1"/>
  <c r="N176" i="1"/>
  <c r="AY175" i="1"/>
  <c r="X175" i="1"/>
  <c r="AF175" i="1" s="1"/>
  <c r="AG175" i="1" s="1"/>
  <c r="T175" i="1"/>
  <c r="Q175" i="1"/>
  <c r="O175" i="1"/>
  <c r="N175" i="1"/>
  <c r="AY174" i="1"/>
  <c r="X174" i="1"/>
  <c r="AF174" i="1" s="1"/>
  <c r="AG174" i="1" s="1"/>
  <c r="S174" i="1"/>
  <c r="T174" i="1" s="1"/>
  <c r="Q174" i="1"/>
  <c r="O174" i="1"/>
  <c r="N174" i="1"/>
  <c r="AY173" i="1"/>
  <c r="X173" i="1"/>
  <c r="AF173" i="1" s="1"/>
  <c r="AG173" i="1" s="1"/>
  <c r="T173" i="1"/>
  <c r="Q173" i="1"/>
  <c r="O173" i="1"/>
  <c r="N173" i="1"/>
  <c r="AY172" i="1"/>
  <c r="X172" i="1"/>
  <c r="AF172" i="1" s="1"/>
  <c r="AG172" i="1" s="1"/>
  <c r="S172" i="1"/>
  <c r="Q172" i="1"/>
  <c r="O172" i="1"/>
  <c r="N172" i="1"/>
  <c r="AY171" i="1"/>
  <c r="X171" i="1"/>
  <c r="AF171" i="1" s="1"/>
  <c r="AG171" i="1" s="1"/>
  <c r="S171" i="1"/>
  <c r="T171" i="1" s="1"/>
  <c r="Q171" i="1"/>
  <c r="O171" i="1"/>
  <c r="N171" i="1"/>
  <c r="AY170" i="1"/>
  <c r="X170" i="1"/>
  <c r="AF170" i="1" s="1"/>
  <c r="AG170" i="1" s="1"/>
  <c r="S170" i="1"/>
  <c r="T170" i="1" s="1"/>
  <c r="Q170" i="1"/>
  <c r="O170" i="1"/>
  <c r="N170" i="1"/>
  <c r="AY169" i="1"/>
  <c r="X169" i="1"/>
  <c r="AF169" i="1" s="1"/>
  <c r="AG169" i="1" s="1"/>
  <c r="S169" i="1"/>
  <c r="Q169" i="1"/>
  <c r="O169" i="1"/>
  <c r="N169" i="1"/>
  <c r="AY168" i="1"/>
  <c r="X168" i="1"/>
  <c r="AF168" i="1" s="1"/>
  <c r="AG168" i="1" s="1"/>
  <c r="S168" i="1"/>
  <c r="T168" i="1" s="1"/>
  <c r="Q168" i="1"/>
  <c r="O168" i="1"/>
  <c r="N168" i="1"/>
  <c r="AY167" i="1"/>
  <c r="X167" i="1"/>
  <c r="AF167" i="1" s="1"/>
  <c r="AG167" i="1" s="1"/>
  <c r="S167" i="1"/>
  <c r="T167" i="1" s="1"/>
  <c r="Q167" i="1"/>
  <c r="O167" i="1"/>
  <c r="N167" i="1"/>
  <c r="AY166" i="1"/>
  <c r="Y166" i="1"/>
  <c r="S166" i="1"/>
  <c r="Q166" i="1"/>
  <c r="O166" i="1"/>
  <c r="N166" i="1"/>
  <c r="AY165" i="1"/>
  <c r="Y165" i="1"/>
  <c r="S165" i="1"/>
  <c r="Q165" i="1"/>
  <c r="O165" i="1"/>
  <c r="N165" i="1"/>
  <c r="AY164" i="1"/>
  <c r="X164" i="1"/>
  <c r="AF164" i="1" s="1"/>
  <c r="AG164" i="1" s="1"/>
  <c r="S164" i="1"/>
  <c r="Q164" i="1"/>
  <c r="O164" i="1"/>
  <c r="N164" i="1"/>
  <c r="AY163" i="1"/>
  <c r="Y163" i="1"/>
  <c r="S163" i="1"/>
  <c r="T163" i="1" s="1"/>
  <c r="Q163" i="1"/>
  <c r="O163" i="1"/>
  <c r="N163" i="1"/>
  <c r="AY162" i="1"/>
  <c r="Y162" i="1"/>
  <c r="S162" i="1"/>
  <c r="Q162" i="1"/>
  <c r="O162" i="1"/>
  <c r="N162" i="1"/>
  <c r="AY161" i="1"/>
  <c r="AD161" i="1"/>
  <c r="AB161" i="1"/>
  <c r="Z161" i="1"/>
  <c r="Y161" i="1"/>
  <c r="S161" i="1"/>
  <c r="T161" i="1" s="1"/>
  <c r="Q161" i="1"/>
  <c r="O161" i="1"/>
  <c r="N161" i="1"/>
  <c r="AY160" i="1"/>
  <c r="AD160" i="1"/>
  <c r="AB160" i="1"/>
  <c r="Z160" i="1"/>
  <c r="Y160" i="1"/>
  <c r="S160" i="1"/>
  <c r="Q160" i="1"/>
  <c r="O160" i="1"/>
  <c r="N160" i="1"/>
  <c r="AY159" i="1"/>
  <c r="Y159" i="1"/>
  <c r="S159" i="1"/>
  <c r="Q159" i="1"/>
  <c r="O159" i="1"/>
  <c r="N159" i="1"/>
  <c r="AY158" i="1"/>
  <c r="X158" i="1"/>
  <c r="AF158" i="1" s="1"/>
  <c r="AG158" i="1" s="1"/>
  <c r="S158" i="1"/>
  <c r="Q158" i="1"/>
  <c r="O158" i="1"/>
  <c r="N158" i="1"/>
  <c r="AY157" i="1"/>
  <c r="X157" i="1"/>
  <c r="AF157" i="1" s="1"/>
  <c r="AG157" i="1" s="1"/>
  <c r="S157" i="1"/>
  <c r="Q157" i="1"/>
  <c r="O157" i="1"/>
  <c r="N157" i="1"/>
  <c r="AY156" i="1"/>
  <c r="AF156" i="1"/>
  <c r="AG156" i="1" s="1"/>
  <c r="AD156" i="1"/>
  <c r="AB156" i="1"/>
  <c r="Z156" i="1"/>
  <c r="Y156" i="1"/>
  <c r="V156" i="1"/>
  <c r="W156" i="1" s="1"/>
  <c r="U156" i="1"/>
  <c r="S156" i="1"/>
  <c r="Q156" i="1"/>
  <c r="O156" i="1"/>
  <c r="N156" i="1"/>
  <c r="AY155" i="1"/>
  <c r="X155" i="1"/>
  <c r="AF155" i="1" s="1"/>
  <c r="AG155" i="1" s="1"/>
  <c r="S155" i="1"/>
  <c r="T155" i="1" s="1"/>
  <c r="Q155" i="1"/>
  <c r="O155" i="1"/>
  <c r="N155" i="1"/>
  <c r="AY154" i="1"/>
  <c r="X154" i="1"/>
  <c r="AF154" i="1" s="1"/>
  <c r="AG154" i="1" s="1"/>
  <c r="S154" i="1"/>
  <c r="Q154" i="1"/>
  <c r="O154" i="1"/>
  <c r="N154" i="1"/>
  <c r="AY153" i="1"/>
  <c r="Y153" i="1"/>
  <c r="S153" i="1"/>
  <c r="Q153" i="1"/>
  <c r="O153" i="1"/>
  <c r="N153" i="1"/>
  <c r="AY152" i="1"/>
  <c r="X152" i="1"/>
  <c r="AF152" i="1" s="1"/>
  <c r="AG152" i="1" s="1"/>
  <c r="S152" i="1"/>
  <c r="Q152" i="1"/>
  <c r="O152" i="1"/>
  <c r="N152" i="1"/>
  <c r="AY151" i="1"/>
  <c r="AD151" i="1"/>
  <c r="AB151" i="1"/>
  <c r="Z151" i="1"/>
  <c r="Y151" i="1"/>
  <c r="S151" i="1"/>
  <c r="Q151" i="1"/>
  <c r="O151" i="1"/>
  <c r="N151" i="1"/>
  <c r="AY150" i="1"/>
  <c r="Y150" i="1"/>
  <c r="S150" i="1"/>
  <c r="Q150" i="1"/>
  <c r="O150" i="1"/>
  <c r="N150" i="1"/>
  <c r="AY149" i="1"/>
  <c r="Y149" i="1"/>
  <c r="S149" i="1"/>
  <c r="Q149" i="1"/>
  <c r="O149" i="1"/>
  <c r="N149" i="1"/>
  <c r="AY148" i="1"/>
  <c r="Y148" i="1"/>
  <c r="S148" i="1"/>
  <c r="Q148" i="1"/>
  <c r="O148" i="1"/>
  <c r="N148" i="1"/>
  <c r="AY147" i="1"/>
  <c r="X147" i="1"/>
  <c r="AF147" i="1" s="1"/>
  <c r="AG147" i="1" s="1"/>
  <c r="T147" i="1"/>
  <c r="Q147" i="1"/>
  <c r="O147" i="1"/>
  <c r="N147" i="1"/>
  <c r="AY146" i="1"/>
  <c r="X146" i="1"/>
  <c r="AF146" i="1" s="1"/>
  <c r="AG146" i="1" s="1"/>
  <c r="S146" i="1"/>
  <c r="Q146" i="1"/>
  <c r="O146" i="1"/>
  <c r="N146" i="1"/>
  <c r="AY145" i="1"/>
  <c r="Y145" i="1"/>
  <c r="S145" i="1"/>
  <c r="Q145" i="1"/>
  <c r="O145" i="1"/>
  <c r="N145" i="1"/>
  <c r="AY144" i="1"/>
  <c r="X144" i="1"/>
  <c r="AF144" i="1" s="1"/>
  <c r="AG144" i="1" s="1"/>
  <c r="S144" i="1"/>
  <c r="Q144" i="1"/>
  <c r="O144" i="1"/>
  <c r="N144" i="1"/>
  <c r="AY143" i="1"/>
  <c r="AD143" i="1"/>
  <c r="AB143" i="1"/>
  <c r="Z143" i="1"/>
  <c r="Y143" i="1"/>
  <c r="S143" i="1"/>
  <c r="Q143" i="1"/>
  <c r="O143" i="1"/>
  <c r="N143" i="1"/>
  <c r="AY142" i="1"/>
  <c r="AD142" i="1"/>
  <c r="AB142" i="1"/>
  <c r="Z142" i="1"/>
  <c r="Y142" i="1"/>
  <c r="V142" i="1"/>
  <c r="W142" i="1" s="1"/>
  <c r="U142" i="1"/>
  <c r="S142" i="1"/>
  <c r="Q142" i="1"/>
  <c r="O142" i="1"/>
  <c r="N142" i="1"/>
  <c r="AY141" i="1"/>
  <c r="X141" i="1"/>
  <c r="AF141" i="1" s="1"/>
  <c r="AG141" i="1" s="1"/>
  <c r="S141" i="1"/>
  <c r="Q141" i="1"/>
  <c r="O141" i="1"/>
  <c r="N141" i="1"/>
  <c r="AY140" i="1"/>
  <c r="X140" i="1"/>
  <c r="AF140" i="1" s="1"/>
  <c r="AG140" i="1" s="1"/>
  <c r="S140" i="1"/>
  <c r="T140" i="1" s="1"/>
  <c r="Q140" i="1"/>
  <c r="O140" i="1"/>
  <c r="N140" i="1"/>
  <c r="AY139" i="1"/>
  <c r="X139" i="1"/>
  <c r="AF139" i="1" s="1"/>
  <c r="AG139" i="1" s="1"/>
  <c r="S139" i="1"/>
  <c r="Q139" i="1"/>
  <c r="O139" i="1"/>
  <c r="N139" i="1"/>
  <c r="AY138" i="1"/>
  <c r="X138" i="1"/>
  <c r="AF138" i="1" s="1"/>
  <c r="AG138" i="1" s="1"/>
  <c r="S138" i="1"/>
  <c r="T138" i="1" s="1"/>
  <c r="Q138" i="1"/>
  <c r="O138" i="1"/>
  <c r="N138" i="1"/>
  <c r="AY137" i="1"/>
  <c r="AD137" i="1"/>
  <c r="AB137" i="1"/>
  <c r="Z137" i="1"/>
  <c r="Y137" i="1"/>
  <c r="S137" i="1"/>
  <c r="Q137" i="1"/>
  <c r="O137" i="1"/>
  <c r="N137" i="1"/>
  <c r="AY136" i="1"/>
  <c r="X136" i="1"/>
  <c r="S136" i="1"/>
  <c r="Q136" i="1"/>
  <c r="O136" i="1"/>
  <c r="N136" i="1"/>
  <c r="AY135" i="1"/>
  <c r="X135" i="1"/>
  <c r="AF135" i="1" s="1"/>
  <c r="AG135" i="1" s="1"/>
  <c r="S135" i="1"/>
  <c r="T135" i="1" s="1"/>
  <c r="Q135" i="1"/>
  <c r="O135" i="1"/>
  <c r="N135" i="1"/>
  <c r="AY134" i="1"/>
  <c r="AF134" i="1"/>
  <c r="AG134" i="1" s="1"/>
  <c r="AD134" i="1"/>
  <c r="AB134" i="1"/>
  <c r="S134" i="1"/>
  <c r="Q134" i="1"/>
  <c r="O134" i="1"/>
  <c r="N134" i="1"/>
  <c r="AY133" i="1"/>
  <c r="AF133" i="1"/>
  <c r="AG133" i="1" s="1"/>
  <c r="S133" i="1"/>
  <c r="T133" i="1" s="1"/>
  <c r="Q133" i="1"/>
  <c r="O133" i="1"/>
  <c r="N133" i="1"/>
  <c r="AY132" i="1"/>
  <c r="AF132" i="1"/>
  <c r="AG132" i="1" s="1"/>
  <c r="S132" i="1"/>
  <c r="T132" i="1" s="1"/>
  <c r="Q132" i="1"/>
  <c r="O132" i="1"/>
  <c r="N132" i="1"/>
  <c r="AY131" i="1"/>
  <c r="AF131" i="1"/>
  <c r="AG131" i="1" s="1"/>
  <c r="S131" i="1"/>
  <c r="T131" i="1" s="1"/>
  <c r="Q131" i="1"/>
  <c r="O131" i="1"/>
  <c r="N131" i="1"/>
  <c r="AY130" i="1"/>
  <c r="AF130" i="1"/>
  <c r="AG130" i="1" s="1"/>
  <c r="S130" i="1"/>
  <c r="Q130" i="1"/>
  <c r="O130" i="1"/>
  <c r="N130" i="1"/>
  <c r="AY129" i="1"/>
  <c r="AF129" i="1"/>
  <c r="AG129" i="1" s="1"/>
  <c r="S129" i="1"/>
  <c r="T129" i="1" s="1"/>
  <c r="U129" i="1" s="1"/>
  <c r="Q129" i="1"/>
  <c r="O129" i="1"/>
  <c r="N129" i="1"/>
  <c r="AY128" i="1"/>
  <c r="AF128" i="1"/>
  <c r="AG128" i="1" s="1"/>
  <c r="S128" i="1"/>
  <c r="Q128" i="1"/>
  <c r="O128" i="1"/>
  <c r="N128" i="1"/>
  <c r="AY127" i="1"/>
  <c r="AF127" i="1"/>
  <c r="AG127" i="1" s="1"/>
  <c r="AD127" i="1"/>
  <c r="Y127" i="1"/>
  <c r="V127" i="1"/>
  <c r="AC127" i="1" s="1"/>
  <c r="U127" i="1"/>
  <c r="S127" i="1"/>
  <c r="Q127" i="1"/>
  <c r="O127" i="1"/>
  <c r="N127" i="1"/>
  <c r="AY126" i="1"/>
  <c r="AF126" i="1"/>
  <c r="AG126" i="1" s="1"/>
  <c r="Y126" i="1"/>
  <c r="S126" i="1"/>
  <c r="T126" i="1" s="1"/>
  <c r="V126" i="1" s="1"/>
  <c r="Q126" i="1"/>
  <c r="O126" i="1"/>
  <c r="N126" i="1"/>
  <c r="AY125" i="1"/>
  <c r="AF125" i="1"/>
  <c r="AG125" i="1" s="1"/>
  <c r="S125" i="1"/>
  <c r="Q125" i="1"/>
  <c r="O125" i="1"/>
  <c r="N125" i="1"/>
  <c r="AY124" i="1"/>
  <c r="AD124" i="1"/>
  <c r="X124" i="1"/>
  <c r="AF124" i="1" s="1"/>
  <c r="AG124" i="1" s="1"/>
  <c r="S124" i="1"/>
  <c r="Q124" i="1"/>
  <c r="O124" i="1"/>
  <c r="N124" i="1"/>
  <c r="AY123" i="1"/>
  <c r="AF123" i="1"/>
  <c r="AG123" i="1" s="1"/>
  <c r="T123" i="1"/>
  <c r="V123" i="1" s="1"/>
  <c r="Q123" i="1"/>
  <c r="O123" i="1"/>
  <c r="N123" i="1"/>
  <c r="AY122" i="1"/>
  <c r="AF122" i="1"/>
  <c r="AG122" i="1" s="1"/>
  <c r="S122" i="1"/>
  <c r="Q122" i="1"/>
  <c r="O122" i="1"/>
  <c r="N122" i="1"/>
  <c r="AY121" i="1"/>
  <c r="AF121" i="1"/>
  <c r="AG121" i="1" s="1"/>
  <c r="AD121" i="1"/>
  <c r="AB121" i="1"/>
  <c r="Z121" i="1"/>
  <c r="Y121" i="1"/>
  <c r="V121" i="1"/>
  <c r="W121" i="1" s="1"/>
  <c r="U121" i="1"/>
  <c r="S121" i="1"/>
  <c r="O121" i="1"/>
  <c r="N121" i="1"/>
  <c r="AY120" i="1"/>
  <c r="AF120" i="1"/>
  <c r="AG120" i="1" s="1"/>
  <c r="T120" i="1"/>
  <c r="Q120" i="1"/>
  <c r="O120" i="1"/>
  <c r="N120" i="1"/>
  <c r="AY119" i="1"/>
  <c r="AF119" i="1"/>
  <c r="AG119" i="1" s="1"/>
  <c r="S119" i="1"/>
  <c r="T119" i="1" s="1"/>
  <c r="Q119" i="1"/>
  <c r="O119" i="1"/>
  <c r="N119" i="1"/>
  <c r="AY118" i="1"/>
  <c r="AF118" i="1"/>
  <c r="AG118" i="1" s="1"/>
  <c r="S118" i="1"/>
  <c r="Q118" i="1"/>
  <c r="O118" i="1"/>
  <c r="N118" i="1"/>
  <c r="AY117" i="1"/>
  <c r="AF117" i="1"/>
  <c r="AG117" i="1" s="1"/>
  <c r="S117" i="1"/>
  <c r="Q117" i="1"/>
  <c r="O117" i="1"/>
  <c r="N117" i="1"/>
  <c r="AY116" i="1"/>
  <c r="AF116" i="1"/>
  <c r="AG116" i="1" s="1"/>
  <c r="S116" i="1"/>
  <c r="Q116" i="1"/>
  <c r="O116" i="1"/>
  <c r="N116" i="1"/>
  <c r="AY115" i="1"/>
  <c r="AF115" i="1"/>
  <c r="AG115" i="1" s="1"/>
  <c r="S115" i="1"/>
  <c r="Q115" i="1"/>
  <c r="O115" i="1"/>
  <c r="N115" i="1"/>
  <c r="AY114" i="1"/>
  <c r="AF114" i="1"/>
  <c r="AG114" i="1" s="1"/>
  <c r="S114" i="1"/>
  <c r="T114" i="1" s="1"/>
  <c r="V114" i="1" s="1"/>
  <c r="Q114" i="1"/>
  <c r="O114" i="1"/>
  <c r="N114" i="1"/>
  <c r="AY113" i="1"/>
  <c r="AF113" i="1"/>
  <c r="AG113" i="1" s="1"/>
  <c r="T113" i="1"/>
  <c r="V113" i="1" s="1"/>
  <c r="Q113" i="1"/>
  <c r="O113" i="1"/>
  <c r="N113" i="1"/>
  <c r="AY112" i="1"/>
  <c r="AF112" i="1"/>
  <c r="AG112" i="1" s="1"/>
  <c r="AD112" i="1"/>
  <c r="AB112" i="1"/>
  <c r="S112" i="1"/>
  <c r="Q112" i="1"/>
  <c r="O112" i="1"/>
  <c r="N112" i="1"/>
  <c r="AY111" i="1"/>
  <c r="AF111" i="1"/>
  <c r="AG111" i="1" s="1"/>
  <c r="S111" i="1"/>
  <c r="Q111" i="1"/>
  <c r="O111" i="1"/>
  <c r="N111" i="1"/>
  <c r="AY110" i="1"/>
  <c r="AF110" i="1"/>
  <c r="AG110" i="1" s="1"/>
  <c r="S110" i="1"/>
  <c r="Q110" i="1"/>
  <c r="O110" i="1"/>
  <c r="N110" i="1"/>
  <c r="AY109" i="1"/>
  <c r="AF109" i="1"/>
  <c r="AG109" i="1" s="1"/>
  <c r="T109" i="1"/>
  <c r="V109" i="1" s="1"/>
  <c r="W109" i="1" s="1"/>
  <c r="Q109" i="1"/>
  <c r="O109" i="1"/>
  <c r="N109" i="1"/>
  <c r="AY108" i="1"/>
  <c r="AF108" i="1"/>
  <c r="AG108" i="1" s="1"/>
  <c r="S108" i="1"/>
  <c r="Q108" i="1"/>
  <c r="O108" i="1"/>
  <c r="N108" i="1"/>
  <c r="AY107" i="1"/>
  <c r="AF107" i="1"/>
  <c r="AG107" i="1" s="1"/>
  <c r="S107" i="1"/>
  <c r="Q107" i="1"/>
  <c r="O107" i="1"/>
  <c r="N107" i="1"/>
  <c r="AY106" i="1"/>
  <c r="AF106" i="1"/>
  <c r="AG106" i="1" s="1"/>
  <c r="S106" i="1"/>
  <c r="Q106" i="1"/>
  <c r="O106" i="1"/>
  <c r="N106" i="1"/>
  <c r="AY105" i="1"/>
  <c r="AF105" i="1"/>
  <c r="AG105" i="1" s="1"/>
  <c r="S105" i="1"/>
  <c r="Q105" i="1"/>
  <c r="O105" i="1"/>
  <c r="N105" i="1"/>
  <c r="AY104" i="1"/>
  <c r="AF104" i="1"/>
  <c r="AG104" i="1" s="1"/>
  <c r="S104" i="1"/>
  <c r="Q104" i="1"/>
  <c r="O104" i="1"/>
  <c r="N104" i="1"/>
  <c r="AY103" i="1"/>
  <c r="AF103" i="1"/>
  <c r="AG103" i="1" s="1"/>
  <c r="AD103" i="1"/>
  <c r="S103" i="1"/>
  <c r="Q103" i="1"/>
  <c r="O103" i="1"/>
  <c r="N103" i="1"/>
  <c r="AY102" i="1"/>
  <c r="AF102" i="1"/>
  <c r="AG102" i="1" s="1"/>
  <c r="S102" i="1"/>
  <c r="Q102" i="1"/>
  <c r="O102" i="1"/>
  <c r="N102" i="1"/>
  <c r="AY101" i="1"/>
  <c r="AF101" i="1"/>
  <c r="AG101" i="1" s="1"/>
  <c r="T101" i="1"/>
  <c r="V101" i="1" s="1"/>
  <c r="AC101" i="1" s="1"/>
  <c r="Q101" i="1"/>
  <c r="O101" i="1"/>
  <c r="N101" i="1"/>
  <c r="AY100" i="1"/>
  <c r="AF100" i="1"/>
  <c r="AG100" i="1" s="1"/>
  <c r="S100" i="1"/>
  <c r="T100" i="1" s="1"/>
  <c r="V100" i="1" s="1"/>
  <c r="Q100" i="1"/>
  <c r="O100" i="1"/>
  <c r="N100" i="1"/>
  <c r="AY99" i="1"/>
  <c r="AF99" i="1"/>
  <c r="AG99" i="1" s="1"/>
  <c r="S99" i="1"/>
  <c r="Q99" i="1"/>
  <c r="O99" i="1"/>
  <c r="N99" i="1"/>
  <c r="AY98" i="1"/>
  <c r="AF98" i="1"/>
  <c r="AG98" i="1" s="1"/>
  <c r="S98" i="1"/>
  <c r="Q98" i="1"/>
  <c r="O98" i="1"/>
  <c r="N98" i="1"/>
  <c r="AY97" i="1"/>
  <c r="AF97" i="1"/>
  <c r="AG97" i="1" s="1"/>
  <c r="AD97" i="1"/>
  <c r="S97" i="1"/>
  <c r="Q97" i="1"/>
  <c r="O97" i="1"/>
  <c r="N97" i="1"/>
  <c r="AY96" i="1"/>
  <c r="AF96" i="1"/>
  <c r="AG96" i="1" s="1"/>
  <c r="S96" i="1"/>
  <c r="T96" i="1" s="1"/>
  <c r="U96" i="1" s="1"/>
  <c r="Q96" i="1"/>
  <c r="O96" i="1"/>
  <c r="N96" i="1"/>
  <c r="AY95" i="1"/>
  <c r="AF95" i="1"/>
  <c r="AG95" i="1" s="1"/>
  <c r="S95" i="1"/>
  <c r="Q95" i="1"/>
  <c r="O95" i="1"/>
  <c r="N95" i="1"/>
  <c r="AY94" i="1"/>
  <c r="AF94" i="1"/>
  <c r="AG94" i="1" s="1"/>
  <c r="S94" i="1"/>
  <c r="T94" i="1" s="1"/>
  <c r="U94" i="1" s="1"/>
  <c r="Q94" i="1"/>
  <c r="O94" i="1"/>
  <c r="N94" i="1"/>
  <c r="AY93" i="1"/>
  <c r="AF93" i="1"/>
  <c r="AG93" i="1" s="1"/>
  <c r="S93" i="1"/>
  <c r="Q93" i="1"/>
  <c r="O93" i="1"/>
  <c r="N93" i="1"/>
  <c r="AY92" i="1"/>
  <c r="V92" i="1"/>
  <c r="AE92" i="1" s="1"/>
  <c r="Q92" i="1"/>
  <c r="O92" i="1"/>
  <c r="N92" i="1"/>
  <c r="AY91" i="1"/>
  <c r="AF91" i="1"/>
  <c r="AG91" i="1" s="1"/>
  <c r="S91" i="1"/>
  <c r="Q91" i="1"/>
  <c r="O91" i="1"/>
  <c r="N91" i="1"/>
  <c r="AY90" i="1"/>
  <c r="AF90" i="1"/>
  <c r="AG90" i="1" s="1"/>
  <c r="S90" i="1"/>
  <c r="T90" i="1" s="1"/>
  <c r="Q90" i="1"/>
  <c r="O90" i="1"/>
  <c r="N90" i="1"/>
  <c r="AY89" i="1"/>
  <c r="AF89" i="1"/>
  <c r="AG89" i="1" s="1"/>
  <c r="S89" i="1"/>
  <c r="Q89" i="1"/>
  <c r="O89" i="1"/>
  <c r="N89" i="1"/>
  <c r="AY88" i="1"/>
  <c r="AF88" i="1"/>
  <c r="AG88" i="1" s="1"/>
  <c r="S88" i="1"/>
  <c r="Q88" i="1"/>
  <c r="O88" i="1"/>
  <c r="N88" i="1"/>
  <c r="AY87" i="1"/>
  <c r="AF87" i="1"/>
  <c r="AG87" i="1" s="1"/>
  <c r="S87" i="1"/>
  <c r="Q87" i="1"/>
  <c r="O87" i="1"/>
  <c r="N87" i="1"/>
  <c r="AY86" i="1"/>
  <c r="AF86" i="1"/>
  <c r="AG86" i="1" s="1"/>
  <c r="S86" i="1"/>
  <c r="Q86" i="1"/>
  <c r="O86" i="1"/>
  <c r="N86" i="1"/>
  <c r="AY85" i="1"/>
  <c r="AF85" i="1"/>
  <c r="AG85" i="1" s="1"/>
  <c r="S85" i="1"/>
  <c r="Q85" i="1"/>
  <c r="O85" i="1"/>
  <c r="N85" i="1"/>
  <c r="AY84" i="1"/>
  <c r="AF84" i="1"/>
  <c r="AG84" i="1" s="1"/>
  <c r="S84" i="1"/>
  <c r="Q84" i="1"/>
  <c r="O84" i="1"/>
  <c r="N84" i="1"/>
  <c r="AY83" i="1"/>
  <c r="AF83" i="1"/>
  <c r="AG83" i="1" s="1"/>
  <c r="S83" i="1"/>
  <c r="Q83" i="1"/>
  <c r="O83" i="1"/>
  <c r="N83" i="1"/>
  <c r="AY82" i="1"/>
  <c r="AF82" i="1"/>
  <c r="AG82" i="1" s="1"/>
  <c r="S82" i="1"/>
  <c r="Q82" i="1"/>
  <c r="O82" i="1"/>
  <c r="N82" i="1"/>
  <c r="AY81" i="1"/>
  <c r="AF81" i="1"/>
  <c r="AG81" i="1" s="1"/>
  <c r="T81" i="1"/>
  <c r="V81" i="1" s="1"/>
  <c r="AE81" i="1" s="1"/>
  <c r="Q81" i="1"/>
  <c r="O81" i="1"/>
  <c r="N81" i="1"/>
  <c r="AY80" i="1"/>
  <c r="AF80" i="1"/>
  <c r="AG80" i="1" s="1"/>
  <c r="R80" i="1"/>
  <c r="Q80" i="1" s="1"/>
  <c r="O80" i="1"/>
  <c r="N80" i="1"/>
  <c r="AY79" i="1"/>
  <c r="AF79" i="1"/>
  <c r="AG79" i="1" s="1"/>
  <c r="R79" i="1"/>
  <c r="S79" i="1" s="1"/>
  <c r="T79" i="1" s="1"/>
  <c r="O79" i="1"/>
  <c r="N79" i="1"/>
  <c r="AY78" i="1"/>
  <c r="AF78" i="1"/>
  <c r="AG78" i="1" s="1"/>
  <c r="R78" i="1"/>
  <c r="Q78" i="1" s="1"/>
  <c r="O78" i="1"/>
  <c r="N78" i="1"/>
  <c r="AY77" i="1"/>
  <c r="AF77" i="1"/>
  <c r="AG77" i="1" s="1"/>
  <c r="R77" i="1"/>
  <c r="S77" i="1" s="1"/>
  <c r="O77" i="1"/>
  <c r="N77" i="1"/>
  <c r="AY76" i="1"/>
  <c r="AF76" i="1"/>
  <c r="AG76" i="1" s="1"/>
  <c r="R76" i="1"/>
  <c r="S76" i="1" s="1"/>
  <c r="O76" i="1"/>
  <c r="N76" i="1"/>
  <c r="AY75" i="1"/>
  <c r="AF75" i="1"/>
  <c r="AG75" i="1" s="1"/>
  <c r="R75" i="1"/>
  <c r="S75" i="1" s="1"/>
  <c r="T75" i="1" s="1"/>
  <c r="V75" i="1" s="1"/>
  <c r="O75" i="1"/>
  <c r="N75" i="1"/>
  <c r="AY74" i="1"/>
  <c r="AF74" i="1"/>
  <c r="AG74" i="1" s="1"/>
  <c r="R74" i="1"/>
  <c r="Q74" i="1" s="1"/>
  <c r="O74" i="1"/>
  <c r="N74" i="1"/>
  <c r="AY73" i="1"/>
  <c r="AF73" i="1"/>
  <c r="AG73" i="1" s="1"/>
  <c r="R73" i="1"/>
  <c r="S73" i="1" s="1"/>
  <c r="O73" i="1"/>
  <c r="N73" i="1"/>
  <c r="AY72" i="1"/>
  <c r="AF72" i="1"/>
  <c r="AG72" i="1" s="1"/>
  <c r="S72" i="1"/>
  <c r="Q72" i="1"/>
  <c r="O72" i="1"/>
  <c r="N72" i="1"/>
  <c r="AY71" i="1"/>
  <c r="AF71" i="1"/>
  <c r="AG71" i="1" s="1"/>
  <c r="S71" i="1"/>
  <c r="T71" i="1" s="1"/>
  <c r="Q71" i="1"/>
  <c r="N71" i="1"/>
  <c r="AY70" i="1"/>
  <c r="AF70" i="1"/>
  <c r="AG70" i="1" s="1"/>
  <c r="S70" i="1"/>
  <c r="T70" i="1" s="1"/>
  <c r="Q70" i="1"/>
  <c r="N70" i="1"/>
  <c r="AY69" i="1"/>
  <c r="AF69" i="1"/>
  <c r="AG69" i="1" s="1"/>
  <c r="S69" i="1"/>
  <c r="Q69" i="1"/>
  <c r="N69" i="1"/>
  <c r="AY68" i="1"/>
  <c r="AF68" i="1"/>
  <c r="AG68" i="1" s="1"/>
  <c r="T68" i="1"/>
  <c r="U68" i="1" s="1"/>
  <c r="Q68" i="1"/>
  <c r="N68" i="1"/>
  <c r="AY67" i="1"/>
  <c r="X67" i="1"/>
  <c r="AF67" i="1" s="1"/>
  <c r="AG67" i="1" s="1"/>
  <c r="T67" i="1"/>
  <c r="Q67" i="1"/>
  <c r="N67" i="1"/>
  <c r="AY66" i="1"/>
  <c r="AF66" i="1"/>
  <c r="AG66" i="1" s="1"/>
  <c r="S66" i="1"/>
  <c r="T66" i="1" s="1"/>
  <c r="Q66" i="1"/>
  <c r="N66" i="1"/>
  <c r="AY65" i="1"/>
  <c r="AF65" i="1"/>
  <c r="AG65" i="1" s="1"/>
  <c r="S65" i="1"/>
  <c r="T65" i="1" s="1"/>
  <c r="U65" i="1" s="1"/>
  <c r="Q65" i="1"/>
  <c r="N65" i="1"/>
  <c r="AY64" i="1"/>
  <c r="AF64" i="1"/>
  <c r="AG64" i="1" s="1"/>
  <c r="S64" i="1"/>
  <c r="Q64" i="1"/>
  <c r="N64" i="1"/>
  <c r="AY63" i="1"/>
  <c r="AF63" i="1"/>
  <c r="AG63" i="1" s="1"/>
  <c r="S63" i="1"/>
  <c r="T63" i="1" s="1"/>
  <c r="Q63" i="1"/>
  <c r="N63" i="1"/>
  <c r="AY62" i="1"/>
  <c r="AF62" i="1"/>
  <c r="AG62" i="1" s="1"/>
  <c r="S62" i="1"/>
  <c r="T62" i="1" s="1"/>
  <c r="Q62" i="1"/>
  <c r="O62" i="1"/>
  <c r="N62" i="1"/>
  <c r="AY61" i="1"/>
  <c r="AF61" i="1"/>
  <c r="AG61" i="1" s="1"/>
  <c r="S61" i="1"/>
  <c r="T61" i="1" s="1"/>
  <c r="Q61" i="1"/>
  <c r="O61" i="1"/>
  <c r="N61" i="1"/>
  <c r="AY60" i="1"/>
  <c r="AF60" i="1"/>
  <c r="AG60" i="1" s="1"/>
  <c r="S60" i="1"/>
  <c r="Q60" i="1"/>
  <c r="O60" i="1"/>
  <c r="N60" i="1"/>
  <c r="AY59" i="1"/>
  <c r="AF59" i="1"/>
  <c r="AG59" i="1" s="1"/>
  <c r="S59" i="1"/>
  <c r="T59" i="1" s="1"/>
  <c r="Q59" i="1"/>
  <c r="O59" i="1"/>
  <c r="N59" i="1"/>
  <c r="AY58" i="1"/>
  <c r="AF58" i="1"/>
  <c r="AG58" i="1" s="1"/>
  <c r="S58" i="1"/>
  <c r="Q58" i="1"/>
  <c r="O58" i="1"/>
  <c r="N58" i="1"/>
  <c r="AY57" i="1"/>
  <c r="AF57" i="1"/>
  <c r="AG57" i="1" s="1"/>
  <c r="S57" i="1"/>
  <c r="T57" i="1" s="1"/>
  <c r="Q57" i="1"/>
  <c r="O57" i="1"/>
  <c r="N57" i="1"/>
  <c r="X56" i="1"/>
  <c r="T56" i="1"/>
  <c r="Q56" i="1"/>
  <c r="O56" i="1"/>
  <c r="N56" i="1"/>
  <c r="AF55" i="1"/>
  <c r="AG55" i="1" s="1"/>
  <c r="S55" i="1"/>
  <c r="T55" i="1" s="1"/>
  <c r="Q55" i="1"/>
  <c r="O55" i="1"/>
  <c r="N55" i="1"/>
  <c r="AF54" i="1"/>
  <c r="AG54" i="1" s="1"/>
  <c r="S54" i="1"/>
  <c r="Q54" i="1"/>
  <c r="O54" i="1"/>
  <c r="N54" i="1"/>
  <c r="AF53" i="1"/>
  <c r="AG53" i="1" s="1"/>
  <c r="T53" i="1"/>
  <c r="V53" i="1" s="1"/>
  <c r="Q53" i="1"/>
  <c r="O53" i="1"/>
  <c r="N53" i="1"/>
  <c r="AF52" i="1"/>
  <c r="AG52" i="1" s="1"/>
  <c r="T52" i="1"/>
  <c r="U52" i="1" s="1"/>
  <c r="Q52" i="1"/>
  <c r="O52" i="1"/>
  <c r="N52" i="1"/>
  <c r="AF51" i="1"/>
  <c r="AG51" i="1" s="1"/>
  <c r="T51" i="1"/>
  <c r="V51" i="1" s="1"/>
  <c r="Q51" i="1"/>
  <c r="O51" i="1"/>
  <c r="N51" i="1"/>
  <c r="X50" i="1"/>
  <c r="AF50" i="1" s="1"/>
  <c r="AG50" i="1" s="1"/>
  <c r="T50" i="1"/>
  <c r="Q50" i="1"/>
  <c r="O50" i="1"/>
  <c r="N50" i="1"/>
  <c r="AF49" i="1"/>
  <c r="AG49" i="1" s="1"/>
  <c r="S49" i="1"/>
  <c r="T49" i="1" s="1"/>
  <c r="Q49" i="1"/>
  <c r="O49" i="1"/>
  <c r="N49" i="1"/>
  <c r="AF48" i="1"/>
  <c r="AG48" i="1" s="1"/>
  <c r="T48" i="1"/>
  <c r="U48" i="1" s="1"/>
  <c r="Q48" i="1"/>
  <c r="O48" i="1"/>
  <c r="N48" i="1"/>
  <c r="AF47" i="1"/>
  <c r="AG47" i="1" s="1"/>
  <c r="T47" i="1"/>
  <c r="V47" i="1" s="1"/>
  <c r="Q47" i="1"/>
  <c r="O47" i="1"/>
  <c r="N47" i="1"/>
  <c r="AF46" i="1"/>
  <c r="AG46" i="1" s="1"/>
  <c r="S46" i="1"/>
  <c r="Q46" i="1"/>
  <c r="O46" i="1"/>
  <c r="N46" i="1"/>
  <c r="AF45" i="1"/>
  <c r="AG45" i="1" s="1"/>
  <c r="T45" i="1"/>
  <c r="V45" i="1" s="1"/>
  <c r="Q45" i="1"/>
  <c r="O45" i="1"/>
  <c r="N45" i="1"/>
  <c r="AF44" i="1"/>
  <c r="AG44" i="1" s="1"/>
  <c r="T44" i="1"/>
  <c r="U44" i="1" s="1"/>
  <c r="Q44" i="1"/>
  <c r="O44" i="1"/>
  <c r="N44" i="1"/>
  <c r="AF43" i="1"/>
  <c r="AG43" i="1" s="1"/>
  <c r="T43" i="1"/>
  <c r="V43" i="1" s="1"/>
  <c r="Q43" i="1"/>
  <c r="O43" i="1"/>
  <c r="N43" i="1"/>
  <c r="AF42" i="1"/>
  <c r="AG42" i="1" s="1"/>
  <c r="T42" i="1"/>
  <c r="U42" i="1" s="1"/>
  <c r="Q42" i="1"/>
  <c r="O42" i="1"/>
  <c r="N42" i="1"/>
  <c r="AF41" i="1"/>
  <c r="AG41" i="1" s="1"/>
  <c r="T41" i="1"/>
  <c r="V41" i="1" s="1"/>
  <c r="Q41" i="1"/>
  <c r="O41" i="1"/>
  <c r="N41" i="1"/>
  <c r="AF40" i="1"/>
  <c r="AG40" i="1" s="1"/>
  <c r="T40" i="1"/>
  <c r="V40" i="1" s="1"/>
  <c r="Q40" i="1"/>
  <c r="O40" i="1"/>
  <c r="N40" i="1"/>
  <c r="AF39" i="1"/>
  <c r="AG39" i="1" s="1"/>
  <c r="T39" i="1"/>
  <c r="U39" i="1" s="1"/>
  <c r="Q39" i="1"/>
  <c r="O39" i="1"/>
  <c r="N39" i="1"/>
  <c r="AF38" i="1"/>
  <c r="AG38" i="1" s="1"/>
  <c r="T38" i="1"/>
  <c r="U38" i="1" s="1"/>
  <c r="Q38" i="1"/>
  <c r="O38" i="1"/>
  <c r="N38" i="1"/>
  <c r="AF37" i="1"/>
  <c r="AG37" i="1" s="1"/>
  <c r="T37" i="1"/>
  <c r="U37" i="1" s="1"/>
  <c r="Q37" i="1"/>
  <c r="O37" i="1"/>
  <c r="N37" i="1"/>
  <c r="AF36" i="1"/>
  <c r="AG36" i="1" s="1"/>
  <c r="T36" i="1"/>
  <c r="V36" i="1" s="1"/>
  <c r="Q36" i="1"/>
  <c r="O36" i="1"/>
  <c r="N36" i="1"/>
  <c r="AF35" i="1"/>
  <c r="AG35" i="1" s="1"/>
  <c r="T35" i="1"/>
  <c r="U35" i="1" s="1"/>
  <c r="Q35" i="1"/>
  <c r="O35" i="1"/>
  <c r="N35" i="1"/>
  <c r="AF34" i="1"/>
  <c r="AG34" i="1" s="1"/>
  <c r="T34" i="1"/>
  <c r="V34" i="1" s="1"/>
  <c r="Q34" i="1"/>
  <c r="O34" i="1"/>
  <c r="N34" i="1"/>
  <c r="X33" i="1"/>
  <c r="AF33" i="1" s="1"/>
  <c r="AG33" i="1" s="1"/>
  <c r="T33" i="1"/>
  <c r="Q33" i="1"/>
  <c r="O33" i="1"/>
  <c r="N33" i="1"/>
  <c r="AF32" i="1"/>
  <c r="AG32" i="1" s="1"/>
  <c r="T32" i="1"/>
  <c r="V32" i="1" s="1"/>
  <c r="Q32" i="1"/>
  <c r="O32" i="1"/>
  <c r="N32" i="1"/>
  <c r="V31" i="1"/>
  <c r="AC31" i="1" s="1"/>
  <c r="U31" i="1"/>
  <c r="V30" i="1"/>
  <c r="AE30" i="1" s="1"/>
  <c r="U30" i="1"/>
  <c r="V29" i="1"/>
  <c r="W29" i="1" s="1"/>
  <c r="U29" i="1"/>
  <c r="V28" i="1"/>
  <c r="AE28" i="1" s="1"/>
  <c r="U28" i="1"/>
  <c r="Z27" i="1"/>
  <c r="V27" i="1"/>
  <c r="AE27" i="1" s="1"/>
  <c r="U27" i="1"/>
  <c r="AY26" i="1"/>
  <c r="AF26" i="1"/>
  <c r="AG26" i="1" s="1"/>
  <c r="V26" i="1"/>
  <c r="AE26" i="1" s="1"/>
  <c r="U26" i="1"/>
  <c r="O26" i="1"/>
  <c r="N26" i="1"/>
  <c r="V25" i="1"/>
  <c r="AE25" i="1" s="1"/>
  <c r="U25" i="1"/>
  <c r="V24" i="1"/>
  <c r="AE24" i="1" s="1"/>
  <c r="U24" i="1"/>
  <c r="V23" i="1"/>
  <c r="AC23" i="1" s="1"/>
  <c r="U23" i="1"/>
  <c r="V22" i="1"/>
  <c r="AE22" i="1" s="1"/>
  <c r="V21" i="1"/>
  <c r="W21" i="1" s="1"/>
  <c r="U21" i="1"/>
  <c r="X20" i="1"/>
  <c r="U20" i="1" s="1"/>
  <c r="V19" i="1"/>
  <c r="AC19" i="1" s="1"/>
  <c r="U19" i="1"/>
  <c r="Z18" i="1"/>
  <c r="X18" i="1"/>
  <c r="V18" i="1" s="1"/>
  <c r="AE18" i="1" s="1"/>
  <c r="V17" i="1"/>
  <c r="AE17" i="1" s="1"/>
  <c r="U17" i="1"/>
  <c r="X16" i="1"/>
  <c r="V16" i="1" s="1"/>
  <c r="V15" i="1"/>
  <c r="AE15" i="1" s="1"/>
  <c r="U15" i="1"/>
  <c r="V14" i="1"/>
  <c r="AE14" i="1" s="1"/>
  <c r="U14" i="1"/>
  <c r="V13" i="1"/>
  <c r="AC13" i="1" s="1"/>
  <c r="U13" i="1"/>
  <c r="V12" i="1"/>
  <c r="AC12" i="1" s="1"/>
  <c r="U12" i="1"/>
  <c r="V11" i="1"/>
  <c r="AE11" i="1" s="1"/>
  <c r="U11" i="1"/>
  <c r="V10" i="1"/>
  <c r="AE10" i="1" s="1"/>
  <c r="U10" i="1"/>
  <c r="V9" i="1"/>
  <c r="AE9" i="1" s="1"/>
  <c r="U9" i="1"/>
  <c r="V8" i="1"/>
  <c r="AE8" i="1" s="1"/>
  <c r="U8" i="1"/>
  <c r="V7" i="1"/>
  <c r="AE7" i="1" s="1"/>
  <c r="U7" i="1"/>
  <c r="V6" i="1"/>
  <c r="AE6" i="1" s="1"/>
  <c r="U6" i="1"/>
  <c r="AY5" i="1"/>
  <c r="V5" i="1"/>
  <c r="AC5" i="1" s="1"/>
  <c r="U5" i="1"/>
  <c r="S5" i="1"/>
  <c r="AF5" i="1" s="1"/>
  <c r="AG5" i="1" s="1"/>
  <c r="Q5" i="1"/>
  <c r="O5" i="1"/>
  <c r="N5" i="1"/>
  <c r="AY4" i="1"/>
  <c r="AF4" i="1"/>
  <c r="AG4" i="1" s="1"/>
  <c r="V4" i="1"/>
  <c r="W4" i="1" s="1"/>
  <c r="U4" i="1"/>
  <c r="Q4" i="1"/>
  <c r="O4" i="1"/>
  <c r="N4" i="1"/>
  <c r="AY3" i="1"/>
  <c r="AF3" i="1"/>
  <c r="AG3" i="1" s="1"/>
  <c r="V3" i="1"/>
  <c r="AE3" i="1" s="1"/>
  <c r="U3" i="1"/>
  <c r="Q3" i="1"/>
  <c r="O3" i="1"/>
  <c r="N3" i="1"/>
  <c r="AE93" i="6" l="1"/>
  <c r="AC93" i="6"/>
  <c r="W93" i="6"/>
  <c r="AE87" i="6"/>
  <c r="AC87" i="6"/>
  <c r="W87" i="6"/>
  <c r="AE91" i="6"/>
  <c r="AC91" i="6"/>
  <c r="W91" i="6"/>
  <c r="AE86" i="6"/>
  <c r="AC86" i="6"/>
  <c r="W86" i="6"/>
  <c r="W95" i="6"/>
  <c r="AC95" i="6"/>
  <c r="AE95" i="6"/>
  <c r="AE92" i="6"/>
  <c r="AC92" i="6"/>
  <c r="W92" i="6"/>
  <c r="AE50" i="5"/>
  <c r="AC50" i="5"/>
  <c r="W50" i="5"/>
  <c r="AE56" i="5"/>
  <c r="AC56" i="5"/>
  <c r="W56" i="5"/>
  <c r="AE38" i="5"/>
  <c r="AC38" i="5"/>
  <c r="W38" i="5"/>
  <c r="AE92" i="5"/>
  <c r="AC92" i="5"/>
  <c r="W92" i="5"/>
  <c r="AE91" i="5"/>
  <c r="AC91" i="5"/>
  <c r="W91" i="5"/>
  <c r="AE44" i="5"/>
  <c r="AC44" i="5"/>
  <c r="W44" i="5"/>
  <c r="AE85" i="5"/>
  <c r="AC85" i="5"/>
  <c r="W85" i="5"/>
  <c r="AE79" i="5"/>
  <c r="AC79" i="5"/>
  <c r="W79" i="5"/>
  <c r="AC94" i="5"/>
  <c r="W94" i="5"/>
  <c r="AE94" i="5"/>
  <c r="AE73" i="5"/>
  <c r="AC73" i="5"/>
  <c r="W73" i="5"/>
  <c r="AE86" i="5"/>
  <c r="AC86" i="5"/>
  <c r="W86" i="5"/>
  <c r="AE67" i="5"/>
  <c r="AC67" i="5"/>
  <c r="W67" i="5"/>
  <c r="AE74" i="5"/>
  <c r="AC74" i="5"/>
  <c r="W74" i="5"/>
  <c r="AE80" i="5"/>
  <c r="AC80" i="5"/>
  <c r="W80" i="5"/>
  <c r="AE55" i="5"/>
  <c r="AC55" i="5"/>
  <c r="W55" i="5"/>
  <c r="AE49" i="5"/>
  <c r="AC49" i="5"/>
  <c r="W49" i="5"/>
  <c r="AE68" i="5"/>
  <c r="AC68" i="5"/>
  <c r="W68" i="5"/>
  <c r="AE43" i="5"/>
  <c r="AC43" i="5"/>
  <c r="W43" i="5"/>
  <c r="AE62" i="5"/>
  <c r="AC62" i="5"/>
  <c r="W62" i="5"/>
  <c r="AE37" i="5"/>
  <c r="AC37" i="5"/>
  <c r="W37" i="5"/>
  <c r="AE86" i="4"/>
  <c r="AC86" i="4"/>
  <c r="W86" i="4"/>
  <c r="AE87" i="4"/>
  <c r="AC87" i="4"/>
  <c r="W87" i="4"/>
  <c r="AE56" i="4"/>
  <c r="AC56" i="4"/>
  <c r="W56" i="4"/>
  <c r="AE81" i="4"/>
  <c r="AC81" i="4"/>
  <c r="W81" i="4"/>
  <c r="AE44" i="4"/>
  <c r="AC44" i="4"/>
  <c r="W44" i="4"/>
  <c r="AE50" i="4"/>
  <c r="AC50" i="4"/>
  <c r="W50" i="4"/>
  <c r="AE74" i="4"/>
  <c r="AC74" i="4"/>
  <c r="W74" i="4"/>
  <c r="AE26" i="4"/>
  <c r="AC26" i="4"/>
  <c r="W26" i="4"/>
  <c r="AE93" i="4"/>
  <c r="AC93" i="4"/>
  <c r="W93" i="4"/>
  <c r="AE25" i="4"/>
  <c r="AC25" i="4"/>
  <c r="W25" i="4"/>
  <c r="AE92" i="4"/>
  <c r="AC92" i="4"/>
  <c r="W92" i="4"/>
  <c r="AE73" i="4"/>
  <c r="AC73" i="4"/>
  <c r="W73" i="4"/>
  <c r="AE62" i="4"/>
  <c r="AC62" i="4"/>
  <c r="W62" i="4"/>
  <c r="AE67" i="4"/>
  <c r="AC67" i="4"/>
  <c r="W67" i="4"/>
  <c r="AE80" i="4"/>
  <c r="AC80" i="4"/>
  <c r="W80" i="4"/>
  <c r="AE68" i="4"/>
  <c r="AC68" i="4"/>
  <c r="W68" i="4"/>
  <c r="AE55" i="4"/>
  <c r="AC55" i="4"/>
  <c r="W55" i="4"/>
  <c r="AE38" i="4"/>
  <c r="AC38" i="4"/>
  <c r="W38" i="4"/>
  <c r="AE37" i="4"/>
  <c r="AC37" i="4"/>
  <c r="W37" i="4"/>
  <c r="AE49" i="4"/>
  <c r="AC49" i="4"/>
  <c r="W49" i="4"/>
  <c r="AE32" i="4"/>
  <c r="AC32" i="4"/>
  <c r="W32" i="4"/>
  <c r="AE43" i="4"/>
  <c r="AC43" i="4"/>
  <c r="W43" i="4"/>
  <c r="AC91" i="3"/>
  <c r="AE91" i="3"/>
  <c r="W91" i="3"/>
  <c r="AE85" i="3"/>
  <c r="W85" i="3"/>
  <c r="AC85" i="3"/>
  <c r="AE90" i="3"/>
  <c r="AC90" i="3"/>
  <c r="W90" i="3"/>
  <c r="AC88" i="3"/>
  <c r="W88" i="3"/>
  <c r="AE88" i="3"/>
  <c r="AC94" i="3"/>
  <c r="W94" i="3"/>
  <c r="AE94" i="3"/>
  <c r="X186" i="1"/>
  <c r="AF186" i="1" s="1"/>
  <c r="AG186" i="1" s="1"/>
  <c r="X188" i="1"/>
  <c r="V502" i="1"/>
  <c r="W502" i="1" s="1"/>
  <c r="X162" i="1"/>
  <c r="AF162" i="1" s="1"/>
  <c r="AG162" i="1" s="1"/>
  <c r="X166" i="1"/>
  <c r="AF166" i="1" s="1"/>
  <c r="AG166" i="1" s="1"/>
  <c r="X203" i="1"/>
  <c r="AF203" i="1" s="1"/>
  <c r="AG203" i="1" s="1"/>
  <c r="X205" i="1"/>
  <c r="AF205" i="1" s="1"/>
  <c r="AG205" i="1" s="1"/>
  <c r="U135" i="1"/>
  <c r="X194" i="1"/>
  <c r="AF194" i="1" s="1"/>
  <c r="AG194" i="1" s="1"/>
  <c r="U373" i="1"/>
  <c r="V473" i="1"/>
  <c r="AC473" i="1" s="1"/>
  <c r="X150" i="1"/>
  <c r="AF150" i="1" s="1"/>
  <c r="AG150" i="1" s="1"/>
  <c r="X183" i="1"/>
  <c r="AF183" i="1" s="1"/>
  <c r="AG183" i="1" s="1"/>
  <c r="X185" i="1"/>
  <c r="AF185" i="1" s="1"/>
  <c r="AG185" i="1" s="1"/>
  <c r="X198" i="1"/>
  <c r="AF198" i="1" s="1"/>
  <c r="AG198" i="1" s="1"/>
  <c r="W127" i="1"/>
  <c r="X163" i="1"/>
  <c r="AF163" i="1" s="1"/>
  <c r="AG163" i="1" s="1"/>
  <c r="X165" i="1"/>
  <c r="AF165" i="1" s="1"/>
  <c r="AG165" i="1" s="1"/>
  <c r="X148" i="1"/>
  <c r="AF148" i="1" s="1"/>
  <c r="AG148" i="1" s="1"/>
  <c r="X200" i="1"/>
  <c r="AF200" i="1" s="1"/>
  <c r="AG200" i="1" s="1"/>
  <c r="X202" i="1"/>
  <c r="AF202" i="1" s="1"/>
  <c r="AG202" i="1" s="1"/>
  <c r="X195" i="1"/>
  <c r="AF195" i="1" s="1"/>
  <c r="AG195" i="1" s="1"/>
  <c r="U18" i="1"/>
  <c r="U193" i="1"/>
  <c r="X192" i="1"/>
  <c r="AF192" i="1" s="1"/>
  <c r="AG192" i="1" s="1"/>
  <c r="V477" i="1"/>
  <c r="AC477" i="1" s="1"/>
  <c r="U491" i="1"/>
  <c r="V38" i="1"/>
  <c r="AE38" i="1" s="1"/>
  <c r="W31" i="1"/>
  <c r="X161" i="1"/>
  <c r="AF161" i="1" s="1"/>
  <c r="AG161" i="1" s="1"/>
  <c r="V408" i="1"/>
  <c r="W408" i="1" s="1"/>
  <c r="W27" i="1"/>
  <c r="X215" i="1"/>
  <c r="AF215" i="1" s="1"/>
  <c r="AG215" i="1" s="1"/>
  <c r="AE127" i="1"/>
  <c r="V208" i="1"/>
  <c r="AE208" i="1" s="1"/>
  <c r="U343" i="1"/>
  <c r="W3" i="1"/>
  <c r="T303" i="1"/>
  <c r="V303" i="1" s="1"/>
  <c r="T196" i="1"/>
  <c r="AC199" i="1"/>
  <c r="V225" i="1"/>
  <c r="W225" i="1" s="1"/>
  <c r="U396" i="1"/>
  <c r="T429" i="1"/>
  <c r="V429" i="1" s="1"/>
  <c r="V431" i="1"/>
  <c r="AE431" i="1" s="1"/>
  <c r="AE31" i="1"/>
  <c r="U67" i="1"/>
  <c r="AE199" i="1"/>
  <c r="V168" i="1"/>
  <c r="AE168" i="1" s="1"/>
  <c r="T264" i="1"/>
  <c r="V264" i="1" s="1"/>
  <c r="W264" i="1" s="1"/>
  <c r="X293" i="1"/>
  <c r="AF293" i="1" s="1"/>
  <c r="AG293" i="1" s="1"/>
  <c r="V334" i="1"/>
  <c r="AE334" i="1" s="1"/>
  <c r="U338" i="1"/>
  <c r="V346" i="1"/>
  <c r="AE346" i="1" s="1"/>
  <c r="V354" i="1"/>
  <c r="AE354" i="1" s="1"/>
  <c r="Q76" i="1"/>
  <c r="T130" i="1"/>
  <c r="V130" i="1" s="1"/>
  <c r="W130" i="1" s="1"/>
  <c r="T268" i="1"/>
  <c r="V268" i="1" s="1"/>
  <c r="AE268" i="1" s="1"/>
  <c r="T280" i="1"/>
  <c r="V280" i="1" s="1"/>
  <c r="AE19" i="1"/>
  <c r="V39" i="1"/>
  <c r="AC39" i="1" s="1"/>
  <c r="T103" i="1"/>
  <c r="V103" i="1" s="1"/>
  <c r="AC103" i="1" s="1"/>
  <c r="T215" i="1"/>
  <c r="T218" i="1"/>
  <c r="U218" i="1" s="1"/>
  <c r="U479" i="1"/>
  <c r="V251" i="1"/>
  <c r="W251" i="1" s="1"/>
  <c r="V323" i="1"/>
  <c r="W323" i="1" s="1"/>
  <c r="T158" i="1"/>
  <c r="Q75" i="1"/>
  <c r="T409" i="1"/>
  <c r="V409" i="1" s="1"/>
  <c r="W10" i="1"/>
  <c r="V42" i="1"/>
  <c r="AC42" i="1" s="1"/>
  <c r="V56" i="1"/>
  <c r="AE56" i="1" s="1"/>
  <c r="T102" i="1"/>
  <c r="V102" i="1" s="1"/>
  <c r="W102" i="1" s="1"/>
  <c r="T122" i="1"/>
  <c r="V122" i="1" s="1"/>
  <c r="T128" i="1"/>
  <c r="V128" i="1" s="1"/>
  <c r="W128" i="1" s="1"/>
  <c r="T290" i="1"/>
  <c r="V290" i="1" s="1"/>
  <c r="T312" i="1"/>
  <c r="V312" i="1" s="1"/>
  <c r="T391" i="1"/>
  <c r="U391" i="1" s="1"/>
  <c r="T448" i="1"/>
  <c r="U448" i="1" s="1"/>
  <c r="T511" i="1"/>
  <c r="U511" i="1" s="1"/>
  <c r="V20" i="1"/>
  <c r="AE20" i="1" s="1"/>
  <c r="T86" i="1"/>
  <c r="V86" i="1" s="1"/>
  <c r="T137" i="1"/>
  <c r="V213" i="1"/>
  <c r="AC213" i="1" s="1"/>
  <c r="T254" i="1"/>
  <c r="U254" i="1" s="1"/>
  <c r="V256" i="1"/>
  <c r="AE256" i="1" s="1"/>
  <c r="T359" i="1"/>
  <c r="U359" i="1" s="1"/>
  <c r="T379" i="1"/>
  <c r="V379" i="1" s="1"/>
  <c r="T397" i="1"/>
  <c r="V397" i="1" s="1"/>
  <c r="AE397" i="1" s="1"/>
  <c r="T452" i="1"/>
  <c r="U452" i="1" s="1"/>
  <c r="T492" i="1"/>
  <c r="V492" i="1" s="1"/>
  <c r="AE492" i="1" s="1"/>
  <c r="T60" i="1"/>
  <c r="V60" i="1" s="1"/>
  <c r="W60" i="1" s="1"/>
  <c r="U437" i="1"/>
  <c r="V498" i="1"/>
  <c r="W498" i="1" s="1"/>
  <c r="AC29" i="1"/>
  <c r="T172" i="1"/>
  <c r="V172" i="1" s="1"/>
  <c r="AE172" i="1" s="1"/>
  <c r="T191" i="1"/>
  <c r="U191" i="1" s="1"/>
  <c r="T245" i="1"/>
  <c r="U245" i="1" s="1"/>
  <c r="U366" i="1"/>
  <c r="V508" i="1"/>
  <c r="T165" i="1"/>
  <c r="V165" i="1" s="1"/>
  <c r="AE21" i="1"/>
  <c r="V67" i="1"/>
  <c r="AE67" i="1" s="1"/>
  <c r="V94" i="1"/>
  <c r="AE94" i="1" s="1"/>
  <c r="T139" i="1"/>
  <c r="V139" i="1" s="1"/>
  <c r="T272" i="1"/>
  <c r="V272" i="1" s="1"/>
  <c r="T432" i="1"/>
  <c r="V432" i="1" s="1"/>
  <c r="AC432" i="1" s="1"/>
  <c r="T470" i="1"/>
  <c r="U470" i="1" s="1"/>
  <c r="U514" i="1"/>
  <c r="V129" i="1"/>
  <c r="AE129" i="1" s="1"/>
  <c r="AC142" i="1"/>
  <c r="T169" i="1"/>
  <c r="V169" i="1" s="1"/>
  <c r="V201" i="1"/>
  <c r="AC201" i="1" s="1"/>
  <c r="U214" i="1"/>
  <c r="V240" i="1"/>
  <c r="AE240" i="1" s="1"/>
  <c r="U259" i="1"/>
  <c r="U263" i="1"/>
  <c r="T306" i="1"/>
  <c r="V306" i="1" s="1"/>
  <c r="AE306" i="1" s="1"/>
  <c r="T313" i="1"/>
  <c r="V313" i="1" s="1"/>
  <c r="V360" i="1"/>
  <c r="AC360" i="1" s="1"/>
  <c r="T419" i="1"/>
  <c r="V419" i="1" s="1"/>
  <c r="AE4" i="1"/>
  <c r="V271" i="1"/>
  <c r="W271" i="1" s="1"/>
  <c r="T365" i="1"/>
  <c r="T107" i="1"/>
  <c r="V107" i="1" s="1"/>
  <c r="W107" i="1" s="1"/>
  <c r="V173" i="1"/>
  <c r="W173" i="1" s="1"/>
  <c r="U310" i="1"/>
  <c r="T423" i="1"/>
  <c r="U423" i="1" s="1"/>
  <c r="T296" i="1"/>
  <c r="V296" i="1" s="1"/>
  <c r="W296" i="1" s="1"/>
  <c r="V310" i="1"/>
  <c r="AE310" i="1" s="1"/>
  <c r="T389" i="1"/>
  <c r="V389" i="1" s="1"/>
  <c r="W389" i="1" s="1"/>
  <c r="W18" i="1"/>
  <c r="AC27" i="1"/>
  <c r="AE29" i="1"/>
  <c r="T115" i="1"/>
  <c r="V115" i="1" s="1"/>
  <c r="V147" i="1"/>
  <c r="T152" i="1"/>
  <c r="U152" i="1" s="1"/>
  <c r="T176" i="1"/>
  <c r="V176" i="1" s="1"/>
  <c r="AC176" i="1" s="1"/>
  <c r="T185" i="1"/>
  <c r="U185" i="1" s="1"/>
  <c r="T230" i="1"/>
  <c r="U230" i="1" s="1"/>
  <c r="T249" i="1"/>
  <c r="V249" i="1" s="1"/>
  <c r="T262" i="1"/>
  <c r="V262" i="1" s="1"/>
  <c r="W262" i="1" s="1"/>
  <c r="T300" i="1"/>
  <c r="V300" i="1" s="1"/>
  <c r="W300" i="1" s="1"/>
  <c r="T341" i="1"/>
  <c r="U341" i="1" s="1"/>
  <c r="T426" i="1"/>
  <c r="T453" i="1"/>
  <c r="U453" i="1" s="1"/>
  <c r="T504" i="1"/>
  <c r="V504" i="1" s="1"/>
  <c r="V37" i="1"/>
  <c r="AE37" i="1" s="1"/>
  <c r="T83" i="1"/>
  <c r="U83" i="1" s="1"/>
  <c r="T239" i="1"/>
  <c r="V239" i="1" s="1"/>
  <c r="T284" i="1"/>
  <c r="V284" i="1" s="1"/>
  <c r="U354" i="1"/>
  <c r="T362" i="1"/>
  <c r="V362" i="1" s="1"/>
  <c r="AC362" i="1" s="1"/>
  <c r="U408" i="1"/>
  <c r="T415" i="1"/>
  <c r="U415" i="1" s="1"/>
  <c r="W7" i="1"/>
  <c r="U32" i="1"/>
  <c r="T166" i="1"/>
  <c r="T274" i="1"/>
  <c r="V274" i="1" s="1"/>
  <c r="T385" i="1"/>
  <c r="V479" i="1"/>
  <c r="AE479" i="1" s="1"/>
  <c r="T490" i="1"/>
  <c r="V490" i="1" s="1"/>
  <c r="W490" i="1" s="1"/>
  <c r="V50" i="1"/>
  <c r="AE50" i="1" s="1"/>
  <c r="T108" i="1"/>
  <c r="V108" i="1" s="1"/>
  <c r="W108" i="1" s="1"/>
  <c r="V135" i="1"/>
  <c r="AE135" i="1" s="1"/>
  <c r="AE142" i="1"/>
  <c r="T154" i="1"/>
  <c r="V154" i="1" s="1"/>
  <c r="U168" i="1"/>
  <c r="T197" i="1"/>
  <c r="U197" i="1" s="1"/>
  <c r="T308" i="1"/>
  <c r="T336" i="1"/>
  <c r="AC4" i="1"/>
  <c r="AE5" i="1"/>
  <c r="AC21" i="1"/>
  <c r="V175" i="1"/>
  <c r="W175" i="1" s="1"/>
  <c r="V184" i="1"/>
  <c r="AC184" i="1" s="1"/>
  <c r="T212" i="1"/>
  <c r="V212" i="1" s="1"/>
  <c r="T305" i="1"/>
  <c r="V305" i="1" s="1"/>
  <c r="T318" i="1"/>
  <c r="U347" i="1"/>
  <c r="T503" i="1"/>
  <c r="V503" i="1" s="1"/>
  <c r="AC503" i="1" s="1"/>
  <c r="W24" i="1"/>
  <c r="AC28" i="1"/>
  <c r="V52" i="1"/>
  <c r="AE52" i="1" s="1"/>
  <c r="T134" i="1"/>
  <c r="V134" i="1" s="1"/>
  <c r="W134" i="1" s="1"/>
  <c r="T377" i="1"/>
  <c r="V377" i="1" s="1"/>
  <c r="AE377" i="1" s="1"/>
  <c r="T380" i="1"/>
  <c r="U380" i="1" s="1"/>
  <c r="AC24" i="1"/>
  <c r="T76" i="1"/>
  <c r="V76" i="1" s="1"/>
  <c r="AE76" i="1" s="1"/>
  <c r="T98" i="1"/>
  <c r="V98" i="1" s="1"/>
  <c r="T105" i="1"/>
  <c r="V105" i="1" s="1"/>
  <c r="T110" i="1"/>
  <c r="V110" i="1" s="1"/>
  <c r="W110" i="1" s="1"/>
  <c r="T211" i="1"/>
  <c r="V211" i="1" s="1"/>
  <c r="T292" i="1"/>
  <c r="V292" i="1" s="1"/>
  <c r="V302" i="1"/>
  <c r="U342" i="1"/>
  <c r="T436" i="1"/>
  <c r="U436" i="1" s="1"/>
  <c r="T487" i="1"/>
  <c r="V487" i="1" s="1"/>
  <c r="T518" i="1"/>
  <c r="V518" i="1" s="1"/>
  <c r="AE518" i="1" s="1"/>
  <c r="U56" i="1"/>
  <c r="AC156" i="1"/>
  <c r="V193" i="1"/>
  <c r="W193" i="1" s="1"/>
  <c r="T226" i="1"/>
  <c r="V226" i="1" s="1"/>
  <c r="AE226" i="1" s="1"/>
  <c r="U247" i="1"/>
  <c r="V370" i="1"/>
  <c r="W370" i="1" s="1"/>
  <c r="W11" i="1"/>
  <c r="T112" i="1"/>
  <c r="V112" i="1" s="1"/>
  <c r="AC112" i="1" s="1"/>
  <c r="T116" i="1"/>
  <c r="V116" i="1" s="1"/>
  <c r="U155" i="1"/>
  <c r="V247" i="1"/>
  <c r="AE247" i="1" s="1"/>
  <c r="T286" i="1"/>
  <c r="V286" i="1" s="1"/>
  <c r="T317" i="1"/>
  <c r="V317" i="1" s="1"/>
  <c r="AE317" i="1" s="1"/>
  <c r="T324" i="1"/>
  <c r="V324" i="1" s="1"/>
  <c r="T438" i="1"/>
  <c r="V438" i="1" s="1"/>
  <c r="T509" i="1"/>
  <c r="V509" i="1" s="1"/>
  <c r="AC509" i="1" s="1"/>
  <c r="X143" i="1"/>
  <c r="AF143" i="1" s="1"/>
  <c r="AG143" i="1" s="1"/>
  <c r="V237" i="1"/>
  <c r="AE237" i="1" s="1"/>
  <c r="V244" i="1"/>
  <c r="W244" i="1" s="1"/>
  <c r="V398" i="1"/>
  <c r="W398" i="1" s="1"/>
  <c r="T411" i="1"/>
  <c r="U411" i="1" s="1"/>
  <c r="V482" i="1"/>
  <c r="W482" i="1" s="1"/>
  <c r="AC40" i="1"/>
  <c r="AE40" i="1"/>
  <c r="T77" i="1"/>
  <c r="U77" i="1" s="1"/>
  <c r="AC32" i="1"/>
  <c r="AE32" i="1"/>
  <c r="V62" i="1"/>
  <c r="U62" i="1"/>
  <c r="U70" i="1"/>
  <c r="V70" i="1"/>
  <c r="W70" i="1" s="1"/>
  <c r="AC43" i="1"/>
  <c r="AE43" i="1"/>
  <c r="U63" i="1"/>
  <c r="V63" i="1"/>
  <c r="AE63" i="1" s="1"/>
  <c r="AE12" i="1"/>
  <c r="W17" i="1"/>
  <c r="V35" i="1"/>
  <c r="W35" i="1" s="1"/>
  <c r="U43" i="1"/>
  <c r="V44" i="1"/>
  <c r="AE44" i="1" s="1"/>
  <c r="V65" i="1"/>
  <c r="W65" i="1" s="1"/>
  <c r="T69" i="1"/>
  <c r="V69" i="1" s="1"/>
  <c r="S74" i="1"/>
  <c r="T74" i="1" s="1"/>
  <c r="Q77" i="1"/>
  <c r="S80" i="1"/>
  <c r="T80" i="1" s="1"/>
  <c r="T84" i="1"/>
  <c r="V84" i="1" s="1"/>
  <c r="W92" i="1"/>
  <c r="U102" i="1"/>
  <c r="U103" i="1"/>
  <c r="T106" i="1"/>
  <c r="V106" i="1" s="1"/>
  <c r="AE106" i="1" s="1"/>
  <c r="U113" i="1"/>
  <c r="T117" i="1"/>
  <c r="V117" i="1" s="1"/>
  <c r="T344" i="1"/>
  <c r="V344" i="1" s="1"/>
  <c r="T355" i="1"/>
  <c r="T374" i="1"/>
  <c r="V374" i="1" s="1"/>
  <c r="T403" i="1"/>
  <c r="V403" i="1" s="1"/>
  <c r="AC403" i="1" s="1"/>
  <c r="T465" i="1"/>
  <c r="V465" i="1" s="1"/>
  <c r="AC17" i="1"/>
  <c r="AF56" i="1"/>
  <c r="AG56" i="1" s="1"/>
  <c r="U101" i="1"/>
  <c r="U123" i="1"/>
  <c r="U138" i="1"/>
  <c r="T319" i="1"/>
  <c r="T315" i="1"/>
  <c r="U315" i="1" s="1"/>
  <c r="AC8" i="1"/>
  <c r="W19" i="1"/>
  <c r="AC38" i="1"/>
  <c r="T58" i="1"/>
  <c r="V138" i="1"/>
  <c r="AE138" i="1" s="1"/>
  <c r="T523" i="1"/>
  <c r="T136" i="1"/>
  <c r="U136" i="1" s="1"/>
  <c r="T189" i="1"/>
  <c r="U367" i="1"/>
  <c r="V367" i="1"/>
  <c r="AC367" i="1" s="1"/>
  <c r="T489" i="1"/>
  <c r="AE13" i="1"/>
  <c r="W15" i="1"/>
  <c r="W26" i="1"/>
  <c r="V48" i="1"/>
  <c r="AE48" i="1" s="1"/>
  <c r="T64" i="1"/>
  <c r="V64" i="1" s="1"/>
  <c r="AE64" i="1" s="1"/>
  <c r="V68" i="1"/>
  <c r="AE68" i="1" s="1"/>
  <c r="T82" i="1"/>
  <c r="U82" i="1" s="1"/>
  <c r="T111" i="1"/>
  <c r="V111" i="1" s="1"/>
  <c r="W111" i="1" s="1"/>
  <c r="T364" i="1"/>
  <c r="U364" i="1" s="1"/>
  <c r="T462" i="1"/>
  <c r="V462" i="1" s="1"/>
  <c r="AC15" i="1"/>
  <c r="AC26" i="1"/>
  <c r="AC274" i="1"/>
  <c r="AE274" i="1"/>
  <c r="W274" i="1"/>
  <c r="AF362" i="1"/>
  <c r="AG362" i="1" s="1"/>
  <c r="U33" i="1"/>
  <c r="U50" i="1"/>
  <c r="T88" i="1"/>
  <c r="U88" i="1" s="1"/>
  <c r="U115" i="1"/>
  <c r="T118" i="1"/>
  <c r="U118" i="1" s="1"/>
  <c r="V140" i="1"/>
  <c r="AC140" i="1" s="1"/>
  <c r="U140" i="1"/>
  <c r="V491" i="1"/>
  <c r="W491" i="1" s="1"/>
  <c r="T500" i="1"/>
  <c r="V500" i="1" s="1"/>
  <c r="AC11" i="1"/>
  <c r="V33" i="1"/>
  <c r="AE33" i="1" s="1"/>
  <c r="U41" i="1"/>
  <c r="W81" i="1"/>
  <c r="AF136" i="1"/>
  <c r="AG136" i="1" s="1"/>
  <c r="T207" i="1"/>
  <c r="T222" i="1"/>
  <c r="T278" i="1"/>
  <c r="V278" i="1" s="1"/>
  <c r="V318" i="1"/>
  <c r="AC318" i="1" s="1"/>
  <c r="U318" i="1"/>
  <c r="AF404" i="1"/>
  <c r="AG404" i="1" s="1"/>
  <c r="V426" i="1"/>
  <c r="AC426" i="1" s="1"/>
  <c r="U426" i="1"/>
  <c r="V120" i="1"/>
  <c r="AE120" i="1" s="1"/>
  <c r="U120" i="1"/>
  <c r="T349" i="1"/>
  <c r="V349" i="1" s="1"/>
  <c r="U450" i="1"/>
  <c r="V450" i="1"/>
  <c r="W450" i="1" s="1"/>
  <c r="T486" i="1"/>
  <c r="V486" i="1" s="1"/>
  <c r="AE486" i="1" s="1"/>
  <c r="W23" i="1"/>
  <c r="W25" i="1"/>
  <c r="W30" i="1"/>
  <c r="U40" i="1"/>
  <c r="T99" i="1"/>
  <c r="V99" i="1" s="1"/>
  <c r="T104" i="1"/>
  <c r="V104" i="1" s="1"/>
  <c r="AE104" i="1" s="1"/>
  <c r="AC121" i="1"/>
  <c r="AE23" i="1"/>
  <c r="AC25" i="1"/>
  <c r="AC30" i="1"/>
  <c r="AE121" i="1"/>
  <c r="V190" i="1"/>
  <c r="AE190" i="1" s="1"/>
  <c r="T333" i="1"/>
  <c r="U333" i="1" s="1"/>
  <c r="V511" i="1"/>
  <c r="W511" i="1" s="1"/>
  <c r="U256" i="1"/>
  <c r="V259" i="1"/>
  <c r="W259" i="1" s="1"/>
  <c r="V330" i="1"/>
  <c r="AE330" i="1" s="1"/>
  <c r="V338" i="1"/>
  <c r="AC338" i="1" s="1"/>
  <c r="U346" i="1"/>
  <c r="V396" i="1"/>
  <c r="V443" i="1"/>
  <c r="U335" i="1"/>
  <c r="U382" i="1"/>
  <c r="V410" i="1"/>
  <c r="AC410" i="1" s="1"/>
  <c r="T496" i="1"/>
  <c r="T497" i="1"/>
  <c r="U497" i="1" s="1"/>
  <c r="T513" i="1"/>
  <c r="U513" i="1" s="1"/>
  <c r="T516" i="1"/>
  <c r="T160" i="1"/>
  <c r="T177" i="1"/>
  <c r="V177" i="1" s="1"/>
  <c r="T192" i="1"/>
  <c r="T194" i="1"/>
  <c r="T252" i="1"/>
  <c r="T258" i="1"/>
  <c r="T282" i="1"/>
  <c r="V282" i="1" s="1"/>
  <c r="AC282" i="1" s="1"/>
  <c r="V314" i="1"/>
  <c r="AC314" i="1" s="1"/>
  <c r="T325" i="1"/>
  <c r="V325" i="1" s="1"/>
  <c r="V335" i="1"/>
  <c r="AE335" i="1" s="1"/>
  <c r="T357" i="1"/>
  <c r="V357" i="1" s="1"/>
  <c r="V382" i="1"/>
  <c r="AE382" i="1" s="1"/>
  <c r="U385" i="1"/>
  <c r="T392" i="1"/>
  <c r="U392" i="1" s="1"/>
  <c r="U410" i="1"/>
  <c r="T413" i="1"/>
  <c r="U413" i="1" s="1"/>
  <c r="T456" i="1"/>
  <c r="U456" i="1" s="1"/>
  <c r="T478" i="1"/>
  <c r="V478" i="1" s="1"/>
  <c r="T485" i="1"/>
  <c r="V206" i="1"/>
  <c r="AC206" i="1" s="1"/>
  <c r="V210" i="1"/>
  <c r="AE210" i="1" s="1"/>
  <c r="U244" i="1"/>
  <c r="U251" i="1"/>
  <c r="T288" i="1"/>
  <c r="V288" i="1" s="1"/>
  <c r="U431" i="1"/>
  <c r="V437" i="1"/>
  <c r="AE437" i="1" s="1"/>
  <c r="U451" i="1"/>
  <c r="T455" i="1"/>
  <c r="AF490" i="1"/>
  <c r="AG490" i="1" s="1"/>
  <c r="T521" i="1"/>
  <c r="T144" i="1"/>
  <c r="V144" i="1" s="1"/>
  <c r="AC144" i="1" s="1"/>
  <c r="T157" i="1"/>
  <c r="U179" i="1"/>
  <c r="T182" i="1"/>
  <c r="V182" i="1" s="1"/>
  <c r="AE182" i="1" s="1"/>
  <c r="T188" i="1"/>
  <c r="V188" i="1" s="1"/>
  <c r="T203" i="1"/>
  <c r="U210" i="1"/>
  <c r="T224" i="1"/>
  <c r="T235" i="1"/>
  <c r="U235" i="1" s="1"/>
  <c r="T265" i="1"/>
  <c r="V265" i="1" s="1"/>
  <c r="AC265" i="1" s="1"/>
  <c r="T266" i="1"/>
  <c r="V266" i="1" s="1"/>
  <c r="T269" i="1"/>
  <c r="V269" i="1" s="1"/>
  <c r="W269" i="1" s="1"/>
  <c r="T276" i="1"/>
  <c r="V276" i="1" s="1"/>
  <c r="T348" i="1"/>
  <c r="V348" i="1" s="1"/>
  <c r="T353" i="1"/>
  <c r="T416" i="1"/>
  <c r="U416" i="1" s="1"/>
  <c r="T442" i="1"/>
  <c r="V451" i="1"/>
  <c r="AE451" i="1" s="1"/>
  <c r="T458" i="1"/>
  <c r="U474" i="1"/>
  <c r="T515" i="1"/>
  <c r="V515" i="1" s="1"/>
  <c r="AC515" i="1" s="1"/>
  <c r="T146" i="1"/>
  <c r="V146" i="1" s="1"/>
  <c r="T149" i="1"/>
  <c r="AE156" i="1"/>
  <c r="T164" i="1"/>
  <c r="U175" i="1"/>
  <c r="U187" i="1"/>
  <c r="AF197" i="1"/>
  <c r="AG197" i="1" s="1"/>
  <c r="T209" i="1"/>
  <c r="U213" i="1"/>
  <c r="V214" i="1"/>
  <c r="AE214" i="1" s="1"/>
  <c r="T232" i="1"/>
  <c r="V232" i="1" s="1"/>
  <c r="U240" i="1"/>
  <c r="T243" i="1"/>
  <c r="V243" i="1" s="1"/>
  <c r="T250" i="1"/>
  <c r="V250" i="1" s="1"/>
  <c r="T267" i="1"/>
  <c r="V267" i="1" s="1"/>
  <c r="AE267" i="1" s="1"/>
  <c r="T321" i="1"/>
  <c r="V321" i="1" s="1"/>
  <c r="U323" i="1"/>
  <c r="T329" i="1"/>
  <c r="V329" i="1" s="1"/>
  <c r="AE329" i="1" s="1"/>
  <c r="U334" i="1"/>
  <c r="T337" i="1"/>
  <c r="U337" i="1" s="1"/>
  <c r="V342" i="1"/>
  <c r="AE342" i="1" s="1"/>
  <c r="V366" i="1"/>
  <c r="T368" i="1"/>
  <c r="U368" i="1" s="1"/>
  <c r="T399" i="1"/>
  <c r="V399" i="1" s="1"/>
  <c r="T405" i="1"/>
  <c r="U405" i="1" s="1"/>
  <c r="AF409" i="1"/>
  <c r="AG409" i="1" s="1"/>
  <c r="T454" i="1"/>
  <c r="U509" i="1"/>
  <c r="U520" i="1"/>
  <c r="T466" i="1"/>
  <c r="U466" i="1" s="1"/>
  <c r="U508" i="1"/>
  <c r="V520" i="1"/>
  <c r="W520" i="1" s="1"/>
  <c r="V263" i="1"/>
  <c r="AE263" i="1" s="1"/>
  <c r="AF266" i="1"/>
  <c r="AG266" i="1" s="1"/>
  <c r="V270" i="1"/>
  <c r="U331" i="1"/>
  <c r="T352" i="1"/>
  <c r="V352" i="1" s="1"/>
  <c r="AE352" i="1" s="1"/>
  <c r="T375" i="1"/>
  <c r="U375" i="1" s="1"/>
  <c r="T401" i="1"/>
  <c r="T421" i="1"/>
  <c r="V421" i="1" s="1"/>
  <c r="AE421" i="1" s="1"/>
  <c r="T430" i="1"/>
  <c r="V430" i="1" s="1"/>
  <c r="T141" i="1"/>
  <c r="U141" i="1" s="1"/>
  <c r="U208" i="1"/>
  <c r="V217" i="1"/>
  <c r="W217" i="1" s="1"/>
  <c r="T220" i="1"/>
  <c r="U220" i="1" s="1"/>
  <c r="V326" i="1"/>
  <c r="W326" i="1" s="1"/>
  <c r="V331" i="1"/>
  <c r="AC331" i="1" s="1"/>
  <c r="V365" i="1"/>
  <c r="AE365" i="1" s="1"/>
  <c r="T378" i="1"/>
  <c r="V378" i="1" s="1"/>
  <c r="T404" i="1"/>
  <c r="U404" i="1" s="1"/>
  <c r="T424" i="1"/>
  <c r="U424" i="1" s="1"/>
  <c r="V183" i="1"/>
  <c r="AC183" i="1" s="1"/>
  <c r="U225" i="1"/>
  <c r="V254" i="1"/>
  <c r="W254" i="1" s="1"/>
  <c r="U379" i="1"/>
  <c r="T444" i="1"/>
  <c r="U444" i="1" s="1"/>
  <c r="U449" i="1"/>
  <c r="V453" i="1"/>
  <c r="W453" i="1" s="1"/>
  <c r="T468" i="1"/>
  <c r="V468" i="1" s="1"/>
  <c r="T480" i="1"/>
  <c r="W45" i="1"/>
  <c r="AE45" i="1"/>
  <c r="AC45" i="1"/>
  <c r="AE75" i="1"/>
  <c r="AC75" i="1"/>
  <c r="W75" i="1"/>
  <c r="AE47" i="1"/>
  <c r="AC47" i="1"/>
  <c r="W47" i="1"/>
  <c r="V66" i="1"/>
  <c r="U66" i="1"/>
  <c r="AE36" i="1"/>
  <c r="AC36" i="1"/>
  <c r="W36" i="1"/>
  <c r="W16" i="1"/>
  <c r="AE16" i="1"/>
  <c r="AC16" i="1"/>
  <c r="V49" i="1"/>
  <c r="U49" i="1"/>
  <c r="V61" i="1"/>
  <c r="U61" i="1"/>
  <c r="W69" i="1"/>
  <c r="AE69" i="1"/>
  <c r="AC69" i="1"/>
  <c r="W53" i="1"/>
  <c r="AE53" i="1"/>
  <c r="AC53" i="1"/>
  <c r="W34" i="1"/>
  <c r="AE34" i="1"/>
  <c r="AC34" i="1"/>
  <c r="V55" i="1"/>
  <c r="U55" i="1"/>
  <c r="V59" i="1"/>
  <c r="U59" i="1"/>
  <c r="AE41" i="1"/>
  <c r="AC41" i="1"/>
  <c r="W41" i="1"/>
  <c r="V71" i="1"/>
  <c r="U71" i="1"/>
  <c r="V79" i="1"/>
  <c r="U79" i="1"/>
  <c r="V57" i="1"/>
  <c r="U57" i="1"/>
  <c r="AE51" i="1"/>
  <c r="AC51" i="1"/>
  <c r="W51" i="1"/>
  <c r="T73" i="1"/>
  <c r="W6" i="1"/>
  <c r="W9" i="1"/>
  <c r="W37" i="1"/>
  <c r="T72" i="1"/>
  <c r="T85" i="1"/>
  <c r="T87" i="1"/>
  <c r="T89" i="1"/>
  <c r="V90" i="1"/>
  <c r="U90" i="1"/>
  <c r="T91" i="1"/>
  <c r="AC169" i="1"/>
  <c r="W169" i="1"/>
  <c r="AE169" i="1"/>
  <c r="W5" i="1"/>
  <c r="AC6" i="1"/>
  <c r="AC9" i="1"/>
  <c r="W12" i="1"/>
  <c r="W32" i="1"/>
  <c r="AC37" i="1"/>
  <c r="W40" i="1"/>
  <c r="W43" i="1"/>
  <c r="T46" i="1"/>
  <c r="U51" i="1"/>
  <c r="T54" i="1"/>
  <c r="V133" i="1"/>
  <c r="U133" i="1"/>
  <c r="W28" i="1"/>
  <c r="AE100" i="1"/>
  <c r="AC100" i="1"/>
  <c r="AC110" i="1"/>
  <c r="W100" i="1"/>
  <c r="AE123" i="1"/>
  <c r="AC123" i="1"/>
  <c r="W123" i="1"/>
  <c r="W8" i="1"/>
  <c r="W38" i="1"/>
  <c r="Q73" i="1"/>
  <c r="S78" i="1"/>
  <c r="U81" i="1"/>
  <c r="T97" i="1"/>
  <c r="AE109" i="1"/>
  <c r="AC109" i="1"/>
  <c r="AE105" i="1"/>
  <c r="AC105" i="1"/>
  <c r="W14" i="1"/>
  <c r="AC18" i="1"/>
  <c r="W22" i="1"/>
  <c r="U36" i="1"/>
  <c r="U47" i="1"/>
  <c r="U75" i="1"/>
  <c r="AC81" i="1"/>
  <c r="T95" i="1"/>
  <c r="V96" i="1"/>
  <c r="W105" i="1"/>
  <c r="AC126" i="1"/>
  <c r="AE126" i="1"/>
  <c r="W126" i="1"/>
  <c r="AC14" i="1"/>
  <c r="AC22" i="1"/>
  <c r="AC68" i="1"/>
  <c r="Q79" i="1"/>
  <c r="AE115" i="1"/>
  <c r="AC115" i="1"/>
  <c r="W115" i="1"/>
  <c r="V132" i="1"/>
  <c r="U132" i="1"/>
  <c r="U16" i="1"/>
  <c r="T93" i="1"/>
  <c r="AE114" i="1"/>
  <c r="AC114" i="1"/>
  <c r="W114" i="1"/>
  <c r="AC138" i="1"/>
  <c r="AC147" i="1"/>
  <c r="AE147" i="1"/>
  <c r="W147" i="1"/>
  <c r="AC7" i="1"/>
  <c r="AC10" i="1"/>
  <c r="W13" i="1"/>
  <c r="U34" i="1"/>
  <c r="U45" i="1"/>
  <c r="U53" i="1"/>
  <c r="U69" i="1"/>
  <c r="W112" i="1"/>
  <c r="U114" i="1"/>
  <c r="T125" i="1"/>
  <c r="AC3" i="1"/>
  <c r="W101" i="1"/>
  <c r="AE101" i="1"/>
  <c r="AE113" i="1"/>
  <c r="AC113" i="1"/>
  <c r="W113" i="1"/>
  <c r="V119" i="1"/>
  <c r="U119" i="1"/>
  <c r="V131" i="1"/>
  <c r="U131" i="1"/>
  <c r="X149" i="1"/>
  <c r="AF149" i="1" s="1"/>
  <c r="AG149" i="1" s="1"/>
  <c r="V174" i="1"/>
  <c r="U174" i="1"/>
  <c r="V178" i="1"/>
  <c r="U178" i="1"/>
  <c r="T159" i="1"/>
  <c r="W302" i="1"/>
  <c r="AC302" i="1"/>
  <c r="T145" i="1"/>
  <c r="X159" i="1"/>
  <c r="AF159" i="1" s="1"/>
  <c r="AG159" i="1" s="1"/>
  <c r="V171" i="1"/>
  <c r="U171" i="1"/>
  <c r="U100" i="1"/>
  <c r="U112" i="1"/>
  <c r="X145" i="1"/>
  <c r="AF145" i="1" s="1"/>
  <c r="AG145" i="1" s="1"/>
  <c r="V181" i="1"/>
  <c r="U181" i="1"/>
  <c r="U184" i="1"/>
  <c r="T124" i="1"/>
  <c r="V229" i="1"/>
  <c r="U229" i="1"/>
  <c r="T151" i="1"/>
  <c r="V158" i="1"/>
  <c r="U158" i="1"/>
  <c r="V167" i="1"/>
  <c r="U167" i="1"/>
  <c r="AC92" i="1"/>
  <c r="U126" i="1"/>
  <c r="V155" i="1"/>
  <c r="V180" i="1"/>
  <c r="U180" i="1"/>
  <c r="AF188" i="1"/>
  <c r="AG188" i="1" s="1"/>
  <c r="V170" i="1"/>
  <c r="U170" i="1"/>
  <c r="V187" i="1"/>
  <c r="V246" i="1"/>
  <c r="U246" i="1"/>
  <c r="T162" i="1"/>
  <c r="W176" i="1"/>
  <c r="U105" i="1"/>
  <c r="U109" i="1"/>
  <c r="T143" i="1"/>
  <c r="T148" i="1"/>
  <c r="V191" i="1"/>
  <c r="X153" i="1"/>
  <c r="AF153" i="1" s="1"/>
  <c r="AG153" i="1" s="1"/>
  <c r="X204" i="1"/>
  <c r="AF204" i="1" s="1"/>
  <c r="AG204" i="1" s="1"/>
  <c r="AE225" i="1"/>
  <c r="V242" i="1"/>
  <c r="U242" i="1"/>
  <c r="U216" i="1"/>
  <c r="V219" i="1"/>
  <c r="U219" i="1"/>
  <c r="AF288" i="1"/>
  <c r="AG288" i="1" s="1"/>
  <c r="V179" i="1"/>
  <c r="T186" i="1"/>
  <c r="V216" i="1"/>
  <c r="U217" i="1"/>
  <c r="V224" i="1"/>
  <c r="U224" i="1"/>
  <c r="AE271" i="1"/>
  <c r="AC271" i="1"/>
  <c r="U241" i="1"/>
  <c r="V241" i="1"/>
  <c r="U183" i="1"/>
  <c r="U190" i="1"/>
  <c r="U206" i="1"/>
  <c r="AF235" i="1"/>
  <c r="AG235" i="1" s="1"/>
  <c r="V223" i="1"/>
  <c r="U223" i="1"/>
  <c r="V228" i="1"/>
  <c r="U228" i="1"/>
  <c r="V234" i="1"/>
  <c r="U234" i="1"/>
  <c r="AE244" i="1"/>
  <c r="V248" i="1"/>
  <c r="U248" i="1"/>
  <c r="V253" i="1"/>
  <c r="U253" i="1"/>
  <c r="T279" i="1"/>
  <c r="V279" i="1" s="1"/>
  <c r="T291" i="1"/>
  <c r="V291" i="1" s="1"/>
  <c r="X137" i="1"/>
  <c r="X160" i="1"/>
  <c r="U169" i="1"/>
  <c r="X196" i="1"/>
  <c r="V231" i="1"/>
  <c r="U231" i="1"/>
  <c r="T150" i="1"/>
  <c r="X151" i="1"/>
  <c r="AF151" i="1" s="1"/>
  <c r="AG151" i="1" s="1"/>
  <c r="U201" i="1"/>
  <c r="T204" i="1"/>
  <c r="V227" i="1"/>
  <c r="U227" i="1"/>
  <c r="AC290" i="1"/>
  <c r="AE290" i="1"/>
  <c r="W290" i="1"/>
  <c r="V309" i="1"/>
  <c r="U309" i="1"/>
  <c r="T195" i="1"/>
  <c r="U147" i="1"/>
  <c r="T153" i="1"/>
  <c r="U173" i="1"/>
  <c r="T205" i="1"/>
  <c r="V221" i="1"/>
  <c r="U221" i="1"/>
  <c r="V233" i="1"/>
  <c r="U233" i="1"/>
  <c r="T202" i="1"/>
  <c r="AC226" i="1"/>
  <c r="W226" i="1"/>
  <c r="T273" i="1"/>
  <c r="V273" i="1" s="1"/>
  <c r="T236" i="1"/>
  <c r="T260" i="1"/>
  <c r="T281" i="1"/>
  <c r="V281" i="1" s="1"/>
  <c r="T293" i="1"/>
  <c r="AE302" i="1"/>
  <c r="T304" i="1"/>
  <c r="V304" i="1" s="1"/>
  <c r="V308" i="1"/>
  <c r="U308" i="1"/>
  <c r="T261" i="1"/>
  <c r="AF278" i="1"/>
  <c r="AG278" i="1" s="1"/>
  <c r="T283" i="1"/>
  <c r="V283" i="1" s="1"/>
  <c r="V307" i="1"/>
  <c r="U307" i="1"/>
  <c r="AF272" i="1"/>
  <c r="AG272" i="1" s="1"/>
  <c r="T275" i="1"/>
  <c r="V275" i="1" s="1"/>
  <c r="AF268" i="1"/>
  <c r="AG268" i="1" s="1"/>
  <c r="T285" i="1"/>
  <c r="V285" i="1" s="1"/>
  <c r="T295" i="1"/>
  <c r="V295" i="1" s="1"/>
  <c r="U226" i="1"/>
  <c r="U237" i="1"/>
  <c r="AC251" i="1"/>
  <c r="T294" i="1"/>
  <c r="V294" i="1" s="1"/>
  <c r="T297" i="1"/>
  <c r="V297" i="1" s="1"/>
  <c r="T287" i="1"/>
  <c r="V287" i="1" s="1"/>
  <c r="T299" i="1"/>
  <c r="V299" i="1" s="1"/>
  <c r="V320" i="1"/>
  <c r="U320" i="1"/>
  <c r="AC250" i="1"/>
  <c r="T277" i="1"/>
  <c r="V277" i="1" s="1"/>
  <c r="T298" i="1"/>
  <c r="V298" i="1" s="1"/>
  <c r="T301" i="1"/>
  <c r="V301" i="1" s="1"/>
  <c r="V238" i="1"/>
  <c r="U238" i="1"/>
  <c r="T289" i="1"/>
  <c r="V289" i="1" s="1"/>
  <c r="U319" i="1"/>
  <c r="V319" i="1"/>
  <c r="U322" i="1"/>
  <c r="V322" i="1"/>
  <c r="V255" i="1"/>
  <c r="U255" i="1"/>
  <c r="V257" i="1"/>
  <c r="U257" i="1"/>
  <c r="AF270" i="1"/>
  <c r="AG270" i="1" s="1"/>
  <c r="U311" i="1"/>
  <c r="V311" i="1"/>
  <c r="V327" i="1"/>
  <c r="U327" i="1"/>
  <c r="AF444" i="1"/>
  <c r="AG444" i="1" s="1"/>
  <c r="V332" i="1"/>
  <c r="U332" i="1"/>
  <c r="V336" i="1"/>
  <c r="U336" i="1"/>
  <c r="V395" i="1"/>
  <c r="U395" i="1"/>
  <c r="U326" i="1"/>
  <c r="V417" i="1"/>
  <c r="U417" i="1"/>
  <c r="W331" i="1"/>
  <c r="U314" i="1"/>
  <c r="V340" i="1"/>
  <c r="U340" i="1"/>
  <c r="AF341" i="1"/>
  <c r="AG341" i="1" s="1"/>
  <c r="V345" i="1"/>
  <c r="U345" i="1"/>
  <c r="U330" i="1"/>
  <c r="V316" i="1"/>
  <c r="U316" i="1"/>
  <c r="V351" i="1"/>
  <c r="U351" i="1"/>
  <c r="T356" i="1"/>
  <c r="AF387" i="1"/>
  <c r="AG387" i="1" s="1"/>
  <c r="V387" i="1"/>
  <c r="V339" i="1"/>
  <c r="U339" i="1"/>
  <c r="V347" i="1"/>
  <c r="V386" i="1"/>
  <c r="U386" i="1"/>
  <c r="AE379" i="1"/>
  <c r="AC379" i="1"/>
  <c r="W379" i="1"/>
  <c r="V328" i="1"/>
  <c r="U328" i="1"/>
  <c r="V350" i="1"/>
  <c r="U350" i="1"/>
  <c r="V355" i="1"/>
  <c r="U355" i="1"/>
  <c r="T363" i="1"/>
  <c r="V343" i="1"/>
  <c r="AC377" i="1"/>
  <c r="W377" i="1"/>
  <c r="U358" i="1"/>
  <c r="AF358" i="1"/>
  <c r="AG358" i="1" s="1"/>
  <c r="AF368" i="1"/>
  <c r="AG368" i="1" s="1"/>
  <c r="V407" i="1"/>
  <c r="U407" i="1"/>
  <c r="U360" i="1"/>
  <c r="T372" i="1"/>
  <c r="V422" i="1"/>
  <c r="U422" i="1"/>
  <c r="T369" i="1"/>
  <c r="U370" i="1"/>
  <c r="V371" i="1"/>
  <c r="U371" i="1"/>
  <c r="T381" i="1"/>
  <c r="T384" i="1"/>
  <c r="T393" i="1"/>
  <c r="V394" i="1"/>
  <c r="U394" i="1"/>
  <c r="W419" i="1"/>
  <c r="AE419" i="1"/>
  <c r="AC419" i="1"/>
  <c r="V383" i="1"/>
  <c r="U383" i="1"/>
  <c r="V402" i="1"/>
  <c r="U402" i="1"/>
  <c r="V405" i="1"/>
  <c r="V406" i="1"/>
  <c r="U406" i="1"/>
  <c r="U434" i="1"/>
  <c r="V434" i="1"/>
  <c r="V414" i="1"/>
  <c r="U414" i="1"/>
  <c r="V418" i="1"/>
  <c r="U418" i="1"/>
  <c r="V373" i="1"/>
  <c r="V376" i="1"/>
  <c r="U376" i="1"/>
  <c r="V400" i="1"/>
  <c r="U400" i="1"/>
  <c r="V433" i="1"/>
  <c r="U433" i="1"/>
  <c r="U365" i="1"/>
  <c r="V385" i="1"/>
  <c r="AF392" i="1"/>
  <c r="AG392" i="1" s="1"/>
  <c r="V412" i="1"/>
  <c r="U412" i="1"/>
  <c r="V427" i="1"/>
  <c r="U427" i="1"/>
  <c r="V358" i="1"/>
  <c r="U387" i="1"/>
  <c r="V388" i="1"/>
  <c r="U388" i="1"/>
  <c r="V420" i="1"/>
  <c r="U420" i="1"/>
  <c r="V390" i="1"/>
  <c r="U390" i="1"/>
  <c r="AE396" i="1"/>
  <c r="AC396" i="1"/>
  <c r="AE398" i="1"/>
  <c r="AC398" i="1"/>
  <c r="V441" i="1"/>
  <c r="U441" i="1"/>
  <c r="W396" i="1"/>
  <c r="U398" i="1"/>
  <c r="AE408" i="1"/>
  <c r="AC408" i="1"/>
  <c r="AC482" i="1"/>
  <c r="V523" i="1"/>
  <c r="U523" i="1"/>
  <c r="V428" i="1"/>
  <c r="U428" i="1"/>
  <c r="W477" i="1"/>
  <c r="AE508" i="1"/>
  <c r="AC508" i="1"/>
  <c r="W508" i="1"/>
  <c r="AE429" i="1"/>
  <c r="AC429" i="1"/>
  <c r="V447" i="1"/>
  <c r="U447" i="1"/>
  <c r="V493" i="1"/>
  <c r="U493" i="1"/>
  <c r="W515" i="1"/>
  <c r="V424" i="1"/>
  <c r="U429" i="1"/>
  <c r="V440" i="1"/>
  <c r="U440" i="1"/>
  <c r="V481" i="1"/>
  <c r="U481" i="1"/>
  <c r="T484" i="1"/>
  <c r="AE504" i="1"/>
  <c r="AC504" i="1"/>
  <c r="W504" i="1"/>
  <c r="V522" i="1"/>
  <c r="U522" i="1"/>
  <c r="T425" i="1"/>
  <c r="W429" i="1"/>
  <c r="V439" i="1"/>
  <c r="U439" i="1"/>
  <c r="V464" i="1"/>
  <c r="U464" i="1"/>
  <c r="V467" i="1"/>
  <c r="U467" i="1"/>
  <c r="AF421" i="1"/>
  <c r="AG421" i="1" s="1"/>
  <c r="U438" i="1"/>
  <c r="V461" i="1"/>
  <c r="V446" i="1"/>
  <c r="U446" i="1"/>
  <c r="U461" i="1"/>
  <c r="AF461" i="1"/>
  <c r="AG461" i="1" s="1"/>
  <c r="V499" i="1"/>
  <c r="U499" i="1"/>
  <c r="W426" i="1"/>
  <c r="V469" i="1"/>
  <c r="U469" i="1"/>
  <c r="AC492" i="1"/>
  <c r="W492" i="1"/>
  <c r="T524" i="1"/>
  <c r="V435" i="1"/>
  <c r="U435" i="1"/>
  <c r="V445" i="1"/>
  <c r="U445" i="1"/>
  <c r="V449" i="1"/>
  <c r="V457" i="1"/>
  <c r="U457" i="1"/>
  <c r="U419" i="1"/>
  <c r="V460" i="1"/>
  <c r="U460" i="1"/>
  <c r="V463" i="1"/>
  <c r="U463" i="1"/>
  <c r="V483" i="1"/>
  <c r="U483" i="1"/>
  <c r="AE443" i="1"/>
  <c r="AC443" i="1"/>
  <c r="W443" i="1"/>
  <c r="V506" i="1"/>
  <c r="U506" i="1"/>
  <c r="U443" i="1"/>
  <c r="V474" i="1"/>
  <c r="AF478" i="1"/>
  <c r="AG478" i="1" s="1"/>
  <c r="V494" i="1"/>
  <c r="U494" i="1"/>
  <c r="U501" i="1"/>
  <c r="V501" i="1"/>
  <c r="V471" i="1"/>
  <c r="U471" i="1"/>
  <c r="T475" i="1"/>
  <c r="U492" i="1"/>
  <c r="W509" i="1"/>
  <c r="T510" i="1"/>
  <c r="T517" i="1"/>
  <c r="AF453" i="1"/>
  <c r="AG453" i="1" s="1"/>
  <c r="V459" i="1"/>
  <c r="U459" i="1"/>
  <c r="T472" i="1"/>
  <c r="V488" i="1"/>
  <c r="U488" i="1"/>
  <c r="AF502" i="1"/>
  <c r="AG502" i="1" s="1"/>
  <c r="U504" i="1"/>
  <c r="V456" i="1"/>
  <c r="AE509" i="1"/>
  <c r="V476" i="1"/>
  <c r="U476" i="1"/>
  <c r="V519" i="1"/>
  <c r="U519" i="1"/>
  <c r="AC498" i="1"/>
  <c r="V505" i="1"/>
  <c r="U505" i="1"/>
  <c r="V512" i="1"/>
  <c r="U512" i="1"/>
  <c r="U473" i="1"/>
  <c r="U477" i="1"/>
  <c r="U498" i="1"/>
  <c r="V514" i="1"/>
  <c r="V507" i="1"/>
  <c r="U507" i="1"/>
  <c r="U482" i="1"/>
  <c r="V495" i="1"/>
  <c r="U495" i="1"/>
  <c r="U502" i="1"/>
  <c r="U525" i="1"/>
  <c r="V525" i="1"/>
  <c r="V88" i="1" l="1"/>
  <c r="AE367" i="1"/>
  <c r="V200" i="1"/>
  <c r="AC60" i="1"/>
  <c r="U321" i="1"/>
  <c r="AE183" i="1"/>
  <c r="V448" i="1"/>
  <c r="AE448" i="1" s="1"/>
  <c r="U430" i="1"/>
  <c r="U144" i="1"/>
  <c r="W431" i="1"/>
  <c r="V118" i="1"/>
  <c r="AE118" i="1" s="1"/>
  <c r="AC431" i="1"/>
  <c r="V364" i="1"/>
  <c r="AE364" i="1" s="1"/>
  <c r="AC108" i="1"/>
  <c r="AC240" i="1"/>
  <c r="W190" i="1"/>
  <c r="AC190" i="1"/>
  <c r="V77" i="1"/>
  <c r="AC511" i="1"/>
  <c r="W329" i="1"/>
  <c r="AE110" i="1"/>
  <c r="AC491" i="1"/>
  <c r="AE491" i="1"/>
  <c r="V470" i="1"/>
  <c r="AE470" i="1" s="1"/>
  <c r="V341" i="1"/>
  <c r="AE341" i="1" s="1"/>
  <c r="U117" i="1"/>
  <c r="U110" i="1"/>
  <c r="U362" i="1"/>
  <c r="AE251" i="1"/>
  <c r="U163" i="1"/>
  <c r="AE176" i="1"/>
  <c r="AE482" i="1"/>
  <c r="W479" i="1"/>
  <c r="W346" i="1"/>
  <c r="U239" i="1"/>
  <c r="AC134" i="1"/>
  <c r="U176" i="1"/>
  <c r="V391" i="1"/>
  <c r="AE391" i="1" s="1"/>
  <c r="AC479" i="1"/>
  <c r="AC346" i="1"/>
  <c r="U312" i="1"/>
  <c r="U161" i="1"/>
  <c r="AC173" i="1"/>
  <c r="AC107" i="1"/>
  <c r="V166" i="1"/>
  <c r="V411" i="1"/>
  <c r="W411" i="1" s="1"/>
  <c r="AC323" i="1"/>
  <c r="AE403" i="1"/>
  <c r="V152" i="1"/>
  <c r="AC152" i="1" s="1"/>
  <c r="V161" i="1"/>
  <c r="AC161" i="1" s="1"/>
  <c r="AE173" i="1"/>
  <c r="AE107" i="1"/>
  <c r="U465" i="1"/>
  <c r="W397" i="1"/>
  <c r="AE323" i="1"/>
  <c r="W201" i="1"/>
  <c r="V163" i="1"/>
  <c r="AC354" i="1"/>
  <c r="AC397" i="1"/>
  <c r="U177" i="1"/>
  <c r="U165" i="1"/>
  <c r="U397" i="1"/>
  <c r="W451" i="1"/>
  <c r="U134" i="1"/>
  <c r="AE134" i="1"/>
  <c r="AC451" i="1"/>
  <c r="W354" i="1"/>
  <c r="AC225" i="1"/>
  <c r="U107" i="1"/>
  <c r="V452" i="1"/>
  <c r="AC452" i="1" s="1"/>
  <c r="U211" i="1"/>
  <c r="W448" i="1"/>
  <c r="V218" i="1"/>
  <c r="AC218" i="1" s="1"/>
  <c r="U198" i="1"/>
  <c r="W129" i="1"/>
  <c r="U486" i="1"/>
  <c r="AE453" i="1"/>
  <c r="AE318" i="1"/>
  <c r="V315" i="1"/>
  <c r="AC129" i="1"/>
  <c r="W318" i="1"/>
  <c r="V245" i="1"/>
  <c r="W245" i="1" s="1"/>
  <c r="AC128" i="1"/>
  <c r="U503" i="1"/>
  <c r="AC214" i="1"/>
  <c r="V359" i="1"/>
  <c r="AC359" i="1" s="1"/>
  <c r="W486" i="1"/>
  <c r="W265" i="1"/>
  <c r="AC486" i="1"/>
  <c r="AE265" i="1"/>
  <c r="U344" i="1"/>
  <c r="U166" i="1"/>
  <c r="W334" i="1"/>
  <c r="U196" i="1"/>
  <c r="AE128" i="1"/>
  <c r="AC334" i="1"/>
  <c r="U128" i="1"/>
  <c r="AE498" i="1"/>
  <c r="AE503" i="1"/>
  <c r="W64" i="1"/>
  <c r="U306" i="1"/>
  <c r="W306" i="1"/>
  <c r="U250" i="1"/>
  <c r="U317" i="1"/>
  <c r="W208" i="1"/>
  <c r="AE473" i="1"/>
  <c r="AC306" i="1"/>
  <c r="W104" i="1"/>
  <c r="U272" i="1"/>
  <c r="W310" i="1"/>
  <c r="W473" i="1"/>
  <c r="U324" i="1"/>
  <c r="U64" i="1"/>
  <c r="W503" i="1"/>
  <c r="AC310" i="1"/>
  <c r="AC208" i="1"/>
  <c r="V220" i="1"/>
  <c r="W42" i="1"/>
  <c r="AC64" i="1"/>
  <c r="AE201" i="1"/>
  <c r="AE139" i="1"/>
  <c r="AC139" i="1"/>
  <c r="W139" i="1"/>
  <c r="V497" i="1"/>
  <c r="AC497" i="1" s="1"/>
  <c r="AC453" i="1"/>
  <c r="AE331" i="1"/>
  <c r="W240" i="1"/>
  <c r="V375" i="1"/>
  <c r="W375" i="1" s="1"/>
  <c r="W317" i="1"/>
  <c r="AC193" i="1"/>
  <c r="U139" i="1"/>
  <c r="W135" i="1"/>
  <c r="AC317" i="1"/>
  <c r="AC135" i="1"/>
  <c r="AE193" i="1"/>
  <c r="W106" i="1"/>
  <c r="AE426" i="1"/>
  <c r="U399" i="1"/>
  <c r="AE410" i="1"/>
  <c r="U106" i="1"/>
  <c r="W68" i="1"/>
  <c r="AE515" i="1"/>
  <c r="AE184" i="1"/>
  <c r="AC106" i="1"/>
  <c r="U325" i="1"/>
  <c r="W365" i="1"/>
  <c r="AC130" i="1"/>
  <c r="AE272" i="1"/>
  <c r="W272" i="1"/>
  <c r="V337" i="1"/>
  <c r="W410" i="1"/>
  <c r="V194" i="1"/>
  <c r="AE194" i="1" s="1"/>
  <c r="AC217" i="1"/>
  <c r="AC175" i="1"/>
  <c r="W267" i="1"/>
  <c r="W33" i="1"/>
  <c r="AE511" i="1"/>
  <c r="AC448" i="1"/>
  <c r="AC520" i="1"/>
  <c r="AE520" i="1"/>
  <c r="V466" i="1"/>
  <c r="AC244" i="1"/>
  <c r="U188" i="1"/>
  <c r="AE175" i="1"/>
  <c r="AC267" i="1"/>
  <c r="AE60" i="1"/>
  <c r="U194" i="1"/>
  <c r="AE108" i="1"/>
  <c r="W382" i="1"/>
  <c r="AC382" i="1"/>
  <c r="V333" i="1"/>
  <c r="W333" i="1" s="1"/>
  <c r="AC33" i="1"/>
  <c r="AC48" i="1"/>
  <c r="U352" i="1"/>
  <c r="U500" i="1"/>
  <c r="U478" i="1"/>
  <c r="AC352" i="1"/>
  <c r="W214" i="1"/>
  <c r="W183" i="1"/>
  <c r="AC67" i="1"/>
  <c r="U515" i="1"/>
  <c r="U329" i="1"/>
  <c r="W352" i="1"/>
  <c r="U108" i="1"/>
  <c r="AC44" i="1"/>
  <c r="W48" i="1"/>
  <c r="U409" i="1"/>
  <c r="U60" i="1"/>
  <c r="U349" i="1"/>
  <c r="W138" i="1"/>
  <c r="W20" i="1"/>
  <c r="AC329" i="1"/>
  <c r="AC269" i="1"/>
  <c r="W44" i="1"/>
  <c r="AE130" i="1"/>
  <c r="AE269" i="1"/>
  <c r="AC20" i="1"/>
  <c r="V513" i="1"/>
  <c r="AE513" i="1" s="1"/>
  <c r="AE213" i="1"/>
  <c r="U76" i="1"/>
  <c r="AC56" i="1"/>
  <c r="W213" i="1"/>
  <c r="W56" i="1"/>
  <c r="V368" i="1"/>
  <c r="AE368" i="1" s="1"/>
  <c r="U243" i="1"/>
  <c r="AC76" i="1"/>
  <c r="W39" i="1"/>
  <c r="AE39" i="1"/>
  <c r="W168" i="1"/>
  <c r="AC168" i="1"/>
  <c r="V215" i="1"/>
  <c r="V82" i="1"/>
  <c r="AC82" i="1" s="1"/>
  <c r="W303" i="1"/>
  <c r="AE303" i="1"/>
  <c r="AC303" i="1"/>
  <c r="AC409" i="1"/>
  <c r="W409" i="1"/>
  <c r="AE409" i="1"/>
  <c r="V198" i="1"/>
  <c r="AE477" i="1"/>
  <c r="W335" i="1"/>
  <c r="W247" i="1"/>
  <c r="U215" i="1"/>
  <c r="U172" i="1"/>
  <c r="AE217" i="1"/>
  <c r="W182" i="1"/>
  <c r="W263" i="1"/>
  <c r="V380" i="1"/>
  <c r="AC380" i="1" s="1"/>
  <c r="W330" i="1"/>
  <c r="AC335" i="1"/>
  <c r="U160" i="1"/>
  <c r="AC254" i="1"/>
  <c r="AC182" i="1"/>
  <c r="AC102" i="1"/>
  <c r="V415" i="1"/>
  <c r="AE360" i="1"/>
  <c r="AC330" i="1"/>
  <c r="AE254" i="1"/>
  <c r="W172" i="1"/>
  <c r="U154" i="1"/>
  <c r="AC210" i="1"/>
  <c r="AE102" i="1"/>
  <c r="W360" i="1"/>
  <c r="U212" i="1"/>
  <c r="AC172" i="1"/>
  <c r="W210" i="1"/>
  <c r="AE338" i="1"/>
  <c r="U313" i="1"/>
  <c r="AE300" i="1"/>
  <c r="AC502" i="1"/>
  <c r="W342" i="1"/>
  <c r="W338" i="1"/>
  <c r="U348" i="1"/>
  <c r="W256" i="1"/>
  <c r="AC300" i="1"/>
  <c r="V141" i="1"/>
  <c r="AE103" i="1"/>
  <c r="U122" i="1"/>
  <c r="V230" i="1"/>
  <c r="AE230" i="1" s="1"/>
  <c r="AC490" i="1"/>
  <c r="AE502" i="1"/>
  <c r="AC450" i="1"/>
  <c r="AC342" i="1"/>
  <c r="U262" i="1"/>
  <c r="W432" i="1"/>
  <c r="AE262" i="1"/>
  <c r="AC262" i="1"/>
  <c r="V293" i="1"/>
  <c r="AC256" i="1"/>
  <c r="U232" i="1"/>
  <c r="U104" i="1"/>
  <c r="W103" i="1"/>
  <c r="AC104" i="1"/>
  <c r="AE490" i="1"/>
  <c r="AC272" i="1"/>
  <c r="U490" i="1"/>
  <c r="U200" i="1"/>
  <c r="U389" i="1"/>
  <c r="U487" i="1"/>
  <c r="V436" i="1"/>
  <c r="AE450" i="1"/>
  <c r="U462" i="1"/>
  <c r="U377" i="1"/>
  <c r="AE432" i="1"/>
  <c r="AC263" i="1"/>
  <c r="U182" i="1"/>
  <c r="AE42" i="1"/>
  <c r="W67" i="1"/>
  <c r="U432" i="1"/>
  <c r="U357" i="1"/>
  <c r="W184" i="1"/>
  <c r="U146" i="1"/>
  <c r="AC247" i="1"/>
  <c r="U192" i="1"/>
  <c r="V192" i="1"/>
  <c r="W192" i="1" s="1"/>
  <c r="U403" i="1"/>
  <c r="AC370" i="1"/>
  <c r="W94" i="1"/>
  <c r="AE370" i="1"/>
  <c r="AC268" i="1"/>
  <c r="AC94" i="1"/>
  <c r="V185" i="1"/>
  <c r="U468" i="1"/>
  <c r="W268" i="1"/>
  <c r="W237" i="1"/>
  <c r="AC237" i="1"/>
  <c r="V423" i="1"/>
  <c r="AC423" i="1" s="1"/>
  <c r="AC326" i="1"/>
  <c r="AE326" i="1"/>
  <c r="AE282" i="1"/>
  <c r="AC63" i="1"/>
  <c r="W120" i="1"/>
  <c r="V392" i="1"/>
  <c r="AC392" i="1" s="1"/>
  <c r="V136" i="1"/>
  <c r="W136" i="1" s="1"/>
  <c r="V444" i="1"/>
  <c r="AC444" i="1" s="1"/>
  <c r="V235" i="1"/>
  <c r="AC235" i="1" s="1"/>
  <c r="AC120" i="1"/>
  <c r="U86" i="1"/>
  <c r="W367" i="1"/>
  <c r="AC365" i="1"/>
  <c r="W403" i="1"/>
  <c r="U99" i="1"/>
  <c r="V416" i="1"/>
  <c r="U130" i="1"/>
  <c r="W282" i="1"/>
  <c r="W63" i="1"/>
  <c r="V83" i="1"/>
  <c r="AE112" i="1"/>
  <c r="W278" i="1"/>
  <c r="AC278" i="1"/>
  <c r="AE278" i="1"/>
  <c r="AE249" i="1"/>
  <c r="W249" i="1"/>
  <c r="AC249" i="1"/>
  <c r="AC437" i="1"/>
  <c r="U374" i="1"/>
  <c r="U249" i="1"/>
  <c r="W140" i="1"/>
  <c r="AE140" i="1"/>
  <c r="U84" i="1"/>
  <c r="V197" i="1"/>
  <c r="U111" i="1"/>
  <c r="V413" i="1"/>
  <c r="W413" i="1" s="1"/>
  <c r="AE362" i="1"/>
  <c r="AC52" i="1"/>
  <c r="W52" i="1"/>
  <c r="AC50" i="1"/>
  <c r="W421" i="1"/>
  <c r="U305" i="1"/>
  <c r="AE296" i="1"/>
  <c r="U116" i="1"/>
  <c r="W50" i="1"/>
  <c r="W437" i="1"/>
  <c r="AC421" i="1"/>
  <c r="W362" i="1"/>
  <c r="AC389" i="1"/>
  <c r="AC296" i="1"/>
  <c r="U149" i="1"/>
  <c r="W518" i="1"/>
  <c r="AC518" i="1"/>
  <c r="AE389" i="1"/>
  <c r="V149" i="1"/>
  <c r="AC111" i="1"/>
  <c r="AE111" i="1"/>
  <c r="U98" i="1"/>
  <c r="U518" i="1"/>
  <c r="W76" i="1"/>
  <c r="U421" i="1"/>
  <c r="AE378" i="1"/>
  <c r="AC378" i="1"/>
  <c r="W378" i="1"/>
  <c r="U442" i="1"/>
  <c r="V442" i="1"/>
  <c r="U455" i="1"/>
  <c r="V455" i="1"/>
  <c r="U258" i="1"/>
  <c r="V258" i="1"/>
  <c r="U222" i="1"/>
  <c r="V222" i="1"/>
  <c r="AC62" i="1"/>
  <c r="W62" i="1"/>
  <c r="AE62" i="1"/>
  <c r="U252" i="1"/>
  <c r="V252" i="1"/>
  <c r="V58" i="1"/>
  <c r="U58" i="1"/>
  <c r="U209" i="1"/>
  <c r="V209" i="1"/>
  <c r="AE259" i="1"/>
  <c r="AC259" i="1"/>
  <c r="U207" i="1"/>
  <c r="V207" i="1"/>
  <c r="U401" i="1"/>
  <c r="V401" i="1"/>
  <c r="V203" i="1"/>
  <c r="U203" i="1"/>
  <c r="V353" i="1"/>
  <c r="U353" i="1"/>
  <c r="U489" i="1"/>
  <c r="V489" i="1"/>
  <c r="AE35" i="1"/>
  <c r="AC35" i="1"/>
  <c r="V480" i="1"/>
  <c r="U480" i="1"/>
  <c r="V404" i="1"/>
  <c r="AE266" i="1"/>
  <c r="AC266" i="1"/>
  <c r="W266" i="1"/>
  <c r="V164" i="1"/>
  <c r="U164" i="1"/>
  <c r="V157" i="1"/>
  <c r="U157" i="1"/>
  <c r="AE70" i="1"/>
  <c r="AC70" i="1"/>
  <c r="AE270" i="1"/>
  <c r="AC270" i="1"/>
  <c r="W270" i="1"/>
  <c r="AE366" i="1"/>
  <c r="AC366" i="1"/>
  <c r="W366" i="1"/>
  <c r="W250" i="1"/>
  <c r="AE250" i="1"/>
  <c r="AE206" i="1"/>
  <c r="W206" i="1"/>
  <c r="U516" i="1"/>
  <c r="V516" i="1"/>
  <c r="U189" i="1"/>
  <c r="V189" i="1"/>
  <c r="AE144" i="1"/>
  <c r="W144" i="1"/>
  <c r="V458" i="1"/>
  <c r="U458" i="1"/>
  <c r="V521" i="1"/>
  <c r="U521" i="1"/>
  <c r="V485" i="1"/>
  <c r="U485" i="1"/>
  <c r="W314" i="1"/>
  <c r="AE314" i="1"/>
  <c r="U378" i="1"/>
  <c r="AE65" i="1"/>
  <c r="AC65" i="1"/>
  <c r="V454" i="1"/>
  <c r="U454" i="1"/>
  <c r="AE264" i="1"/>
  <c r="AC264" i="1"/>
  <c r="V496" i="1"/>
  <c r="U496" i="1"/>
  <c r="AE494" i="1"/>
  <c r="W494" i="1"/>
  <c r="AC494" i="1"/>
  <c r="AE483" i="1"/>
  <c r="AC483" i="1"/>
  <c r="W483" i="1"/>
  <c r="V484" i="1"/>
  <c r="U484" i="1"/>
  <c r="W364" i="1"/>
  <c r="W373" i="1"/>
  <c r="AE373" i="1"/>
  <c r="AC373" i="1"/>
  <c r="U363" i="1"/>
  <c r="V363" i="1"/>
  <c r="AE347" i="1"/>
  <c r="AC347" i="1"/>
  <c r="W347" i="1"/>
  <c r="V356" i="1"/>
  <c r="U356" i="1"/>
  <c r="W255" i="1"/>
  <c r="AE255" i="1"/>
  <c r="AC255" i="1"/>
  <c r="AE312" i="1"/>
  <c r="AC312" i="1"/>
  <c r="W312" i="1"/>
  <c r="AC280" i="1"/>
  <c r="AE280" i="1"/>
  <c r="W280" i="1"/>
  <c r="U205" i="1"/>
  <c r="V205" i="1"/>
  <c r="V204" i="1"/>
  <c r="U204" i="1"/>
  <c r="AE291" i="1"/>
  <c r="AC291" i="1"/>
  <c r="W291" i="1"/>
  <c r="AE232" i="1"/>
  <c r="AC232" i="1"/>
  <c r="W232" i="1"/>
  <c r="V162" i="1"/>
  <c r="U162" i="1"/>
  <c r="AE220" i="1"/>
  <c r="AC220" i="1"/>
  <c r="W220" i="1"/>
  <c r="AE177" i="1"/>
  <c r="AC177" i="1"/>
  <c r="W177" i="1"/>
  <c r="V124" i="1"/>
  <c r="U124" i="1"/>
  <c r="T78" i="1"/>
  <c r="U80" i="1"/>
  <c r="V80" i="1"/>
  <c r="AC84" i="1"/>
  <c r="AE84" i="1"/>
  <c r="W84" i="1"/>
  <c r="AE59" i="1"/>
  <c r="AC59" i="1"/>
  <c r="W59" i="1"/>
  <c r="AE49" i="1"/>
  <c r="AC49" i="1"/>
  <c r="W49" i="1"/>
  <c r="AE328" i="1"/>
  <c r="AC328" i="1"/>
  <c r="W328" i="1"/>
  <c r="AF137" i="1"/>
  <c r="AG137" i="1" s="1"/>
  <c r="V137" i="1"/>
  <c r="AE188" i="1"/>
  <c r="AC188" i="1"/>
  <c r="W188" i="1"/>
  <c r="W500" i="1"/>
  <c r="AE500" i="1"/>
  <c r="AC500" i="1"/>
  <c r="W507" i="1"/>
  <c r="AE507" i="1"/>
  <c r="AC507" i="1"/>
  <c r="V472" i="1"/>
  <c r="U472" i="1"/>
  <c r="V475" i="1"/>
  <c r="U475" i="1"/>
  <c r="AE423" i="1"/>
  <c r="AE468" i="1"/>
  <c r="AC468" i="1"/>
  <c r="W468" i="1"/>
  <c r="W388" i="1"/>
  <c r="AE388" i="1"/>
  <c r="AC388" i="1"/>
  <c r="W371" i="1"/>
  <c r="AC371" i="1"/>
  <c r="AE371" i="1"/>
  <c r="AE324" i="1"/>
  <c r="AC324" i="1"/>
  <c r="W324" i="1"/>
  <c r="W345" i="1"/>
  <c r="AE345" i="1"/>
  <c r="AC345" i="1"/>
  <c r="AE322" i="1"/>
  <c r="W322" i="1"/>
  <c r="AC322" i="1"/>
  <c r="AC315" i="1"/>
  <c r="AE315" i="1"/>
  <c r="W315" i="1"/>
  <c r="V195" i="1"/>
  <c r="U195" i="1"/>
  <c r="AE242" i="1"/>
  <c r="W242" i="1"/>
  <c r="AC242" i="1"/>
  <c r="AE192" i="1"/>
  <c r="U143" i="1"/>
  <c r="V143" i="1"/>
  <c r="AE187" i="1"/>
  <c r="AC187" i="1"/>
  <c r="W187" i="1"/>
  <c r="AC141" i="1"/>
  <c r="W141" i="1"/>
  <c r="AE141" i="1"/>
  <c r="AE229" i="1"/>
  <c r="AC229" i="1"/>
  <c r="W229" i="1"/>
  <c r="AE181" i="1"/>
  <c r="AC181" i="1"/>
  <c r="W181" i="1"/>
  <c r="AE116" i="1"/>
  <c r="AC116" i="1"/>
  <c r="W116" i="1"/>
  <c r="AC77" i="1"/>
  <c r="AE77" i="1"/>
  <c r="W77" i="1"/>
  <c r="V54" i="1"/>
  <c r="U54" i="1"/>
  <c r="V91" i="1"/>
  <c r="U91" i="1"/>
  <c r="V73" i="1"/>
  <c r="U73" i="1"/>
  <c r="AE434" i="1"/>
  <c r="AC434" i="1"/>
  <c r="W434" i="1"/>
  <c r="AE348" i="1"/>
  <c r="AC348" i="1"/>
  <c r="W348" i="1"/>
  <c r="AE456" i="1"/>
  <c r="AC456" i="1"/>
  <c r="W456" i="1"/>
  <c r="W478" i="1"/>
  <c r="AE478" i="1"/>
  <c r="AC478" i="1"/>
  <c r="AE444" i="1"/>
  <c r="AE463" i="1"/>
  <c r="AC463" i="1"/>
  <c r="W463" i="1"/>
  <c r="V524" i="1"/>
  <c r="U524" i="1"/>
  <c r="AE436" i="1"/>
  <c r="AC436" i="1"/>
  <c r="W436" i="1"/>
  <c r="AE439" i="1"/>
  <c r="AC439" i="1"/>
  <c r="W439" i="1"/>
  <c r="W390" i="1"/>
  <c r="AE390" i="1"/>
  <c r="AC390" i="1"/>
  <c r="AE406" i="1"/>
  <c r="AC406" i="1"/>
  <c r="W406" i="1"/>
  <c r="AC355" i="1"/>
  <c r="W355" i="1"/>
  <c r="AE355" i="1"/>
  <c r="AE386" i="1"/>
  <c r="AC386" i="1"/>
  <c r="W386" i="1"/>
  <c r="AC327" i="1"/>
  <c r="AE327" i="1"/>
  <c r="W327" i="1"/>
  <c r="AC301" i="1"/>
  <c r="W301" i="1"/>
  <c r="AE301" i="1"/>
  <c r="AC299" i="1"/>
  <c r="W299" i="1"/>
  <c r="AE299" i="1"/>
  <c r="V260" i="1"/>
  <c r="U260" i="1"/>
  <c r="W233" i="1"/>
  <c r="AE233" i="1"/>
  <c r="AC233" i="1"/>
  <c r="AE279" i="1"/>
  <c r="AC279" i="1"/>
  <c r="W279" i="1"/>
  <c r="AE224" i="1"/>
  <c r="AC224" i="1"/>
  <c r="W224" i="1"/>
  <c r="W191" i="1"/>
  <c r="AE191" i="1"/>
  <c r="AC191" i="1"/>
  <c r="AE167" i="1"/>
  <c r="AC167" i="1"/>
  <c r="W167" i="1"/>
  <c r="AE165" i="1"/>
  <c r="AC165" i="1"/>
  <c r="W165" i="1"/>
  <c r="U74" i="1"/>
  <c r="V74" i="1"/>
  <c r="W495" i="1"/>
  <c r="AE495" i="1"/>
  <c r="AC495" i="1"/>
  <c r="AE514" i="1"/>
  <c r="AC514" i="1"/>
  <c r="W514" i="1"/>
  <c r="W512" i="1"/>
  <c r="AE512" i="1"/>
  <c r="AC512" i="1"/>
  <c r="W476" i="1"/>
  <c r="AE476" i="1"/>
  <c r="AC476" i="1"/>
  <c r="AE459" i="1"/>
  <c r="AC459" i="1"/>
  <c r="W459" i="1"/>
  <c r="AC474" i="1"/>
  <c r="W474" i="1"/>
  <c r="AE474" i="1"/>
  <c r="W457" i="1"/>
  <c r="AE457" i="1"/>
  <c r="AC457" i="1"/>
  <c r="AE446" i="1"/>
  <c r="AC446" i="1"/>
  <c r="W446" i="1"/>
  <c r="AE430" i="1"/>
  <c r="AC430" i="1"/>
  <c r="W430" i="1"/>
  <c r="W481" i="1"/>
  <c r="AE481" i="1"/>
  <c r="AC481" i="1"/>
  <c r="AC462" i="1"/>
  <c r="W462" i="1"/>
  <c r="AE462" i="1"/>
  <c r="AE441" i="1"/>
  <c r="AC441" i="1"/>
  <c r="W441" i="1"/>
  <c r="W385" i="1"/>
  <c r="AE385" i="1"/>
  <c r="AC385" i="1"/>
  <c r="V369" i="1"/>
  <c r="U369" i="1"/>
  <c r="AC339" i="1"/>
  <c r="AE339" i="1"/>
  <c r="W339" i="1"/>
  <c r="AE351" i="1"/>
  <c r="AC351" i="1"/>
  <c r="W351" i="1"/>
  <c r="AC417" i="1"/>
  <c r="W417" i="1"/>
  <c r="AE417" i="1"/>
  <c r="AC319" i="1"/>
  <c r="W319" i="1"/>
  <c r="AE319" i="1"/>
  <c r="W298" i="1"/>
  <c r="AC298" i="1"/>
  <c r="AE298" i="1"/>
  <c r="AE287" i="1"/>
  <c r="AC287" i="1"/>
  <c r="W287" i="1"/>
  <c r="W200" i="1"/>
  <c r="AE200" i="1"/>
  <c r="AC200" i="1"/>
  <c r="AE170" i="1"/>
  <c r="AC170" i="1"/>
  <c r="W170" i="1"/>
  <c r="AE117" i="1"/>
  <c r="AC117" i="1"/>
  <c r="W117" i="1"/>
  <c r="AC90" i="1"/>
  <c r="AE90" i="1"/>
  <c r="W90" i="1"/>
  <c r="V72" i="1"/>
  <c r="U72" i="1"/>
  <c r="AE122" i="1"/>
  <c r="AC122" i="1"/>
  <c r="W122" i="1"/>
  <c r="AE525" i="1"/>
  <c r="AC525" i="1"/>
  <c r="W525" i="1"/>
  <c r="AE466" i="1"/>
  <c r="AC466" i="1"/>
  <c r="W466" i="1"/>
  <c r="AE506" i="1"/>
  <c r="W506" i="1"/>
  <c r="AC506" i="1"/>
  <c r="AE460" i="1"/>
  <c r="AC460" i="1"/>
  <c r="W460" i="1"/>
  <c r="AE449" i="1"/>
  <c r="AC449" i="1"/>
  <c r="W449" i="1"/>
  <c r="W428" i="1"/>
  <c r="AE428" i="1"/>
  <c r="AC428" i="1"/>
  <c r="AE427" i="1"/>
  <c r="AC427" i="1"/>
  <c r="W427" i="1"/>
  <c r="AC405" i="1"/>
  <c r="W405" i="1"/>
  <c r="AE405" i="1"/>
  <c r="AE394" i="1"/>
  <c r="AC394" i="1"/>
  <c r="W394" i="1"/>
  <c r="AC343" i="1"/>
  <c r="W343" i="1"/>
  <c r="AE343" i="1"/>
  <c r="W350" i="1"/>
  <c r="AE350" i="1"/>
  <c r="AC350" i="1"/>
  <c r="W395" i="1"/>
  <c r="AE395" i="1"/>
  <c r="AC395" i="1"/>
  <c r="AE277" i="1"/>
  <c r="AC277" i="1"/>
  <c r="W277" i="1"/>
  <c r="AC297" i="1"/>
  <c r="W297" i="1"/>
  <c r="AE297" i="1"/>
  <c r="W305" i="1"/>
  <c r="AE305" i="1"/>
  <c r="AC305" i="1"/>
  <c r="AE308" i="1"/>
  <c r="AC308" i="1"/>
  <c r="W308" i="1"/>
  <c r="AE227" i="1"/>
  <c r="AC227" i="1"/>
  <c r="W227" i="1"/>
  <c r="AE234" i="1"/>
  <c r="AC234" i="1"/>
  <c r="W234" i="1"/>
  <c r="W194" i="1"/>
  <c r="AE219" i="1"/>
  <c r="W219" i="1"/>
  <c r="AC219" i="1"/>
  <c r="AE149" i="1"/>
  <c r="AC149" i="1"/>
  <c r="W149" i="1"/>
  <c r="U137" i="1"/>
  <c r="AE98" i="1"/>
  <c r="AC98" i="1"/>
  <c r="W98" i="1"/>
  <c r="V46" i="1"/>
  <c r="U46" i="1"/>
  <c r="V89" i="1"/>
  <c r="U89" i="1"/>
  <c r="AE519" i="1"/>
  <c r="AC519" i="1"/>
  <c r="W519" i="1"/>
  <c r="W238" i="1"/>
  <c r="AE238" i="1"/>
  <c r="AC238" i="1"/>
  <c r="AE239" i="1"/>
  <c r="AC239" i="1"/>
  <c r="W239" i="1"/>
  <c r="AE133" i="1"/>
  <c r="AC133" i="1"/>
  <c r="W133" i="1"/>
  <c r="W499" i="1"/>
  <c r="AE499" i="1"/>
  <c r="AC499" i="1"/>
  <c r="AC438" i="1"/>
  <c r="W438" i="1"/>
  <c r="AE438" i="1"/>
  <c r="W440" i="1"/>
  <c r="AE440" i="1"/>
  <c r="AC440" i="1"/>
  <c r="W493" i="1"/>
  <c r="AE493" i="1"/>
  <c r="AC493" i="1"/>
  <c r="AE447" i="1"/>
  <c r="AC447" i="1"/>
  <c r="W447" i="1"/>
  <c r="AE418" i="1"/>
  <c r="AC418" i="1"/>
  <c r="W418" i="1"/>
  <c r="V393" i="1"/>
  <c r="U393" i="1"/>
  <c r="AE340" i="1"/>
  <c r="AC340" i="1"/>
  <c r="W340" i="1"/>
  <c r="AC311" i="1"/>
  <c r="AE311" i="1"/>
  <c r="W311" i="1"/>
  <c r="AE289" i="1"/>
  <c r="AC289" i="1"/>
  <c r="W289" i="1"/>
  <c r="AC286" i="1"/>
  <c r="AE286" i="1"/>
  <c r="W286" i="1"/>
  <c r="W294" i="1"/>
  <c r="AC294" i="1"/>
  <c r="AE294" i="1"/>
  <c r="AE304" i="1"/>
  <c r="AC304" i="1"/>
  <c r="W304" i="1"/>
  <c r="V202" i="1"/>
  <c r="U202" i="1"/>
  <c r="V150" i="1"/>
  <c r="U150" i="1"/>
  <c r="V196" i="1"/>
  <c r="AF196" i="1"/>
  <c r="AG196" i="1" s="1"/>
  <c r="W216" i="1"/>
  <c r="AE216" i="1"/>
  <c r="AC216" i="1"/>
  <c r="AC96" i="1"/>
  <c r="W96" i="1"/>
  <c r="AE96" i="1"/>
  <c r="AC55" i="1"/>
  <c r="W55" i="1"/>
  <c r="AE55" i="1"/>
  <c r="AC66" i="1"/>
  <c r="W66" i="1"/>
  <c r="AE66" i="1"/>
  <c r="W445" i="1"/>
  <c r="AE445" i="1"/>
  <c r="AC445" i="1"/>
  <c r="W461" i="1"/>
  <c r="AE461" i="1"/>
  <c r="AC461" i="1"/>
  <c r="AE467" i="1"/>
  <c r="AC467" i="1"/>
  <c r="W467" i="1"/>
  <c r="V425" i="1"/>
  <c r="U425" i="1"/>
  <c r="W523" i="1"/>
  <c r="AE523" i="1"/>
  <c r="AC523" i="1"/>
  <c r="AE402" i="1"/>
  <c r="AC402" i="1"/>
  <c r="W402" i="1"/>
  <c r="W407" i="1"/>
  <c r="AE407" i="1"/>
  <c r="AC407" i="1"/>
  <c r="AE344" i="1"/>
  <c r="AC344" i="1"/>
  <c r="W344" i="1"/>
  <c r="W321" i="1"/>
  <c r="AE321" i="1"/>
  <c r="AC321" i="1"/>
  <c r="V236" i="1"/>
  <c r="U236" i="1"/>
  <c r="W221" i="1"/>
  <c r="AE221" i="1"/>
  <c r="AC221" i="1"/>
  <c r="W235" i="1"/>
  <c r="AE235" i="1"/>
  <c r="AC241" i="1"/>
  <c r="W241" i="1"/>
  <c r="AE241" i="1"/>
  <c r="AE198" i="1"/>
  <c r="AC198" i="1"/>
  <c r="W198" i="1"/>
  <c r="V145" i="1"/>
  <c r="U145" i="1"/>
  <c r="V159" i="1"/>
  <c r="U159" i="1"/>
  <c r="AC88" i="1"/>
  <c r="AE88" i="1"/>
  <c r="W88" i="1"/>
  <c r="AE57" i="1"/>
  <c r="AC57" i="1"/>
  <c r="W57" i="1"/>
  <c r="AE316" i="1"/>
  <c r="AC316" i="1"/>
  <c r="W316" i="1"/>
  <c r="V517" i="1"/>
  <c r="U517" i="1"/>
  <c r="W469" i="1"/>
  <c r="AE469" i="1"/>
  <c r="AC469" i="1"/>
  <c r="W399" i="1"/>
  <c r="AE399" i="1"/>
  <c r="AC399" i="1"/>
  <c r="AE414" i="1"/>
  <c r="AC414" i="1"/>
  <c r="W414" i="1"/>
  <c r="W422" i="1"/>
  <c r="AE422" i="1"/>
  <c r="AC422" i="1"/>
  <c r="AE337" i="1"/>
  <c r="W337" i="1"/>
  <c r="AC337" i="1"/>
  <c r="AE374" i="1"/>
  <c r="AC374" i="1"/>
  <c r="W374" i="1"/>
  <c r="W387" i="1"/>
  <c r="AE387" i="1"/>
  <c r="AC387" i="1"/>
  <c r="AE349" i="1"/>
  <c r="W349" i="1"/>
  <c r="AC349" i="1"/>
  <c r="AC276" i="1"/>
  <c r="AE276" i="1"/>
  <c r="W276" i="1"/>
  <c r="AC293" i="1"/>
  <c r="W293" i="1"/>
  <c r="AE293" i="1"/>
  <c r="AE273" i="1"/>
  <c r="AC273" i="1"/>
  <c r="W273" i="1"/>
  <c r="W215" i="1"/>
  <c r="AC215" i="1"/>
  <c r="W309" i="1"/>
  <c r="AE309" i="1"/>
  <c r="AC309" i="1"/>
  <c r="AE215" i="1"/>
  <c r="V186" i="1"/>
  <c r="U186" i="1"/>
  <c r="W180" i="1"/>
  <c r="AE180" i="1"/>
  <c r="AC180" i="1"/>
  <c r="AC158" i="1"/>
  <c r="W158" i="1"/>
  <c r="AE158" i="1"/>
  <c r="W178" i="1"/>
  <c r="AE178" i="1"/>
  <c r="AC178" i="1"/>
  <c r="V125" i="1"/>
  <c r="U125" i="1"/>
  <c r="U93" i="1"/>
  <c r="V93" i="1"/>
  <c r="U95" i="1"/>
  <c r="V95" i="1"/>
  <c r="AE99" i="1"/>
  <c r="AC99" i="1"/>
  <c r="W99" i="1"/>
  <c r="V87" i="1"/>
  <c r="U87" i="1"/>
  <c r="U148" i="1"/>
  <c r="V148" i="1"/>
  <c r="AE452" i="1"/>
  <c r="W464" i="1"/>
  <c r="AE464" i="1"/>
  <c r="AC464" i="1"/>
  <c r="AC522" i="1"/>
  <c r="W522" i="1"/>
  <c r="AE522" i="1"/>
  <c r="AC424" i="1"/>
  <c r="AE424" i="1"/>
  <c r="W424" i="1"/>
  <c r="W400" i="1"/>
  <c r="AE400" i="1"/>
  <c r="AC400" i="1"/>
  <c r="W383" i="1"/>
  <c r="AC383" i="1"/>
  <c r="AE383" i="1"/>
  <c r="V384" i="1"/>
  <c r="U384" i="1"/>
  <c r="AE320" i="1"/>
  <c r="AC320" i="1"/>
  <c r="W320" i="1"/>
  <c r="AC295" i="1"/>
  <c r="W295" i="1"/>
  <c r="AE295" i="1"/>
  <c r="AE275" i="1"/>
  <c r="AC275" i="1"/>
  <c r="W275" i="1"/>
  <c r="U153" i="1"/>
  <c r="V153" i="1"/>
  <c r="AE253" i="1"/>
  <c r="AC253" i="1"/>
  <c r="W253" i="1"/>
  <c r="W228" i="1"/>
  <c r="AE228" i="1"/>
  <c r="AC228" i="1"/>
  <c r="AE179" i="1"/>
  <c r="AC179" i="1"/>
  <c r="W179" i="1"/>
  <c r="AC131" i="1"/>
  <c r="W131" i="1"/>
  <c r="AE131" i="1"/>
  <c r="U97" i="1"/>
  <c r="V97" i="1"/>
  <c r="W166" i="1"/>
  <c r="AE166" i="1"/>
  <c r="AC166" i="1"/>
  <c r="AE79" i="1"/>
  <c r="W79" i="1"/>
  <c r="AC79" i="1"/>
  <c r="AC284" i="1"/>
  <c r="AE284" i="1"/>
  <c r="W284" i="1"/>
  <c r="W505" i="1"/>
  <c r="AE505" i="1"/>
  <c r="AC505" i="1"/>
  <c r="AE471" i="1"/>
  <c r="AC471" i="1"/>
  <c r="W471" i="1"/>
  <c r="V510" i="1"/>
  <c r="U510" i="1"/>
  <c r="AE501" i="1"/>
  <c r="AC501" i="1"/>
  <c r="W501" i="1"/>
  <c r="AE435" i="1"/>
  <c r="AC435" i="1"/>
  <c r="W435" i="1"/>
  <c r="AE465" i="1"/>
  <c r="AC465" i="1"/>
  <c r="W465" i="1"/>
  <c r="AE420" i="1"/>
  <c r="AC420" i="1"/>
  <c r="W420" i="1"/>
  <c r="AC358" i="1"/>
  <c r="W358" i="1"/>
  <c r="AE358" i="1"/>
  <c r="V381" i="1"/>
  <c r="U381" i="1"/>
  <c r="V372" i="1"/>
  <c r="U372" i="1"/>
  <c r="AE336" i="1"/>
  <c r="AC336" i="1"/>
  <c r="W336" i="1"/>
  <c r="W243" i="1"/>
  <c r="AE243" i="1"/>
  <c r="AC243" i="1"/>
  <c r="AE285" i="1"/>
  <c r="AC285" i="1"/>
  <c r="W285" i="1"/>
  <c r="AE307" i="1"/>
  <c r="AC307" i="1"/>
  <c r="W307" i="1"/>
  <c r="V261" i="1"/>
  <c r="U261" i="1"/>
  <c r="AC292" i="1"/>
  <c r="AE292" i="1"/>
  <c r="W292" i="1"/>
  <c r="AC211" i="1"/>
  <c r="W211" i="1"/>
  <c r="AE211" i="1"/>
  <c r="AE231" i="1"/>
  <c r="AC231" i="1"/>
  <c r="W231" i="1"/>
  <c r="AC154" i="1"/>
  <c r="W154" i="1"/>
  <c r="AE154" i="1"/>
  <c r="AE155" i="1"/>
  <c r="W155" i="1"/>
  <c r="AC155" i="1"/>
  <c r="AE174" i="1"/>
  <c r="AC174" i="1"/>
  <c r="W174" i="1"/>
  <c r="W132" i="1"/>
  <c r="AE132" i="1"/>
  <c r="AC132" i="1"/>
  <c r="AE146" i="1"/>
  <c r="AC146" i="1"/>
  <c r="W146" i="1"/>
  <c r="AC86" i="1"/>
  <c r="AE86" i="1"/>
  <c r="W86" i="1"/>
  <c r="AE332" i="1"/>
  <c r="AC332" i="1"/>
  <c r="W332" i="1"/>
  <c r="W488" i="1"/>
  <c r="AE488" i="1"/>
  <c r="AC488" i="1"/>
  <c r="AE487" i="1"/>
  <c r="AC487" i="1"/>
  <c r="W487" i="1"/>
  <c r="W412" i="1"/>
  <c r="AE412" i="1"/>
  <c r="AC412" i="1"/>
  <c r="W433" i="1"/>
  <c r="AC433" i="1"/>
  <c r="AE433" i="1"/>
  <c r="W376" i="1"/>
  <c r="AE376" i="1"/>
  <c r="AC376" i="1"/>
  <c r="AE325" i="1"/>
  <c r="W325" i="1"/>
  <c r="AC325" i="1"/>
  <c r="AE357" i="1"/>
  <c r="AC357" i="1"/>
  <c r="W357" i="1"/>
  <c r="AE257" i="1"/>
  <c r="AC257" i="1"/>
  <c r="W257" i="1"/>
  <c r="W313" i="1"/>
  <c r="AE313" i="1"/>
  <c r="AC313" i="1"/>
  <c r="AE283" i="1"/>
  <c r="AC283" i="1"/>
  <c r="W283" i="1"/>
  <c r="AE281" i="1"/>
  <c r="AC281" i="1"/>
  <c r="W281" i="1"/>
  <c r="W212" i="1"/>
  <c r="AE212" i="1"/>
  <c r="AC212" i="1"/>
  <c r="V160" i="1"/>
  <c r="AF160" i="1"/>
  <c r="AG160" i="1" s="1"/>
  <c r="AC248" i="1"/>
  <c r="W248" i="1"/>
  <c r="AE248" i="1"/>
  <c r="AE223" i="1"/>
  <c r="AC223" i="1"/>
  <c r="W223" i="1"/>
  <c r="AC288" i="1"/>
  <c r="W288" i="1"/>
  <c r="AE288" i="1"/>
  <c r="AE152" i="1"/>
  <c r="AE246" i="1"/>
  <c r="AC246" i="1"/>
  <c r="W246" i="1"/>
  <c r="V151" i="1"/>
  <c r="U151" i="1"/>
  <c r="W171" i="1"/>
  <c r="AE171" i="1"/>
  <c r="AC171" i="1"/>
  <c r="AE119" i="1"/>
  <c r="AC119" i="1"/>
  <c r="W119" i="1"/>
  <c r="V85" i="1"/>
  <c r="U85" i="1"/>
  <c r="AC71" i="1"/>
  <c r="W71" i="1"/>
  <c r="AE71" i="1"/>
  <c r="AE61" i="1"/>
  <c r="AC61" i="1"/>
  <c r="W61" i="1"/>
  <c r="W118" i="1" l="1"/>
  <c r="AC118" i="1"/>
  <c r="AC411" i="1"/>
  <c r="AE380" i="1"/>
  <c r="AE411" i="1"/>
  <c r="AC230" i="1"/>
  <c r="W452" i="1"/>
  <c r="W218" i="1"/>
  <c r="W341" i="1"/>
  <c r="AE218" i="1"/>
  <c r="AC341" i="1"/>
  <c r="W152" i="1"/>
  <c r="AC364" i="1"/>
  <c r="W359" i="1"/>
  <c r="W470" i="1"/>
  <c r="AC368" i="1"/>
  <c r="AC470" i="1"/>
  <c r="AE161" i="1"/>
  <c r="AC391" i="1"/>
  <c r="AC413" i="1"/>
  <c r="W161" i="1"/>
  <c r="W368" i="1"/>
  <c r="W380" i="1"/>
  <c r="W391" i="1"/>
  <c r="AE359" i="1"/>
  <c r="AC194" i="1"/>
  <c r="AE375" i="1"/>
  <c r="AC375" i="1"/>
  <c r="W513" i="1"/>
  <c r="AC513" i="1"/>
  <c r="AC136" i="1"/>
  <c r="AE136" i="1"/>
  <c r="W163" i="1"/>
  <c r="AE163" i="1"/>
  <c r="AC163" i="1"/>
  <c r="AC333" i="1"/>
  <c r="W497" i="1"/>
  <c r="AE333" i="1"/>
  <c r="AE497" i="1"/>
  <c r="AE245" i="1"/>
  <c r="AC245" i="1"/>
  <c r="AE413" i="1"/>
  <c r="W230" i="1"/>
  <c r="AC192" i="1"/>
  <c r="AE82" i="1"/>
  <c r="W82" i="1"/>
  <c r="AE392" i="1"/>
  <c r="W444" i="1"/>
  <c r="AE415" i="1"/>
  <c r="AC415" i="1"/>
  <c r="W415" i="1"/>
  <c r="W392" i="1"/>
  <c r="W185" i="1"/>
  <c r="AC185" i="1"/>
  <c r="AE185" i="1"/>
  <c r="W416" i="1"/>
  <c r="AE416" i="1"/>
  <c r="AC416" i="1"/>
  <c r="W423" i="1"/>
  <c r="AE83" i="1"/>
  <c r="AC83" i="1"/>
  <c r="W83" i="1"/>
  <c r="AC197" i="1"/>
  <c r="AE197" i="1"/>
  <c r="W197" i="1"/>
  <c r="AE222" i="1"/>
  <c r="AC222" i="1"/>
  <c r="W222" i="1"/>
  <c r="AE454" i="1"/>
  <c r="AC454" i="1"/>
  <c r="W454" i="1"/>
  <c r="AE203" i="1"/>
  <c r="W203" i="1"/>
  <c r="AC203" i="1"/>
  <c r="AC209" i="1"/>
  <c r="W209" i="1"/>
  <c r="AE209" i="1"/>
  <c r="AE458" i="1"/>
  <c r="AC458" i="1"/>
  <c r="W458" i="1"/>
  <c r="AE258" i="1"/>
  <c r="AC258" i="1"/>
  <c r="W258" i="1"/>
  <c r="AC521" i="1"/>
  <c r="AE521" i="1"/>
  <c r="W521" i="1"/>
  <c r="W455" i="1"/>
  <c r="AC455" i="1"/>
  <c r="AE455" i="1"/>
  <c r="AE157" i="1"/>
  <c r="AC157" i="1"/>
  <c r="W157" i="1"/>
  <c r="AE480" i="1"/>
  <c r="W480" i="1"/>
  <c r="AC480" i="1"/>
  <c r="AE489" i="1"/>
  <c r="AC489" i="1"/>
  <c r="W489" i="1"/>
  <c r="W401" i="1"/>
  <c r="AE401" i="1"/>
  <c r="AC401" i="1"/>
  <c r="AC58" i="1"/>
  <c r="AE58" i="1"/>
  <c r="W58" i="1"/>
  <c r="AC442" i="1"/>
  <c r="AE442" i="1"/>
  <c r="W442" i="1"/>
  <c r="AC164" i="1"/>
  <c r="W164" i="1"/>
  <c r="AE164" i="1"/>
  <c r="AC207" i="1"/>
  <c r="AE207" i="1"/>
  <c r="W207" i="1"/>
  <c r="AC252" i="1"/>
  <c r="AE252" i="1"/>
  <c r="W252" i="1"/>
  <c r="AE353" i="1"/>
  <c r="AC353" i="1"/>
  <c r="W353" i="1"/>
  <c r="AE496" i="1"/>
  <c r="AC496" i="1"/>
  <c r="W496" i="1"/>
  <c r="AC189" i="1"/>
  <c r="AE189" i="1"/>
  <c r="W189" i="1"/>
  <c r="AE485" i="1"/>
  <c r="W485" i="1"/>
  <c r="AC485" i="1"/>
  <c r="W516" i="1"/>
  <c r="AE516" i="1"/>
  <c r="AC516" i="1"/>
  <c r="W404" i="1"/>
  <c r="AE404" i="1"/>
  <c r="AC404" i="1"/>
  <c r="AE46" i="1"/>
  <c r="AC46" i="1"/>
  <c r="W46" i="1"/>
  <c r="AE475" i="1"/>
  <c r="AC475" i="1"/>
  <c r="W475" i="1"/>
  <c r="AC205" i="1"/>
  <c r="AE205" i="1"/>
  <c r="W205" i="1"/>
  <c r="W97" i="1"/>
  <c r="AC97" i="1"/>
  <c r="AE97" i="1"/>
  <c r="AE384" i="1"/>
  <c r="AC384" i="1"/>
  <c r="W384" i="1"/>
  <c r="AE425" i="1"/>
  <c r="AC425" i="1"/>
  <c r="W425" i="1"/>
  <c r="AC260" i="1"/>
  <c r="W260" i="1"/>
  <c r="AE260" i="1"/>
  <c r="AE484" i="1"/>
  <c r="AC484" i="1"/>
  <c r="W484" i="1"/>
  <c r="AE87" i="1"/>
  <c r="AC87" i="1"/>
  <c r="W87" i="1"/>
  <c r="AE186" i="1"/>
  <c r="AC186" i="1"/>
  <c r="W186" i="1"/>
  <c r="W73" i="1"/>
  <c r="AC73" i="1"/>
  <c r="AE73" i="1"/>
  <c r="AE472" i="1"/>
  <c r="AC472" i="1"/>
  <c r="W472" i="1"/>
  <c r="W517" i="1"/>
  <c r="AE517" i="1"/>
  <c r="AC517" i="1"/>
  <c r="AC202" i="1"/>
  <c r="AE202" i="1"/>
  <c r="W202" i="1"/>
  <c r="AE72" i="1"/>
  <c r="AC72" i="1"/>
  <c r="W72" i="1"/>
  <c r="AE143" i="1"/>
  <c r="W143" i="1"/>
  <c r="AC143" i="1"/>
  <c r="AC137" i="1"/>
  <c r="W137" i="1"/>
  <c r="AE137" i="1"/>
  <c r="W236" i="1"/>
  <c r="AE236" i="1"/>
  <c r="AC236" i="1"/>
  <c r="AE85" i="1"/>
  <c r="AC85" i="1"/>
  <c r="W85" i="1"/>
  <c r="AE261" i="1"/>
  <c r="AC261" i="1"/>
  <c r="W261" i="1"/>
  <c r="AC510" i="1"/>
  <c r="W510" i="1"/>
  <c r="AE510" i="1"/>
  <c r="AE91" i="1"/>
  <c r="AC91" i="1"/>
  <c r="W91" i="1"/>
  <c r="AC195" i="1"/>
  <c r="AE195" i="1"/>
  <c r="W195" i="1"/>
  <c r="AE363" i="1"/>
  <c r="AC363" i="1"/>
  <c r="W363" i="1"/>
  <c r="AE148" i="1"/>
  <c r="AC148" i="1"/>
  <c r="W148" i="1"/>
  <c r="W196" i="1"/>
  <c r="AE196" i="1"/>
  <c r="AC196" i="1"/>
  <c r="AC204" i="1"/>
  <c r="W204" i="1"/>
  <c r="AE204" i="1"/>
  <c r="AE372" i="1"/>
  <c r="AC372" i="1"/>
  <c r="W372" i="1"/>
  <c r="AE54" i="1"/>
  <c r="AC54" i="1"/>
  <c r="W54" i="1"/>
  <c r="AE125" i="1"/>
  <c r="AC125" i="1"/>
  <c r="W125" i="1"/>
  <c r="W159" i="1"/>
  <c r="AE159" i="1"/>
  <c r="AC159" i="1"/>
  <c r="W150" i="1"/>
  <c r="AC150" i="1"/>
  <c r="AE150" i="1"/>
  <c r="AC381" i="1"/>
  <c r="W381" i="1"/>
  <c r="AE381" i="1"/>
  <c r="W95" i="1"/>
  <c r="AE95" i="1"/>
  <c r="AC95" i="1"/>
  <c r="AC393" i="1"/>
  <c r="W393" i="1"/>
  <c r="AE393" i="1"/>
  <c r="AC80" i="1"/>
  <c r="AE80" i="1"/>
  <c r="W80" i="1"/>
  <c r="V78" i="1"/>
  <c r="U78" i="1"/>
  <c r="AC160" i="1"/>
  <c r="W160" i="1"/>
  <c r="AE160" i="1"/>
  <c r="W151" i="1"/>
  <c r="AC151" i="1"/>
  <c r="AE151" i="1"/>
  <c r="W145" i="1"/>
  <c r="AE145" i="1"/>
  <c r="AC145" i="1"/>
  <c r="AC369" i="1"/>
  <c r="W369" i="1"/>
  <c r="AE369" i="1"/>
  <c r="W524" i="1"/>
  <c r="AE524" i="1"/>
  <c r="AC524" i="1"/>
  <c r="AE162" i="1"/>
  <c r="AC162" i="1"/>
  <c r="W162" i="1"/>
  <c r="AE356" i="1"/>
  <c r="W356" i="1"/>
  <c r="AC356" i="1"/>
  <c r="AC153" i="1"/>
  <c r="W153" i="1"/>
  <c r="AE153" i="1"/>
  <c r="W93" i="1"/>
  <c r="AC93" i="1"/>
  <c r="AE93" i="1"/>
  <c r="AE89" i="1"/>
  <c r="AC89" i="1"/>
  <c r="W89" i="1"/>
  <c r="AE74" i="1"/>
  <c r="AC74" i="1"/>
  <c r="W74" i="1"/>
  <c r="AC124" i="1"/>
  <c r="W124" i="1"/>
  <c r="AE124" i="1"/>
  <c r="W78" i="1" l="1"/>
  <c r="AE78" i="1"/>
  <c r="AC78" i="1"/>
</calcChain>
</file>

<file path=xl/sharedStrings.xml><?xml version="1.0" encoding="utf-8"?>
<sst xmlns="http://schemas.openxmlformats.org/spreadsheetml/2006/main" count="8336" uniqueCount="2200">
  <si>
    <t>Основание для заключения
Номер извещения/ распоряжение/ ст. № 44-ФЗ</t>
  </si>
  <si>
    <t>Дата извещения</t>
  </si>
  <si>
    <t>Нормативно-правовой акт, в рамках которого осуществляется централизованная закупка лекарственных препаратов</t>
  </si>
  <si>
    <t>Номер реестровой записи контракта</t>
  </si>
  <si>
    <t>Ссылка на ЕИС</t>
  </si>
  <si>
    <t>Дата заключения контракта</t>
  </si>
  <si>
    <t>№ Контракта</t>
  </si>
  <si>
    <t>Поставщик</t>
  </si>
  <si>
    <t>МНН закупаемого лекарственного препарата</t>
  </si>
  <si>
    <t>НМЦК (руб.)</t>
  </si>
  <si>
    <t>НМЦК (руб.) первый год</t>
  </si>
  <si>
    <t>НМЦК (руб.)   Второй год</t>
  </si>
  <si>
    <t>НМЦК (руб.)   Третий год</t>
  </si>
  <si>
    <t>процентное снижение по протоколу</t>
  </si>
  <si>
    <t>наличие снижения по протоколу</t>
  </si>
  <si>
    <t>цена по протоколу</t>
  </si>
  <si>
    <t>Наличие снижения по контракту</t>
  </si>
  <si>
    <t>цена по контракту на 2024 год</t>
  </si>
  <si>
    <t>цена с учетом ДС к контракту на 2024</t>
  </si>
  <si>
    <t>цена с учетом многолетних ГК</t>
  </si>
  <si>
    <t>Цена за ед. по ТЗ</t>
  </si>
  <si>
    <t>Цена за ед. по ГК</t>
  </si>
  <si>
    <t>Цена за упаковку по ГК</t>
  </si>
  <si>
    <t xml:space="preserve">                                             Количество поставляемого Товара в 2024 году</t>
  </si>
  <si>
    <t xml:space="preserve">            Срок поставки согласно ГК</t>
  </si>
  <si>
    <t>Срок предоставления документов (план.), до</t>
  </si>
  <si>
    <t>субъекты поставки по Кругу добра/COVID</t>
  </si>
  <si>
    <t>Торговое наименование</t>
  </si>
  <si>
    <t>форма выпуска в соответствии с регистрационным удостоверением лекарственного препарата</t>
  </si>
  <si>
    <t>РУ</t>
  </si>
  <si>
    <t>Страна происхождения</t>
  </si>
  <si>
    <t>Доля ЛП отечественного призводства, %</t>
  </si>
  <si>
    <t>Доля ЛП иностранного призводства, %</t>
  </si>
  <si>
    <t>единица измерения</t>
  </si>
  <si>
    <t>Количество единиц измерения во вторичной упаковке</t>
  </si>
  <si>
    <t xml:space="preserve">                         Обеспечение исп. ГК</t>
  </si>
  <si>
    <t>статус исполнения Контракта</t>
  </si>
  <si>
    <t>общеее Количество</t>
  </si>
  <si>
    <t>I</t>
  </si>
  <si>
    <t>II</t>
  </si>
  <si>
    <t>III</t>
  </si>
  <si>
    <t>Итого кол-во 2024 дети</t>
  </si>
  <si>
    <t>Итого стоимсть 2024 дети</t>
  </si>
  <si>
    <t>Итого кол-во 2024 взрослые</t>
  </si>
  <si>
    <t>Итого стоимсть 2024 взрослые</t>
  </si>
  <si>
    <t>кол-во упаковок по потребности</t>
  </si>
  <si>
    <t>кол-во целых упаковок</t>
  </si>
  <si>
    <t>форма</t>
  </si>
  <si>
    <t>%</t>
  </si>
  <si>
    <t>сумма</t>
  </si>
  <si>
    <t>0873400003922000002</t>
  </si>
  <si>
    <t>1970515020222000153</t>
  </si>
  <si>
    <t>https://zakupki.gov.ru/epz/order/notice/ea20/view/common-info.html?regNumber=0873400003922000002</t>
  </si>
  <si>
    <t>0873400003922000002_358372</t>
  </si>
  <si>
    <t>АО "Р-Фарм"</t>
  </si>
  <si>
    <t>Такролимус, капсулы пролонгированного действия 5 мг</t>
  </si>
  <si>
    <t>47 субъектов</t>
  </si>
  <si>
    <t>Адваграф®</t>
  </si>
  <si>
    <t>капсулы пролонгированного действия</t>
  </si>
  <si>
    <t>ЛСР-006205/09</t>
  </si>
  <si>
    <t>Ирландия</t>
  </si>
  <si>
    <t>шт.</t>
  </si>
  <si>
    <t>бг</t>
  </si>
  <si>
    <t>исполнен в части 2023</t>
  </si>
  <si>
    <t>0873400003922000003</t>
  </si>
  <si>
    <t>1970515020222000154</t>
  </si>
  <si>
    <t>https://zakupki.gov.ru/epz/order/notice/ea20/view/common-info.html?regNumber=0873400003922000003</t>
  </si>
  <si>
    <t>0873400003922000003-0001</t>
  </si>
  <si>
    <t>Такролимус, капсулы пролонгированного действия 0,5 мг</t>
  </si>
  <si>
    <t>0873400003922000004</t>
  </si>
  <si>
    <t>1970515020222000155</t>
  </si>
  <si>
    <t>https://zakupki.gov.ru/epz/order/notice/ea20/view/common-info.html?regNumber=0873400003922000004</t>
  </si>
  <si>
    <t>0873400003922000004-0001</t>
  </si>
  <si>
    <t>Такролимус, капсулы пролонгированного действия 1 мг</t>
  </si>
  <si>
    <t>0873400003922000279 </t>
  </si>
  <si>
    <t>1970515020222000333</t>
  </si>
  <si>
    <t>https://zakupki.gov.ru/epz/order/notice/ea20/view/common-info.html?regNumber=0873400003922000279</t>
  </si>
  <si>
    <t>0873400003922000279-0001</t>
  </si>
  <si>
    <t>Ритуксимаб, концентрат для приготовления раствора для инфузий,10  мг/мл,  10  мл</t>
  </si>
  <si>
    <t>Реддитукс®</t>
  </si>
  <si>
    <t>концентрат для приготовления раствора для инфузий, 
10 мг/мл (флакон) 10 мл х 1 (пачка картонная)</t>
  </si>
  <si>
    <t>ЛП-003584</t>
  </si>
  <si>
    <t>Россия</t>
  </si>
  <si>
    <t>мл</t>
  </si>
  <si>
    <t>0873400003922000285 </t>
  </si>
  <si>
    <t>1970515020222000316</t>
  </si>
  <si>
    <t>https://zakupki.gov.ru/epz/order/notice/ea20/view/common-info.html?regNumber=0873400003922000285</t>
  </si>
  <si>
    <t>0873400003922000285-0001</t>
  </si>
  <si>
    <t>АО "Фармимэкс"</t>
  </si>
  <si>
    <t>Эфмороктоког альфа, лиофилизат для приготовления раствора для внутривенного введения, 1500МЕ</t>
  </si>
  <si>
    <t>60 118 200,00</t>
  </si>
  <si>
    <t>ЭЛОКТЕЙТ</t>
  </si>
  <si>
    <t>[лиофилизат для приготовления раствора для внутривенного введения, 1500 МЕ (флакон) х1 + растворитель (шприц) 3 мл х1 + шток поршня х1 + адаптер для флакона х1 + инфузионный набор х1 + спиртовые салфетки х2 + пластырь х 2 + марлевая салфетка х1] х 1 (пачка картонная)</t>
  </si>
  <si>
    <t>ЛП-006034</t>
  </si>
  <si>
    <t>Германия</t>
  </si>
  <si>
    <t>МЕ</t>
  </si>
  <si>
    <t>нг</t>
  </si>
  <si>
    <t>исполнен</t>
  </si>
  <si>
    <t>0873400003922000286</t>
  </si>
  <si>
    <t>1970515020222000317</t>
  </si>
  <si>
    <t>https://zakupki.gov.ru/epz/order/notice/ea20/view/common-info.html?regNumber=0873400003922000286</t>
  </si>
  <si>
    <t>0873400003922000286-0001</t>
  </si>
  <si>
    <t>Эфмороктоког альфа, лиофилизат для приготовления раствора для внутривенного введения, 500МЕ</t>
  </si>
  <si>
    <t>[лиофилизат для приготовления раствора для внутривенного введения, 500 МЕ (флакон) х1 + растворитель (шприц) 3 мл х1 + шток поршня х1 + адаптер для флакона х1 + инфузионный набор х1 + спиртовые салфетки х2 + пластырь х 2 + марлевая салфетка х1] х 1 (пачка картонная)</t>
  </si>
  <si>
    <t>0873400003922000287</t>
  </si>
  <si>
    <t>1970515020222000323</t>
  </si>
  <si>
    <t>https://zakupki.gov.ru/epz/order/notice/ea20/view/common-info.html?regNumber=0873400003922000287</t>
  </si>
  <si>
    <t>0873400003922000287-0001</t>
  </si>
  <si>
    <t xml:space="preserve">Эфмороктоког альфа, лиофилизат  для  приготовления  раствора  для  внутривенного  введения, 1000МЕ </t>
  </si>
  <si>
    <t>[лиофилизат для приготовления раствора для внутривенного введения, 1000 МЕ (флакон) х 1 + растворитель (шприц) 3 мл х 1 + шток поршня х 1 + адаптер для флакона х 1 + инфузионный набор х 1 + спиртовые салфетки х 2 + пластырь х 2 + марлевая салфетка х 1] х 1 (пачка картонная)</t>
  </si>
  <si>
    <t>0873400003922000288</t>
  </si>
  <si>
    <t>1970515020222000331</t>
  </si>
  <si>
    <t>https://zakupki.gov.ru/epz/order/notice/ea20/view/common-info.html?regNumber=0873400003922000288</t>
  </si>
  <si>
    <t>0873400003922000288-0001</t>
  </si>
  <si>
    <t>АО "Биокад"</t>
  </si>
  <si>
    <t>Глатирамера ацетат, раствор для подкожного введения, 40 мг/мл</t>
  </si>
  <si>
    <t>39 460 017,24</t>
  </si>
  <si>
    <t>Тимексон®</t>
  </si>
  <si>
    <t>[раствор для подкожного введения, 40 мг/мл (шприц) 1 мл х 6 + салфетка спиртовая х 6] х 1 (пачка картонная)</t>
  </si>
  <si>
    <t>ЛП-005103</t>
  </si>
  <si>
    <t>0873400003922000293</t>
  </si>
  <si>
    <t>1970515020222000334</t>
  </si>
  <si>
    <t>https://zakupki.gov.ru/epz/order/notice/ea20/view/common-info.html?regNumber=0873400003922000293</t>
  </si>
  <si>
    <t>0873400003922000293-0001</t>
  </si>
  <si>
    <t>Ритуксимаб, концентрат для приготовления раствора для инфузий, 10 мг/мл</t>
  </si>
  <si>
    <t>1. Ацеллбия®;
2. Ацеллбия®.</t>
  </si>
  <si>
    <t>1. концентрат для приготовления раствора для инфузий, 10 мг/мл (флакон) 50 мл х 1 (пачка картонная);
2.  концентрат для приготовления раствора для инфузий, 10 мг/мл (флакон) 10 мл х 2 (пачка картонная).</t>
  </si>
  <si>
    <t>1. ЛП-002420;
2. ЛП-002420.</t>
  </si>
  <si>
    <t>50
20</t>
  </si>
  <si>
    <t>0873400003922000295</t>
  </si>
  <si>
    <t>1970515020222000324</t>
  </si>
  <si>
    <t>https://zakupki.gov.ru/epz/order/notice/ea20/view/common-info.html?regNumber=0873400003922000295</t>
  </si>
  <si>
    <t>0873400003922000295-0001</t>
  </si>
  <si>
    <t>Интерферон бета-1а, раствор для подкожного введения, 22 мкг (6 млн. МЕ)</t>
  </si>
  <si>
    <t>Тебериф®</t>
  </si>
  <si>
    <t>[раствор для подкожного введения, 
22 мкг/0.5 мл (шприц) 0.5 мл х 3 + салфетка спиртовая х 3] х 1 (пачка картонная)</t>
  </si>
  <si>
    <t>ЛП-004137</t>
  </si>
  <si>
    <t>0873400003922000300</t>
  </si>
  <si>
    <t>1970515020222000352</t>
  </si>
  <si>
    <t>https://zakupki.gov.ru/epz/order/notice/ea20/view/common-info.html?regNumber=0873400003922000300</t>
  </si>
  <si>
    <t>0873400003922000300-0001</t>
  </si>
  <si>
    <t>АО "Фармстандарт"</t>
  </si>
  <si>
    <t>Кладрибин, таблетки, 10 мг</t>
  </si>
  <si>
    <t xml:space="preserve">1 369 797 000,00	</t>
  </si>
  <si>
    <t xml:space="preserve">717 974 400,00	</t>
  </si>
  <si>
    <t>МАВЕНКЛАД®</t>
  </si>
  <si>
    <t>таблетки, 10 мг (блистер) 1 х 1 (пачка картонная)</t>
  </si>
  <si>
    <t>ЛП-006137</t>
  </si>
  <si>
    <t>Италия</t>
  </si>
  <si>
    <t>0873400003922000301</t>
  </si>
  <si>
    <t>1970515020222000350</t>
  </si>
  <si>
    <t>https://zakupki.gov.ru/epz/order/notice/ea20/view/common-info.html?regNumber=0873400003922000301</t>
  </si>
  <si>
    <t>0873400003922000301-0001</t>
  </si>
  <si>
    <t>Помалидомид, капсулы, 4 м</t>
  </si>
  <si>
    <t xml:space="preserve">1 387 286 299,35	</t>
  </si>
  <si>
    <t xml:space="preserve">694 979 649,00	</t>
  </si>
  <si>
    <t>1. Помалидомид-ТЛ;
2. Иматанго®.</t>
  </si>
  <si>
    <t>1. капсулы, 4 мг (банка) 21 х 1 (пачка картонная);
2. капсулы, 4 мг (контурная ячейковая упаковка) 7 х 3 (пачка картонная).</t>
  </si>
  <si>
    <t>1. ЛП-005891;
2. ЛП-№(000399)-(РГ-RU).</t>
  </si>
  <si>
    <t>0873400003922000307</t>
  </si>
  <si>
    <t>1970515020222000381</t>
  </si>
  <si>
    <t>https://zakupki.gov.ru/epz/order/notice/ea20/view/common-info.html?regNumber=0873400003922000307</t>
  </si>
  <si>
    <t>0873400003922000307-0001</t>
  </si>
  <si>
    <t xml:space="preserve">Интерферон бета-1а, раствор для подкожного введения, 44 мкг (12 млн. МЕ) </t>
  </si>
  <si>
    <t xml:space="preserve">1 209 556 819,20	</t>
  </si>
  <si>
    <t>[раствор для подкожного введения, 
44 мкг/0.5 мл (шприц) 0.5 мл х 3 + салфетка спиртовая х 3] х 1 (пачка картонная)</t>
  </si>
  <si>
    <t>0873400003922000311</t>
  </si>
  <si>
    <t>1970515020222000361</t>
  </si>
  <si>
    <t>https://zakupki.gov.ru/epz/order/notice/ea20/view/common-info.html?regNumber=0873400003922000311</t>
  </si>
  <si>
    <t>0873400003922000311-0001</t>
  </si>
  <si>
    <t>Адалимумаб, раствор для подкожного введения, 100 мг/мл и/или 40 мг/ 0,4 мл</t>
  </si>
  <si>
    <t xml:space="preserve">5 804 396,28	</t>
  </si>
  <si>
    <t>Хумира®</t>
  </si>
  <si>
    <t>[раствор для подкожного введения, 100 мг/мл (шприц) 0.4 мл х 1] х 2 (пачка картонная)</t>
  </si>
  <si>
    <t>ЛП-004593</t>
  </si>
  <si>
    <t>0873400003922000312</t>
  </si>
  <si>
    <t>1970515020222000359</t>
  </si>
  <si>
    <t>https://zakupki.gov.ru/epz/order/notice/ea20/view/common-info.html?regNumber=0873400003922000312</t>
  </si>
  <si>
    <t>0873400003922000312-0001</t>
  </si>
  <si>
    <t>Эфмороктоког альфа, лиофилизат для приготовления раствора для внутривенного введения, 2000МЕ</t>
  </si>
  <si>
    <t xml:space="preserve">133 077 600,00	</t>
  </si>
  <si>
    <t xml:space="preserve">67 241 760,00	</t>
  </si>
  <si>
    <t>[лиофилизат для приготовления раствора для внутривенного введения, 2000 МЕ (флакон) х1 + растворитель (шприц) 3 мл х1 + шток поршня х1 + адаптер для флакона х1 + инфузионный набор х1 + спиртовые салфетки х2 + пластырь х 2 + марлевая салфетка х1] х 1 (пачка картонная)</t>
  </si>
  <si>
    <t>0873400003922000315</t>
  </si>
  <si>
    <t>1970515020222000360</t>
  </si>
  <si>
    <t>https://zakupki.gov.ru/epz/order/notice/ea20/view/common-info.html?regNumber=0873400003922000315</t>
  </si>
  <si>
    <t>0873400003922000315-0001</t>
  </si>
  <si>
    <t>Этанерцепт, раствор для подкожного введения, 50мг/мл</t>
  </si>
  <si>
    <t xml:space="preserve">4 812 012,80	</t>
  </si>
  <si>
    <t>Энбрел®</t>
  </si>
  <si>
    <t>[раствор для подкожного введения, 50 мг/мл (шприц) 1 мл (50 мг) х 4 + салфетка спиртовая х 4] х 1 (пачка картонная)</t>
  </si>
  <si>
    <t>ЛСР-006652/09</t>
  </si>
  <si>
    <t>0873400003922000317</t>
  </si>
  <si>
    <t>1970515020222000362</t>
  </si>
  <si>
    <t>https://zakupki.gov.ru/epz/order/notice/ea20/view/common-info.html?regNumber=0873400003922000317</t>
  </si>
  <si>
    <t>0873400003922000317-0001</t>
  </si>
  <si>
    <t>Помалидомид, капсулы, 2мг</t>
  </si>
  <si>
    <t xml:space="preserve">22 423 472,82	</t>
  </si>
  <si>
    <t>Иматанго®</t>
  </si>
  <si>
    <t>капсулы, 2 мг (контурная ячейковая упаковка) 7 х 3 (пачка картонная)</t>
  </si>
  <si>
    <t>ЛП-№(000399)-(РГ-RU)</t>
  </si>
  <si>
    <t>0873400003922000321</t>
  </si>
  <si>
    <t>1970515020222000382</t>
  </si>
  <si>
    <t>https://zakupki.gov.ru/epz/order/notice/ea20/view/common-info.html?regNumber=0873400003922000321</t>
  </si>
  <si>
    <t>0873400003922000321-0001</t>
  </si>
  <si>
    <t>АО "Центр внедрения "ПРОТЕК"</t>
  </si>
  <si>
    <t>Леналидомид, капсулы 15 мг</t>
  </si>
  <si>
    <t xml:space="preserve">380 839 357,08	</t>
  </si>
  <si>
    <t>1. Леналидомид;
2. МИЕЛАНИКС.</t>
  </si>
  <si>
    <t>1. капсулы, 15 мг (контурная ячейковая упаковка) 7 х 3 (пачка картонная);
2. капсулы, 15.0 мг (банка) 21 х 1 (пачка   картонная)</t>
  </si>
  <si>
    <t>1. ЛП-005745;
2. ЛП-006637.</t>
  </si>
  <si>
    <t>0873400003922000322</t>
  </si>
  <si>
    <t>1970515020222000364</t>
  </si>
  <si>
    <t>https://zakupki.gov.ru/epz/order/notice/ea20/view/common-info.html?regNumber=0873400003922000322</t>
  </si>
  <si>
    <t>0873400003922000322-0001</t>
  </si>
  <si>
    <t>АО "БИОПРЕПАРАТ"</t>
  </si>
  <si>
    <t>Леналидомид, капсулы 5 мг</t>
  </si>
  <si>
    <t xml:space="preserve">30 743 391,84	</t>
  </si>
  <si>
    <t>ЛЕНАЛИДОМИД-ПРОМОМЕД</t>
  </si>
  <si>
    <t>капсулы, 5 мг (банка) 21 х 1 (пачка картонная)</t>
  </si>
  <si>
    <t>ЛП-008107</t>
  </si>
  <si>
    <t>пп</t>
  </si>
  <si>
    <t>0873400003922000323</t>
  </si>
  <si>
    <t>1970515020222000369</t>
  </si>
  <si>
    <t>https://zakupki.gov.ru/epz/order/notice/ea20/view/common-info.html?regNumber=0873400003922000323</t>
  </si>
  <si>
    <t>0873400003922000323-0001</t>
  </si>
  <si>
    <t>ООО "Примафарм"</t>
  </si>
  <si>
    <t xml:space="preserve">Леналидомид, капсулы, 25 мг </t>
  </si>
  <si>
    <t xml:space="preserve">1 645 612 899,84	</t>
  </si>
  <si>
    <t>МИЕЛАНИКС</t>
  </si>
  <si>
    <t>капсулы, 25.0 мг (банка) 21 х 1 (пачка картонная)</t>
  </si>
  <si>
    <t>ЛП-006637</t>
  </si>
  <si>
    <t>0873400003922000326</t>
  </si>
  <si>
    <t>1970515020222000363</t>
  </si>
  <si>
    <t>https://zakupki.gov.ru/epz/order/notice/ea20/view/common-info.html?regNumber=0873400003922000326</t>
  </si>
  <si>
    <t>0873400003922000326-0001</t>
  </si>
  <si>
    <t xml:space="preserve">Леналидомид, капсулы 10 мг </t>
  </si>
  <si>
    <t xml:space="preserve">134 446 372,20	</t>
  </si>
  <si>
    <t>капсулы, 10 мг (банка) 21 х 1 (пачка картонная)</t>
  </si>
  <si>
    <t>0873400003922000334</t>
  </si>
  <si>
    <t>1970515020222000374</t>
  </si>
  <si>
    <t>https://zakupki.gov.ru/epz/order/notice/ea20/view/common-info.html?regNumber=0873400003922000334</t>
  </si>
  <si>
    <t>0873400003922000334-0001</t>
  </si>
  <si>
    <t>Терифлуномид, таблетки, покрытые пленочной оболочкой, 14 мг</t>
  </si>
  <si>
    <t xml:space="preserve">700 075 102,50	</t>
  </si>
  <si>
    <t>Терифлуномид</t>
  </si>
  <si>
    <t>таблетки, покрытые пленочной оболочкой, 14 мг (контурная ячейковая упаковка (блистер)) 14 х 2 (пачка картонная)</t>
  </si>
  <si>
    <t>ЛП-005229</t>
  </si>
  <si>
    <t>0873400003922000367</t>
  </si>
  <si>
    <t>1970515020222000402</t>
  </si>
  <si>
    <t>https://zakupki.gov.ru/epz/order/notice/ea20/view/common-info.html?regNumber=0873400003922000367</t>
  </si>
  <si>
    <t>0873400003922000367-0001</t>
  </si>
  <si>
    <t>АО "БИОКАД"</t>
  </si>
  <si>
    <t>Глатирамера ацетат, раствор для подкожного введения, 20 мг/мл</t>
  </si>
  <si>
    <t xml:space="preserve">380 860 928,00	</t>
  </si>
  <si>
    <t>[раствор для подкожного введения, 20 мг/мл (шприц) 1 мл х 28 + (салфетка спиртовая) х 28] х 1 (пачка картонная)</t>
  </si>
  <si>
    <t>ЛП-003875</t>
  </si>
  <si>
    <t>0873400003922000368 </t>
  </si>
  <si>
    <t>1970515020222000391</t>
  </si>
  <si>
    <t>https://zakupki.gov.ru/epz/order/notice/ea20/view/common-info.html?regNumber=0873400003922000368</t>
  </si>
  <si>
    <t>0873400003922000368 -0001</t>
  </si>
  <si>
    <t>Тоцилизумаб, концентрат для приготовления раствора для инфузий, 20 мг/мл, 10 мл и/или 20 мг/мл, 20 мл</t>
  </si>
  <si>
    <t xml:space="preserve">137 016 230,40	</t>
  </si>
  <si>
    <t>Актемра®</t>
  </si>
  <si>
    <t>концентрат для приготовления раствора для инфузий, 20 мг/мл (флакон) 10 мл (200 мг/10 мл) х 1 (пачка картонная)</t>
  </si>
  <si>
    <t>ЛСР-003012/09</t>
  </si>
  <si>
    <t>Япония</t>
  </si>
  <si>
    <t>0873400003922000371</t>
  </si>
  <si>
    <t>1970515020222000409</t>
  </si>
  <si>
    <t>https://zakupki.gov.ru/epz/order/notice/ea20/view/common-info.html?regNumber=0873400003922000371</t>
  </si>
  <si>
    <t>0873400003922000371-0001</t>
  </si>
  <si>
    <t>ООО "ИРВИН 2"</t>
  </si>
  <si>
    <t>Интерферон бета-1а, лиофилизат для приготовления раствора для внутримышечного введения, 30 мкг</t>
  </si>
  <si>
    <t xml:space="preserve">620 032 406,40	</t>
  </si>
  <si>
    <t>СинноВекс</t>
  </si>
  <si>
    <t>[лиофилизат для приготовления раствора для внутримышечного введения (в комплекте с растворителем), 30 мкг/мл (6 млн. МЕ/мл) (флакон) х 1 + растворитель (шприц) 1 мл х 1 + игла х 2] х 4 (пачка картонная)</t>
  </si>
  <si>
    <t>ЛСР-009100/10</t>
  </si>
  <si>
    <t>Иран</t>
  </si>
  <si>
    <t>мкг</t>
  </si>
  <si>
    <t>0873400003922000383 </t>
  </si>
  <si>
    <t>1970515020222000421</t>
  </si>
  <si>
    <t>https://zakupki.gov.ru/epz/order/notice/ea20/view/common-info.html?regNumber=0873400003922000383</t>
  </si>
  <si>
    <t>0873400003922000383-0001</t>
  </si>
  <si>
    <t>Эфмороктоког альфа, лиофилизат для приготовления раствора для внутривенного введения, 3000 МЕ</t>
  </si>
  <si>
    <t xml:space="preserve">58 559 580,00	</t>
  </si>
  <si>
    <t xml:space="preserve">[лиофилизат для приготовления раствора для внутривенного введения,
3000 МЕ (флакон) х 1 + растворитель (шприц) 3 мл х 1 + шток поршня х1 + адаптер для флакона х1 + инфузионный набор х1 + спиртовые салфетки х2 + пластырь х 2 + марлевая салфетка х1] х 1 (пачка картонная)
</t>
  </si>
  <si>
    <t>0873400003922000384 </t>
  </si>
  <si>
    <t>1970515020222000435</t>
  </si>
  <si>
    <t>https://zakupki.gov.ru/epz/order/notice/ea20/view/common-info.html?regNumber=0873400003922000384</t>
  </si>
  <si>
    <t>0873400003922000384-0001</t>
  </si>
  <si>
    <t>Канакинумаб, раствор для подкожного введения, 150 мг/мл и/или лиофилизат для приготовления раствора для подкожного введения, 150 мг</t>
  </si>
  <si>
    <t xml:space="preserve">661 336 500,00	</t>
  </si>
  <si>
    <t>Иларис®</t>
  </si>
  <si>
    <t>раствор для подкожного введения,
150 мг/мл (флакон) 1 мл х 1 (пачка картонная)</t>
  </si>
  <si>
    <t>ЛП-005320</t>
  </si>
  <si>
    <t>Швейцария</t>
  </si>
  <si>
    <t>мг 
мл</t>
  </si>
  <si>
    <t>0873400003922000395</t>
  </si>
  <si>
    <t>1970515020222000407</t>
  </si>
  <si>
    <t>https://zakupki.gov.ru/epz/order/notice/ea20/view/common-info.html?regNumber=0873400003922000395</t>
  </si>
  <si>
    <t>0873400003922000395-0001</t>
  </si>
  <si>
    <t>Тоцилизумаб, концентрат для приготовления раствора для инфузий, 20 мг/мл, 4 мл </t>
  </si>
  <si>
    <t xml:space="preserve">83 393 186,80	</t>
  </si>
  <si>
    <t xml:space="preserve">48 848 723,00	</t>
  </si>
  <si>
    <t>концентрат для приготовления раствора для инфузий, 20 мг/мл (флакон) 4 мл (80 мг/4 мл) х 1 (пачка картонная)</t>
  </si>
  <si>
    <t>0873400003923000230</t>
  </si>
  <si>
    <t>1970515020223000233</t>
  </si>
  <si>
    <t>https://zakupki.gov.ru/epz/order/notice/ea20/view/common-info.html?regNumber=0873400003923000230</t>
  </si>
  <si>
    <t>0873400003923000230-0001</t>
  </si>
  <si>
    <t>ООО "Нанолек"</t>
  </si>
  <si>
    <t>Вакцина для профилактики дифтерии, столбняка, коклюша, полиомиелита и инфекций, вызываемых Haemophilus influenzae тип b, лиофилизат для приготовления суспензии для внутримышечного введения, в комплекте с суспензией для внутримышечного введения</t>
  </si>
  <si>
    <t xml:space="preserve">3 102 917 592,96	</t>
  </si>
  <si>
    <t>1.Пентаксим® (вакцина для профилактики дифтерии и столбняка адсорбированная, коклюша ацеллюлярная, полиомиелита инактивированная и инфекций, вызываемых Haemophilus influenzae тип b конъюгированная);
2. Пентаксим® (вакцина для профилактики дифтерии и столбняка адсорбированная, коклюша ацеллюлярная, полиомиелита инактивированная и инфекций, вызываемых Haemophilus influenzae тип b конъюгированная).</t>
  </si>
  <si>
    <t>1.	[лиофилизат для приготовления суспензии для внутримышечного введения, 1 доза (флакон) 1 доза х 1 + суспензия для внутримышечного введения, 0.5 мл (шприц + игла) 0.5 мл (1 доза) х 1] х 1 (пачка картонная);
2.	[лиофилизат для приготовления суспензии для внутримышечного введения, 1 доза (флакон) 1 доза х 1 + суспензия для внутримышечного введения, 0.5 мл (шприц + игла) 0.5 мл (1 доза) х 1] х 1 (пачка картонная).</t>
  </si>
  <si>
    <t>1.ЛСР-005121/08;
2.ЛСР-005121/08.</t>
  </si>
  <si>
    <t>Франция</t>
  </si>
  <si>
    <t>доза</t>
  </si>
  <si>
    <t>0873400003923000432</t>
  </si>
  <si>
    <t>1970515020223000410</t>
  </si>
  <si>
    <t>https://zakupki.gov.ru/epz/order/notice/ea20/view/common-info.html?regNumber=0873400003923000432</t>
  </si>
  <si>
    <t>0873400003923000432_358372</t>
  </si>
  <si>
    <t>АО "Ланцет"</t>
  </si>
  <si>
    <t>Тедуглутид, лиофилизат для приготовления раствора для подкожного введения, 5 мг</t>
  </si>
  <si>
    <t>86 субъектов</t>
  </si>
  <si>
    <t>Гэттестив®</t>
  </si>
  <si>
    <t>[лиофилизат для приготовления раствора для подкожного введения, 5 мг (флакон) x 28 + растворитель (шприц) 0.5 мл x 28] x 1 (пачка картонная)</t>
  </si>
  <si>
    <t>ЛП-007112</t>
  </si>
  <si>
    <t>мг</t>
  </si>
  <si>
    <t>исполнен 1 этап</t>
  </si>
  <si>
    <t>0873400003923000436</t>
  </si>
  <si>
    <t>1970515020223000393</t>
  </si>
  <si>
    <t>https://zakupki.gov.ru/epz/order/notice/ea20/view/common-info.html?regNumber=0873400003923000436</t>
  </si>
  <si>
    <t>0873400003923000436_358372</t>
  </si>
  <si>
    <t>Элосульфаза альфа, концентрат для
приготовления раствора для инфузий, 1 мг/мл</t>
  </si>
  <si>
    <t>1. Вимизайм®;
2. Вимизайм®;
3. Вимизайм®.</t>
  </si>
  <si>
    <t>1. концентрат для приготовления раствора для инфузий, 1 мг/мл (флакон) 5 мл х 1 (пачка картонная);
2. концентрат для приготовления раствора для инфузий, 1 мг/мл (флакон) 5 мл х 1 (пачка картонная);
3. концентрат для приготовления раствора для инфузий, 1 мг/мл (флакон) 5 мл х 1 (пачка картонная).</t>
  </si>
  <si>
    <t>1. ЛП-№(001669)-(РГ-RU);
2. ЛП-№(001669)-(РГ-RU);
3. ЛП-№(001669)-(РГ-RU).</t>
  </si>
  <si>
    <t>0873400003923000442</t>
  </si>
  <si>
    <t>1970515020223000399</t>
  </si>
  <si>
    <t>https://zakupki.gov.ru/epz/order/notice/ea20/view/common-info.html?regNumber=0873400003923000442</t>
  </si>
  <si>
    <t>0873400003923000442_358372</t>
  </si>
  <si>
    <t>Аталурен, порошок для приема внутрь, 250 мг</t>
  </si>
  <si>
    <t>1. ТРАНСЛАРНА®;
2. ТРАНСЛАРНА®;
3. ТРАНСЛАРНА®;
4. ТРАНСЛАРНА®;
5. ТРАНСЛАРНА®.</t>
  </si>
  <si>
    <t>1. порошок для приема внутрь, 250 мг (пакетик-саше) 1000 мг х 30 (пачка картонная);
2. порошок для приема внутрь, 250 мг (пакетик-саше) 1000 мг х 30 (пачка картонная);
3. порошок для приема внутрь, 250 мг (пакетик-саше) 1000 мг х 30 (пачка картонная);
4. порошок для приема внутрь, 250 мг (пакетик-саше) 1000 мг х 30 (пачка картонная);
5. порошок для приема внутрь, 250 мг (пакетик-саше) 1000 мг х 30 (пачка картонная).</t>
  </si>
  <si>
    <t>1. ЛП-006596;
2. ЛП-006596;
3. ЛП-006596;
4. ЛП-006596;
5. ЛП-006596.</t>
  </si>
  <si>
    <t>США, Испания</t>
  </si>
  <si>
    <t>г</t>
  </si>
  <si>
    <t>0873400003923000445</t>
  </si>
  <si>
    <t>1970515020223000397</t>
  </si>
  <si>
    <t>https://zakupki.gov.ru/epz/order/notice/ea20/view/common-info.html?regNumber=0873400003923000445</t>
  </si>
  <si>
    <t>0873400003923000445_358372</t>
  </si>
  <si>
    <t>Нусинерсен, раствор для интратекального введения, 2,4 мг/мл</t>
  </si>
  <si>
    <t>1.Спинраза;
2.Спинраза.</t>
  </si>
  <si>
    <t>1.раствор для интратекального введения, 2.4 мг/мл (флакон) 5 мл х 1 (пачка картонная);
2.раствор для интратекального введения, 2.4 мг/мл (флакон) 5 мл х 1 (пачка картонная).</t>
  </si>
  <si>
    <t>1.ЛП-005730;
2.ЛП-005730.</t>
  </si>
  <si>
    <t>0873400003923000446</t>
  </si>
  <si>
    <t>1970515020223000402</t>
  </si>
  <si>
    <t>https://zakupki.gov.ru/epz/order/notice/ea20/view/common-info.html?regNumber=0873400003923000446</t>
  </si>
  <si>
    <t>0873400003923000446_358372</t>
  </si>
  <si>
    <t>ООО "ИРВИН"</t>
  </si>
  <si>
    <t>Рисдиплам, порошок для приготовления раствора для приема внутрь 0,75 мг/мл</t>
  </si>
  <si>
    <t>1.ЭВРИСДИ®;
2.ЭВРИСДИ®.</t>
  </si>
  <si>
    <t>1. [Порошок для приготовления раствора для приема внутрь 0.75 мг/мл (флакон) 2 г х 1 + адаптер х 1 + шприц 6 мл х 2 + шприц 12 мл х 2] х 1 (пачка картонная);
2. [Порошок для приготовления раствора для приема внутрь, 0.75 мг/мл (флакон) 2 г х 1 + адаптер х 1 + шприц 1 мл х 2 + шприц 6 мл х 2 + шприц 12 мл х 1] х 1 (пачка картонная).</t>
  </si>
  <si>
    <t>1. ЛП-006602;
2. ЛП-006602.</t>
  </si>
  <si>
    <t>0873400003923000447</t>
  </si>
  <si>
    <t>1970515020223000396</t>
  </si>
  <si>
    <t>https://zakupki.gov.ru/epz/order/notice/ea20/view/common-info.html?regNumber=0873400003923000447</t>
  </si>
  <si>
    <t>0873400003923000447_358372</t>
  </si>
  <si>
    <t>Асфотаза альфа, раствор для подкожного введения, 100 мг/мл, 0,8 мл</t>
  </si>
  <si>
    <t>1. Стрензик®;
2. Стрензик®.</t>
  </si>
  <si>
    <t>1. раствор для подкожного введения,
100 мг/мл (флакон) 80 мг/0.8 мл х 12 (пачка картонная);
2. раствор для подкожного введения,
100 мг/мл (флакон) 80 мг/0.8 мл х 12 (пачка картонная).</t>
  </si>
  <si>
    <t>1. ЛП-005666;
2. ЛП-005666.</t>
  </si>
  <si>
    <t>0873400003923000450</t>
  </si>
  <si>
    <t>1970515020223000424</t>
  </si>
  <si>
    <t>https://zakupki.gov.ru/epz/order/notice/ea20/view/common-info.html?regNumber=0873400003923000450</t>
  </si>
  <si>
    <t>0873400003923000450_358372</t>
  </si>
  <si>
    <t>Асфотаза альфа, раствор для подкожного введения, 40 мг/мл, 1 мл</t>
  </si>
  <si>
    <t>1. Стрензик®;
2. Стрензик®;
3. Стрензик®;
4. Стрензик®.</t>
  </si>
  <si>
    <t>1. раствор для подкожного введения,
40 мг/мл (флакон) 40 мг/1.0 мл х 12 (пачка картонная);
2. раствор для подкожного введения,
40 мг/мл (флакон) 40 мг/1.0 мл х 12 (пачка картонная);
3. раствор для подкожного введения,
40 мг/мл (флакон) 40 мг/1.0 мл х 12 (пачка картонная);
4. раствор для подкожного введения,
40 мг/мл (флакон) 40 мг/1.0 мл х 12 (пачка картонная).</t>
  </si>
  <si>
    <t>1. ЛП-005666;
2. ЛП-005666;
3. ЛП-005666;
4. ЛП-005666.</t>
  </si>
  <si>
    <t>0873400003923000452</t>
  </si>
  <si>
    <t>1970515020223000422</t>
  </si>
  <si>
    <t>https://zakupki.gov.ru/epz/order/notice/ea20/view/common-info.html?regNumber=0873400003923000452</t>
  </si>
  <si>
    <t>0873400003923000452_358372</t>
  </si>
  <si>
    <t>Селуметиниб, капсулы, 25 мг</t>
  </si>
  <si>
    <t>Коселуго</t>
  </si>
  <si>
    <t>капсулы, 25 мг (флакон) 60 х 1 (пачка картонная)</t>
  </si>
  <si>
    <t>ЛП-007563</t>
  </si>
  <si>
    <t>США</t>
  </si>
  <si>
    <t>шт</t>
  </si>
  <si>
    <t>0873400003923000455</t>
  </si>
  <si>
    <t>1970515020223000414</t>
  </si>
  <si>
    <t>https://zakupki.gov.ru/epz/order/notice/ea20/view/common-info.html?regNumber=0873400003923000455</t>
  </si>
  <si>
    <t>0873400003923000455_358372</t>
  </si>
  <si>
    <t>Канакинумаб, лиофилизат для приготовления раствора для подкожного введения, 150 мг и/или раствор для подкожного введения, 150
мг/мл</t>
  </si>
  <si>
    <t>раствор для подкожного введения, 150 мг/мл (флакон) 1 мл х 1 (пачка картонная)</t>
  </si>
  <si>
    <t>0873400003923000456</t>
  </si>
  <si>
    <t>1970515020223000413</t>
  </si>
  <si>
    <t>https://zakupki.gov.ru/epz/order/notice/ea20/view/common-info.html?regNumber=0873400003923000456</t>
  </si>
  <si>
    <t>0873400003923000456_358372</t>
  </si>
  <si>
    <t>Себелипаза альфа, концентрат для
приготовления раствора для инфузий, 2 мг/мл</t>
  </si>
  <si>
    <t>1. Канума®;
2. Канума®;
3. Канума®;
4. Канума®;
5. Канума®;
6. Канума®;
7. Канума®.</t>
  </si>
  <si>
    <t>1. концентрат для приготовления раствора для инфузий, 2 мг/мл (флакон) 10 мл х 1 (пачка картонная);
2. концентрат для приготовления раствора для инфузий, 2 мг/мл (флакон) 10 мл х 1 (пачка картонная);
3. концентрат для приготовления раствора для инфузий, 2 мг/мл (флакон) 10 мл х 1 (пачка картонная);
4. концентрат для приготовления раствора для инфузий, 2 мг/мл (флакон) 10 мл х 1 (пачка картонная);
5. концентрат для приготовления раствора для инфузий, 2 мг/мл (флакон) 10 мл х 1 (пачка картонная);
6. концентрат для приготовления раствора для инфузий, 2 мг/мл (флакон) 10 мл х 1 (пачка картонная);
7. концентрат для приготовления раствора для инфузий, 2 мг/мл (флакон) 10 мл х 1 (пачка картонная).</t>
  </si>
  <si>
    <t>1. ЛП-004513;
2. ЛП-004513;
3. ЛП-004513;
4. ЛП-004513;
5. ЛП-004513;
6. ЛП-004513;
7. ЛП-004513.</t>
  </si>
  <si>
    <t>Ирландия, Германия, Италия</t>
  </si>
  <si>
    <t>в стадии исполнения</t>
  </si>
  <si>
    <t>0873400003923000460</t>
  </si>
  <si>
    <t>1970515020223000433</t>
  </si>
  <si>
    <t>https://zakupki.gov.ru/epz/order/notice/ea20/view/common-info.html?regNumber=08734000039230004560</t>
  </si>
  <si>
    <t>0873400003923000460_358372</t>
  </si>
  <si>
    <t>Селуметиниб, капсулы, 10 мг</t>
  </si>
  <si>
    <t>капсулы, 10 мг (флакон) 60 х 1  
(пачка картонная)</t>
  </si>
  <si>
    <t>0873400003923000463</t>
  </si>
  <si>
    <t>1970515020223000430</t>
  </si>
  <si>
    <t>https://zakupki.gov.ru/epz/order/notice/ea20/view/common-info.html?regNumber=0873400003923000463</t>
  </si>
  <si>
    <t>0873400003923000463_358372</t>
  </si>
  <si>
    <t>Аталурен, порошок для приема внутрь, 125 мг</t>
  </si>
  <si>
    <t>1. порошок для приема внутрь, 125 мг (пакетик-саше) 500 мг х 30 (пачка картонная);
2. порошок для приема внутрь, 125 мг (пакетик-саше) 500 мг х 30 (пачка картонная);
3. порошок для приема внутрь, 125 мг (пакетик-саше) 500 мг х 30 (пачка картонная);
4. порошок для приема внутрь, 125 мг (пакетик-саше) 500 мг х 30 (пачка картонная);
5. порошок для приема внутрь, 125 мг (пакетик-саше) 500 мг х 30 (пачка картонная).</t>
  </si>
  <si>
    <t>1.ЛП-006596;
2.ЛП-006596;
3.ЛП-006596;
4.ЛП-006596;
5.ЛП-006596.</t>
  </si>
  <si>
    <t>0873400003923000467</t>
  </si>
  <si>
    <t>1970515020223000421</t>
  </si>
  <si>
    <t>https://zakupki.gov.ru/epz/order/notice/ea20/view/common-info.html?regNumber=0873400003923000467</t>
  </si>
  <si>
    <t>0873400003923000467_358372</t>
  </si>
  <si>
    <t xml:space="preserve">Аталурен, порошок для приема внутрь, 1000 мг </t>
  </si>
  <si>
    <t>1. порошок для приема внутрь, 1000 мг (пакетик-саше) 4000 мг х 30 (пачка картонная);
2. порошок для приема внутрь, 1000 мг (пакетик-саше) 4000 мг х 30 (пачка картонная);
3. порошок для приема внутрь, 1000 мг (пакетик-саше) 4000 мг х 30 (пачка картонная);
4. порошок для приема внутрь, 1000 мг (пакетик-саше) 4000 мг х 30 (пачка картонная);
5. порошок для приема внутрь, 1000 мг (пакетик-саше) 4000 мг х 30 (пачка картонная).</t>
  </si>
  <si>
    <t>0873400003923000468</t>
  </si>
  <si>
    <t>1970515020223000401</t>
  </si>
  <si>
    <t>https://zakupki.gov.ru/epz/order/notice/ea20/view/common-info.html?regNumber=0873400003923000468</t>
  </si>
  <si>
    <t>0873400003923000468_358372</t>
  </si>
  <si>
    <t>Селексипаг, таблетки, покрытые пленочной оболочкой, 200 мкг</t>
  </si>
  <si>
    <t>Апбрави</t>
  </si>
  <si>
    <t>таблетки, покрытые пленочной оболочкой, 200 мкг (блистер) 10 х 6 (пачка картонная)</t>
  </si>
  <si>
    <t>ЛП-005577</t>
  </si>
  <si>
    <t>0873400003923000470</t>
  </si>
  <si>
    <t>нет заявок</t>
  </si>
  <si>
    <t>1512 вич</t>
  </si>
  <si>
    <t>https://zakupki.gov.ru/epz/order/notice/ea20/view/common-info.html?regNumber=0873400003923000470</t>
  </si>
  <si>
    <t>Доравирин + Ламивудин + Тенофовир, таблетки, покрытые пленочной оболочкой, 100 мг + 300 мг + 245 мг</t>
  </si>
  <si>
    <t>0873400003923000472</t>
  </si>
  <si>
    <t>1970515020223000423</t>
  </si>
  <si>
    <t>https://zakupki.gov.ru/epz/order/notice/ea20/view/common-info.html?regNumber=0873400003923000472</t>
  </si>
  <si>
    <t>0873400003923000472_358372</t>
  </si>
  <si>
    <t>Эверолимус, таблетки диспергируемые, 5 мг</t>
  </si>
  <si>
    <t>Афинитор®</t>
  </si>
  <si>
    <t>таблетки диспергируемые, 5 мг (блистер) 10 х 3 (пачка картонная)</t>
  </si>
  <si>
    <t>ЛП-002288</t>
  </si>
  <si>
    <t>0873400003923000474</t>
  </si>
  <si>
    <t>1970515020223000425</t>
  </si>
  <si>
    <t>https://zakupki.gov.ru/epz/order/notice/ea20/view/common-info.html?regNumber=0873400003923000474</t>
  </si>
  <si>
    <t>0873400003923000474_358372</t>
  </si>
  <si>
    <t>Селексипаг, таблетки, покрытые пленочной оболочкой, 800 мкг</t>
  </si>
  <si>
    <t>таблетки, покрытые пленочной оболочкой, 800 мкг (блистер) 10 х 6 (пачка картонная)</t>
  </si>
  <si>
    <t>0873400003923000475</t>
  </si>
  <si>
    <t>1970515020223000426</t>
  </si>
  <si>
    <t>https://zakupki.gov.ru/epz/order/notice/ea20/view/common-info.html?regNumber=0873400003923000475</t>
  </si>
  <si>
    <t>0873400003923000475-0001</t>
  </si>
  <si>
    <t>ООО "Фарм-Трэйд"</t>
  </si>
  <si>
    <t>Дарунавир, таблетки, покрытые пленочной оболочкой, 800 мг</t>
  </si>
  <si>
    <t>1. Дарунавир;
2. Дарунавир.</t>
  </si>
  <si>
    <t>1. таблетки, покрытые пленочной оболочкой, 800 мг (банка) 60 х 1 (пачка картонная);
2. таблетки, покрытые пленочной оболочкой, 800 мг (банка) 60 х 1 (пачка картонная).</t>
  </si>
  <si>
    <t>1. ЛП-006293;
2. ЛП-006293.</t>
  </si>
  <si>
    <t>0873400003923000484</t>
  </si>
  <si>
    <t>1970515020223000420</t>
  </si>
  <si>
    <t>https://zakupki.gov.ru/epz/order/notice/ea20/view/common-info.html?regNumber=0873400003923000484</t>
  </si>
  <si>
    <t>0873400003923000484_358372</t>
  </si>
  <si>
    <t>Эверолимус, таблетки диспергируемые, 3 мг</t>
  </si>
  <si>
    <t>таблетки диспергируемые, 3 мг (блистер) 10 х 3 (пачка картонная)</t>
  </si>
  <si>
    <t>0873400003923000485</t>
  </si>
  <si>
    <t>1970515020223000419</t>
  </si>
  <si>
    <t>https://zakupki.gov.ru/epz/order/notice/ea20/view/common-info.html?regNumber=0873400003923000485</t>
  </si>
  <si>
    <t>0873400003923000485_358372</t>
  </si>
  <si>
    <t>Ланаделумаб, раствор для подкожного
введения, 150 мг/мл</t>
  </si>
  <si>
    <t>Такзайро®</t>
  </si>
  <si>
    <t>раствор для подкожного введения, 150 мг/мл (предварительно заполненный шприц) 
2.0 мл х 1 (пачка картонная)</t>
  </si>
  <si>
    <t>ЛП-006876</t>
  </si>
  <si>
    <t>0873400003923000486</t>
  </si>
  <si>
    <t>1970515020223000434</t>
  </si>
  <si>
    <t>https://zakupki.gov.ru/epz/order/notice/ea20/view/common-info.html?regNumber=0873400003923000486</t>
  </si>
  <si>
    <t>0873400003923000486_358372</t>
  </si>
  <si>
    <t>Эверолимус, таблетки диспергируемые, 2 мг</t>
  </si>
  <si>
    <t>таблетки диспергируемые, 2 мг (блистер) 10 х 3 (пачка картонная)</t>
  </si>
  <si>
    <t>0873400003923000487</t>
  </si>
  <si>
    <t>1970515020223000418</t>
  </si>
  <si>
    <t>https://zakupki.gov.ru/epz/order/notice/ea20/view/common-info.html?regNumber=0873400003923000487</t>
  </si>
  <si>
    <t>0873400003923000487_358372</t>
  </si>
  <si>
    <t>ООО "РЕДФАРМ"</t>
  </si>
  <si>
    <t>Карглумовая кислота, таблетки
диспергируемые, 200 мг</t>
  </si>
  <si>
    <t>1. Карбаглю;
2. Карглумовая кислота Вэймейд.</t>
  </si>
  <si>
    <t>1.таблетки диспергируемые, 200 мг (флакон)
60 х 1 (пачка картонная);
2.таблетки диспергируемые, 200 мг (флакон)
60 х 1 (пачка картонная).</t>
  </si>
  <si>
    <t>1. ЛП-008186;
2. ЛП-№(002565)-(РГ-RU).</t>
  </si>
  <si>
    <t>Франция, Индия</t>
  </si>
  <si>
    <t>0873400003923000490</t>
  </si>
  <si>
    <t>закупка отменена</t>
  </si>
  <si>
    <t>https://zakupki.gov.ru/epz/order/notice/ea20/view/common-info.html?regNumber=0873400003923000490</t>
  </si>
  <si>
    <t>Атазанавир, капсулы, 200 мг</t>
  </si>
  <si>
    <t>0873400003923000492</t>
  </si>
  <si>
    <t>1512 туб</t>
  </si>
  <si>
    <t>https://zakupki.gov.ru/epz/order/notice/ea20/view/common-info.html?regNumber=0873400003923000492</t>
  </si>
  <si>
    <t>Аннулирована</t>
  </si>
  <si>
    <t>Бедаквилин, таблетки, 100 мг</t>
  </si>
  <si>
    <t>0873400003923000494</t>
  </si>
  <si>
    <t>1970515020223000429</t>
  </si>
  <si>
    <t>https://zakupki.gov.ru/epz/order/notice/ea20/view/common-info.html?regNumber=0873400003923000494</t>
  </si>
  <si>
    <t>0873400003923000494_358372</t>
  </si>
  <si>
    <t>АО "Санофи Россия"</t>
  </si>
  <si>
    <t>Алглюкозидаза альфа, лиофилизат для приготовления концентрата для приготовления раствора для инфузий, 50 мг</t>
  </si>
  <si>
    <t>Майозайм®</t>
  </si>
  <si>
    <t>лиофилизат для приготовления концентрата для приготовления раствора для инфузий, 50 мг (флакон) х 1 (пачка картонная)</t>
  </si>
  <si>
    <t>ЛП-№(000136)-(РГ-RU)</t>
  </si>
  <si>
    <t>0873400003923000499</t>
  </si>
  <si>
    <t>1970515020223000437</t>
  </si>
  <si>
    <t>https://zakupki.gov.ru/epz/order/notice/ea20/view/common-info.html?regNumber=0873400003923000499</t>
  </si>
  <si>
    <t>0873400003923000499-0001</t>
  </si>
  <si>
    <t>Доравирин + Ламивудин + Тенофовир,
таблетки, покрытые пленочной оболочкой, 100 мг + 300 мг + 245 мг</t>
  </si>
  <si>
    <t>Делстриго</t>
  </si>
  <si>
    <t>таблетки, покрытые пленочной оболочкой, 100 мг+300 мг+245 мг (флакон) 30 х 1 (пачка картонная)</t>
  </si>
  <si>
    <t>ЛП-005928</t>
  </si>
  <si>
    <t>0873400003923000511</t>
  </si>
  <si>
    <t>1970515020223000447</t>
  </si>
  <si>
    <t>https://zakupki.gov.ru/epz/order/notice/ea20/view/common-info.html?regNumber=0873400003923000511</t>
  </si>
  <si>
    <t>0873400003923000511_358372</t>
  </si>
  <si>
    <t>Ивакафтор+Лумакафтор, гранулы, 188
мг+150 мг</t>
  </si>
  <si>
    <t>1. Оркамби®;
2. Оркамби®.</t>
  </si>
  <si>
    <t>1. гранулы, 188 мг+150 мг (саше) 497.4 мг х 56 (пачка картонная);
2. гранулы, 188 мг+150 мг (саше) 497.4 мг х 56 (пачка картонная).</t>
  </si>
  <si>
    <t>1.ЛП-007000;
2.ЛП-007000.</t>
  </si>
  <si>
    <t>Великобритания, США</t>
  </si>
  <si>
    <t>0873400003923000512</t>
  </si>
  <si>
    <t>1970515020223000448</t>
  </si>
  <si>
    <t>https://zakupki.gov.ru/epz/order/notice/ea20/view/common-info.html?regNumber=0873400003923000512</t>
  </si>
  <si>
    <t>0873400003923000512_358372</t>
  </si>
  <si>
    <t>Асфотаза альфа, раствор для подкожного
введения, 40 мг/мл, 1 мл</t>
  </si>
  <si>
    <t>Алтайский край, Тюменская область</t>
  </si>
  <si>
    <t>1. ЛП-005666 от 19.07.2019 изм. 09.07.2021;
2. ЛП-005666 от 19.07.2019 изм. 09.07.2021;
3. ЛП-005666 от 19.07.2019 изм. 21.03.2023;
4. ЛП-005666 от 19.07.2019 изм. 21.03.2023.</t>
  </si>
  <si>
    <t>0873400003923000514</t>
  </si>
  <si>
    <t>1970515020223000450</t>
  </si>
  <si>
    <t>https://zakupki.gov.ru/epz/order/notice/ea20/view/common-info.html?regNumber=0873400003923000514</t>
  </si>
  <si>
    <t>0873400003923000514-0001</t>
  </si>
  <si>
    <t>Сиртуро</t>
  </si>
  <si>
    <t>таблетки, 100 мг (флакон) 188 х 1 (пачка картонная)</t>
  </si>
  <si>
    <t>ЛП-002281</t>
  </si>
  <si>
    <t>0873400003923000515</t>
  </si>
  <si>
    <t>1970515020223000458</t>
  </si>
  <si>
    <t>https://zakupki.gov.ru/epz/order/notice/ea20/view/common-info.html?regNumber=0873400003923000515</t>
  </si>
  <si>
    <t>0873400003923000515_358372</t>
  </si>
  <si>
    <t>0873400003923000517</t>
  </si>
  <si>
    <t>1970515020223000452</t>
  </si>
  <si>
    <t>https://zakupki.gov.ru/epz/order/notice/ea20/view/common-info.html?regNumber=0873400003923000517</t>
  </si>
  <si>
    <t>0873400003923000517_358372</t>
  </si>
  <si>
    <t>1. порошок для приема внутрь, 125 мг (пакетик-саше) 500 мг х 30 (пачка картонная);
2. порошок для приема внутрь, 125 мг (пакетик-саше) 500 мг х 30 (пачка картонная);
3. порошок для приема внутрь, 125 мг (пакетик-саше) 500 мг х 30 (пачка картонная);
4. порошок для приема внутрь, 125 мг (пакетик-саше) 500 мг х 30 (пачка картонная);
5.  порошок для приема внутрь, 125 мг (пакетик-саше) 500 мг х 30 (пачка картонная).</t>
  </si>
  <si>
    <t>1.ЛП-006596 от 24.11.2020;
2.ЛП-006596 от 24.11.2020;
3.ЛП-006596 от 24.11.2020 изм. от 09.01.2023;
4.ЛП-006596 от 24.11.2020 изм. от 09.01.2023;
5.ЛП-006596 от 24.11.2020 изм. от 09.01.2023.</t>
  </si>
  <si>
    <t>0873400003923000519</t>
  </si>
  <si>
    <t>1970515020223000459</t>
  </si>
  <si>
    <t>https://zakupki.gov.ru/epz/order/notice/ea20/view/common-info.html?regNumber=0873400003923000519</t>
  </si>
  <si>
    <t>0873400003923000519_358372</t>
  </si>
  <si>
    <t>1. раствор для подкожного введения, 100 мг/мл (флакон) 80 мг/0.8 мл х 12 (пачка картонная);
2. раствор для подкожного введения, 100 мг/мл (флакон) 80 мг/0.8 мл х 12 (пачка картонная).</t>
  </si>
  <si>
    <t>0873400003923000521</t>
  </si>
  <si>
    <t>1970515020223000456</t>
  </si>
  <si>
    <t>https://zakupki.gov.ru/epz/order/notice/ea20/view/common-info.html?regNumber=0873400003923000521</t>
  </si>
  <si>
    <t>0873400003923000521_358372</t>
  </si>
  <si>
    <t>1.  Майозайм®;
2.  Майозайм®.</t>
  </si>
  <si>
    <t>1. лиофилизат для приготовления концентрата для приготовления раствора для инфузий, 50 мг (флакон) х 1 (пачка картонная);
2. лиофилизат для приготовления концентрата для приготовления раствора для инфузий, 50 мг (флакон) х 1 (пачка картонная).</t>
  </si>
  <si>
    <t>1. ЛП-№(000136)-(РГ-RU);
2. ЛП-№(000136)-(РГ-RU) с изм от 03.10.2023.</t>
  </si>
  <si>
    <t>0873400003923000522</t>
  </si>
  <si>
    <t>1970515020223000465</t>
  </si>
  <si>
    <t>https://zakupki.gov.ru/epz/order/notice/ea20/view/common-info.html?regNumber=0873400003923000522</t>
  </si>
  <si>
    <t>0873400003923000522_358372</t>
  </si>
  <si>
    <t>ООО "Мир-Фарм"</t>
  </si>
  <si>
    <t>Карглумовая кислота, таблетки диспергируемые, 200 мг</t>
  </si>
  <si>
    <t>Карглумовая кислота</t>
  </si>
  <si>
    <t>таблетки диспергируемые 200 мг (банка) 60 х 1 (пачка картонная)</t>
  </si>
  <si>
    <t>ЛП-№(003379)-(РГ-RU)</t>
  </si>
  <si>
    <t>0873400003923000526</t>
  </si>
  <si>
    <t>1970515020223000462</t>
  </si>
  <si>
    <t>https://zakupki.gov.ru/epz/order/notice/ea20/view/common-info.html?regNumber=0873400003923000526</t>
  </si>
  <si>
    <t>0873400003923000526_358372</t>
  </si>
  <si>
    <t>Республика Башкортостан, Республика Дагестан, Челябинская область</t>
  </si>
  <si>
    <t>0873400003923000527</t>
  </si>
  <si>
    <t>1970515020223000461</t>
  </si>
  <si>
    <t>https://zakupki.gov.ru/epz/order/notice/ea20/view/common-info.html?regNumber=0873400003923000527</t>
  </si>
  <si>
    <t>0873400003923000527_358372</t>
  </si>
  <si>
    <t>Глекапревир+Пибрентасвир, гранулы, покрытые оболочкой, 50 мг+20 мг</t>
  </si>
  <si>
    <t>Мавирет</t>
  </si>
  <si>
    <t>гранулы, покрытые оболочкой, для детей, 50 мг + 20 мг (саше) х 28 (пачка картонная)</t>
  </si>
  <si>
    <t>ЛП-008048</t>
  </si>
  <si>
    <t>0873400003923000528</t>
  </si>
  <si>
    <t>1970515020223000463</t>
  </si>
  <si>
    <t>https://zakupki.gov.ru/epz/order/notice/ea20/view/common-info.html?regNumber=0873400003923000528</t>
  </si>
  <si>
    <t>0873400003923000528_358372</t>
  </si>
  <si>
    <t>Кризотиниб, капсулы, 250 мг</t>
  </si>
  <si>
    <t>Ксалкори®</t>
  </si>
  <si>
    <t>капсулы, 250 мг (блистер) 10 х 6 (пачка картонная)</t>
  </si>
  <si>
    <t>ЛП-001917</t>
  </si>
  <si>
    <t>0873400003923000529</t>
  </si>
  <si>
    <t>https://zakupki.gov.ru/epz/order/notice/ea20/view/common-info.html?regNumber=0873400003923000529</t>
  </si>
  <si>
    <t>Энтректиниб, капсулы, 200 мг</t>
  </si>
  <si>
    <t>0873400003923000531</t>
  </si>
  <si>
    <t>https://zakupki.gov.ru/epz/order/notice/ea20/view/common-info.html?regNumber=0873400003923000531</t>
  </si>
  <si>
    <t>Рисдиплам, порошок для приготовления
раствора для приема внутрь 0,75 мг/мл</t>
  </si>
  <si>
    <t>0873400003923000534</t>
  </si>
  <si>
    <t>1970515020223000477</t>
  </si>
  <si>
    <t>https://zakupki.gov.ru/epz/order/notice/ea20/view/common-info.html?regNumber=0873400003923000534</t>
  </si>
  <si>
    <t>0873400003923000534_358372</t>
  </si>
  <si>
    <t>Асфотаза альфа, раствор для подкожного
введения, 40 мг/мл, 0,7 мл</t>
  </si>
  <si>
    <t>Пермский край</t>
  </si>
  <si>
    <t>Стрензик®</t>
  </si>
  <si>
    <t>раствор для подкожного введения, 40 мг/мл (флакон) 28 мг/0.7 мл х 12 (пачка картонная)</t>
  </si>
  <si>
    <t>ЛП-005666</t>
  </si>
  <si>
    <t>0873400003923000536</t>
  </si>
  <si>
    <t>1970515020223000475</t>
  </si>
  <si>
    <t>https://zakupki.gov.ru/epz/order/notice/ea20/view/common-info.html?regNumber=0873400003923000536</t>
  </si>
  <si>
    <t>0873400003923000536-0001</t>
  </si>
  <si>
    <t>Окрелизумаб, концентрат для приготовления раствора для инфузий, 30 мг/мл</t>
  </si>
  <si>
    <t>Московская область, Орловская область, Рязанская область, Тульская область, Ярославская область</t>
  </si>
  <si>
    <t>Окревус®</t>
  </si>
  <si>
    <t>концентрат для приготовления раствора для инфузий, 
30 мг/мл (флакон) 10 мл х 1 (пачка картонная)</t>
  </si>
  <si>
    <t>ЛП-004503</t>
  </si>
  <si>
    <t>0873400003923000537</t>
  </si>
  <si>
    <t>1970515020223000474</t>
  </si>
  <si>
    <t>https://zakupki.gov.ru/epz/order/notice/ea20/view/common-info.html?regNumber=0873400003923000537</t>
  </si>
  <si>
    <t>0873400003923000537-0001</t>
  </si>
  <si>
    <t>Москва</t>
  </si>
  <si>
    <t>0873400003923000538</t>
  </si>
  <si>
    <t>1970515020223000473</t>
  </si>
  <si>
    <t>https://zakupki.gov.ru/epz/order/notice/ea20/view/common-info.html?regNumber=0873400003923000538</t>
  </si>
  <si>
    <t>0873400003923000538-0001</t>
  </si>
  <si>
    <t>Кировская, Оренбургская, Пензенская, Самарская, Саратовская области, Пермский край, Республика Башкорскостан, Республика Марий Эл, Чувашская Республика</t>
  </si>
  <si>
    <t>0873400003923000539</t>
  </si>
  <si>
    <t>1970515020223000472</t>
  </si>
  <si>
    <t>https://zakupki.gov.ru/epz/order/notice/ea20/view/common-info.html?regNumber=0873400003923000539</t>
  </si>
  <si>
    <t>0873400003923000539-0001</t>
  </si>
  <si>
    <t>Архангельская, Волгородская, Калининградская, Новгородская, Псковская области, Республика Карелия, Республика Коми, Санкт-Петербург</t>
  </si>
  <si>
    <t>0873400003923000540</t>
  </si>
  <si>
    <t>1970515020223000471</t>
  </si>
  <si>
    <t>https://zakupki.gov.ru/epz/order/notice/ea20/view/common-info.html?regNumber=0873400003923000540</t>
  </si>
  <si>
    <t>0873400003923000540-0001</t>
  </si>
  <si>
    <t>12 субъектов</t>
  </si>
  <si>
    <t xml:space="preserve"> исполнен</t>
  </si>
  <si>
    <t>0873400003923000541</t>
  </si>
  <si>
    <t>1970515020223000470</t>
  </si>
  <si>
    <t>https://zakupki.gov.ru/epz/order/notice/ea20/view/common-info.html?regNumber=0873400003923000541</t>
  </si>
  <si>
    <t>0873400003923000541-0001</t>
  </si>
  <si>
    <t>Астраханская, Волгоградская, Ростовская области, Краснодарский край, Республика Адыгея, Республика Калмыкия, Севастополь</t>
  </si>
  <si>
    <t>0873400003923000542</t>
  </si>
  <si>
    <t>1970515020223000469</t>
  </si>
  <si>
    <t>https://zakupki.gov.ru/epz/order/notice/ea20/view/common-info.html?regNumber=0873400003923000542</t>
  </si>
  <si>
    <t>0873400003923000542-0001</t>
  </si>
  <si>
    <t>17 субъектов</t>
  </si>
  <si>
    <t>0873400003923000543</t>
  </si>
  <si>
    <t>1970515020223000468</t>
  </si>
  <si>
    <t>https://zakupki.gov.ru/epz/order/notice/ea20/view/common-info.html?regNumber=0873400003923000543</t>
  </si>
  <si>
    <t>0873400003923000543-0001</t>
  </si>
  <si>
    <t>Кабардино-Балкарская Республика, Карачаево-Черкесская Ресупблика, Республика Дагестан, Республика Ингушетия, Республика Северная Осетия, Чеченская Республика, Москва</t>
  </si>
  <si>
    <t>0873400003923000544</t>
  </si>
  <si>
    <t>1970515020223000467</t>
  </si>
  <si>
    <t>https://zakupki.gov.ru/epz/order/notice/ea20/view/common-info.html?regNumber=0873400003923000544</t>
  </si>
  <si>
    <t>0873400003923000544-0001</t>
  </si>
  <si>
    <t>Курганская, Свердловская, Томская, Тюменская, Челябинская области. Ханты-Мансийский АО, Ямало-Ненецкий АО, Байконур</t>
  </si>
  <si>
    <t>0873400003923000551</t>
  </si>
  <si>
    <t>1970515020223000480</t>
  </si>
  <si>
    <t>https://zakupki.gov.ru/epz/order/notice/ea20/view/common-info.html?regNumber=0873400003923000551</t>
  </si>
  <si>
    <t>0873400003923000551_358372</t>
  </si>
  <si>
    <t>Розлитрек®</t>
  </si>
  <si>
    <t>капсулы, 200 мг (флакон) 90 х 1 (пачка картонная)</t>
  </si>
  <si>
    <t>ЛП-№(001399)-(РГ-RU)</t>
  </si>
  <si>
    <t>0873400003923000553</t>
  </si>
  <si>
    <t>Онасемноген абепарвовек, раствор для
инфузий, 2x10^13 вектор-геномов/мл</t>
  </si>
  <si>
    <t>0873400003923000555</t>
  </si>
  <si>
    <t>1970515020223000482</t>
  </si>
  <si>
    <t>https://zakupki.gov.ru/epz/order/notice/ea20/view/common-info.html?regNumber=0873400003923000555</t>
  </si>
  <si>
    <t>0873400003923000555-0001</t>
  </si>
  <si>
    <t>АО "Фармацевт Плюс"</t>
  </si>
  <si>
    <t>Ритуксимаб, концентрат для приготовления раствора для инфузий 10 мг/мл, 10 мл</t>
  </si>
  <si>
    <t>АЦЕЛЛБИЯ®</t>
  </si>
  <si>
    <t>концентрат для приготовления раствора для инфузий, 10 мг/мл (флакон) 10 мл х 2 (пачка картонная)</t>
  </si>
  <si>
    <t>ЛП-002420</t>
  </si>
  <si>
    <t>0873400003923000556</t>
  </si>
  <si>
    <t>1970515020223000485</t>
  </si>
  <si>
    <t>https://zakupki.gov.ru/epz/order/notice/ea20/view/common-info.html?regNumber=0873400003923000556</t>
  </si>
  <si>
    <t>0873400003923000556-0001</t>
  </si>
  <si>
    <t>ООО "Русбиофарма"</t>
  </si>
  <si>
    <t>Фактор свертывания крови IX, лиофилизат для приготовления раствора для внутривенного введения и/или инфузий, 1000 – 1200 МЕ</t>
  </si>
  <si>
    <t>1.Октанайн Ф (фильтрованный);
2.Октанайн Ф (фильтрованный);
3.Иммунин;
4.Аимафикс</t>
  </si>
  <si>
    <t>лиофилизат для приготовления раствора для инфузий, 1000 МЕ (флакон) 1000 МЕ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</t>
  </si>
  <si>
    <t>1. П №015193/01;
2. П №015193/01;
3. П №013750/01;
4. П №015034/01.</t>
  </si>
  <si>
    <t>Австрия, Германия</t>
  </si>
  <si>
    <t xml:space="preserve">1.1000;
2.1000;
3.1200;
</t>
  </si>
  <si>
    <t>0873400003923000557</t>
  </si>
  <si>
    <t>1970515020223000483</t>
  </si>
  <si>
    <t>https://zakupki.gov.ru/epz/order/notice/ea20/view/event-journal.html?regNumber=0873400003923000557</t>
  </si>
  <si>
    <t>0873400003923000557-0001</t>
  </si>
  <si>
    <t>Фактор свертывания крови VIII + Фактор Виллебранда, лиофилизат для приготовления раствора для внутривенного введения, 500 МЕ + 1200 МЕ</t>
  </si>
  <si>
    <t>Гемате® П</t>
  </si>
  <si>
    <t>[лиофилизат для приготовления раствора для внутривенного введения, 500 МЕ+1200 МЕ (флакон) х 1 + растворитель (флакон) 10 мл х 1 + комплект для внутривенного введения [устройство для добавления растворителя со встроенным фильтром (Mix-2VialТМ 20/20) х 1+ шприц х 1 + игла-бабочка х 1 + салфетка дезинфицирующая х 2 + лейкопластырь х 1] х 1] х 1 (пачка картонная)</t>
  </si>
  <si>
    <t>ЛП-000596</t>
  </si>
  <si>
    <t>0873400003923000558</t>
  </si>
  <si>
    <t>1970515020223000484</t>
  </si>
  <si>
    <t>https://zakupki.gov.ru/epz/order/notice/ea20/view/common-info.html?regNumber=0873400003923000558</t>
  </si>
  <si>
    <t>0873400003923000558-0001</t>
  </si>
  <si>
    <t>Эфмороктоког альфа, лиофилизат для
приготовления раствора для внутривенного введения, 500 МЕ</t>
  </si>
  <si>
    <t>[лиофилизат для приготовления раствора для внутривенного введения,
500 МЕ (флакон) х 1 + растворитель (шприц) 3 мл х 1 + шток поршня х 1 + адаптер для флакона х 1 + инфузионный набор х 1 + спиртовые салфетки х 2 + пластырь х 2 + марлевая салфетка х 1] х 1 (пачка картонная)</t>
  </si>
  <si>
    <t>0873400003923000559</t>
  </si>
  <si>
    <t>1970515020223000486</t>
  </si>
  <si>
    <t>https://zakupki.gov.ru/epz/order/notice/ea20/view/common-info.html?regNumber=0873400003923000559</t>
  </si>
  <si>
    <t>0873400003923000559-0001</t>
  </si>
  <si>
    <t>Эфмороктоког альфа, лиофилизат для
приготовления раствора для внутривенного введения, 3000 МЕ</t>
  </si>
  <si>
    <t>[лиофилизат для приготовления раствора для внутривенного введения,
3000 МЕ (флакон) х 1 + растворитель (шприц) 3 мл х 1 + шток поршня х 1 + адаптер для флакона х 1 + инфузионный набор х 1 + спиртовые салфетки х 2 + пластырь х 2 + марлевая салфетка х 1] х 1 (пачка картонная)</t>
  </si>
  <si>
    <t>0873400003923000560</t>
  </si>
  <si>
    <t>1970515020223000491</t>
  </si>
  <si>
    <t>https://zakupki.gov.ru/epz/order/notice/ea20/view/common-info.html?regNumber=0873400003923000560</t>
  </si>
  <si>
    <t>0873400003923000560-0001</t>
  </si>
  <si>
    <t>Эфмороктоког альфа, лиофилизат для
приготовления раствора для внутривенного введения, 1000 МЕ</t>
  </si>
  <si>
    <t>Германия/Италия</t>
  </si>
  <si>
    <t>0873400003923000563</t>
  </si>
  <si>
    <t>1970515020223000490</t>
  </si>
  <si>
    <t>https://zakupki.gov.ru/epz/order/notice/ea20/view/common-info.html?regNumber=0873400003923000563</t>
  </si>
  <si>
    <t>873400003923000563-0001</t>
  </si>
  <si>
    <t>Фактор свертывания крови IX, лиофилизат для приготовления раствора для внутривенного введения и/или инфузий, 500 – 600 МЕ</t>
  </si>
  <si>
    <t>Октанайн Ф (фильтрованный)</t>
  </si>
  <si>
    <t>лиофилизат для приготовления раствора для инфузий, 500 МЕ (флакон) 500 МЕ х 1 (пачка картонная) + [растворитель – вода для инъекций (флакон) 5 мл х 1 + шприц х 1 + игла двухконцевая х 1 + игла фильтровальная х 1 + игла-бабочка х 1 + салфетка дезинфицирующая х 2] х 1 (пачка картонная)</t>
  </si>
  <si>
    <t>П N015193/01</t>
  </si>
  <si>
    <t>0873400003923000569</t>
  </si>
  <si>
    <t>1970515020223000492</t>
  </si>
  <si>
    <t>https://zakupki.gov.ru/epz/order/notice/ea20/view/common-info.html?regNumber=0873400003923000569</t>
  </si>
  <si>
    <t>0873400003923000569-0001</t>
  </si>
  <si>
    <t>Фактор свертывания крови VIII, лиофилизат для приготовления раствора для внутривенного введения и/или инфузий, 1000 МЕ</t>
  </si>
  <si>
    <t>Октанат</t>
  </si>
  <si>
    <t>лиофилизат для приготовления раствора для внутривенного введения 1000 МЕ (флакон) х 1 (пачка картонная) + [растворитель -вода для инъекций (флакон) 10 мл х 1 + шприц х 1 + игла  двухконцевая х 1 + игла фильтровальная х 1 + игла-бабочка х 1 + салфетка дезинфицирующая х 2] х 1 (пачка картонная)</t>
  </si>
  <si>
    <t>П N016162/01</t>
  </si>
  <si>
    <t>Швеция/Франция/Австрия</t>
  </si>
  <si>
    <t>0873400003923000570</t>
  </si>
  <si>
    <t>1970515020223000493</t>
  </si>
  <si>
    <t>https://zakupki.gov.ru/epz/order/notice/ea20/view/common-info.html?regNumber=0873400003923000570</t>
  </si>
  <si>
    <t>0873400003923000570-0001</t>
  </si>
  <si>
    <t>Ритуксимаб, концентрат для приготовления раствора для инфузий, 10 мг/мл, 50 мл</t>
  </si>
  <si>
    <t>концентрат для приготовления раствора для инфузий, 10 мг/мл (флакон) 50 мл х 1 (пачка картонная)</t>
  </si>
  <si>
    <t>0873400003923000571</t>
  </si>
  <si>
    <t>1970515020223000502</t>
  </si>
  <si>
    <t>https://zakupki.gov.ru/epz/order/notice/ea20/view/common-info.html?regNumber=0873400003923000571</t>
  </si>
  <si>
    <t>К-02-Т/13-4</t>
  </si>
  <si>
    <t>Фактор свертывания крови VIII, лиофилизат для приготовления раствора для внутривенного введения и/или лиофилизат для приготовления раствора для инфузий, 500 МЕ</t>
  </si>
  <si>
    <t>0873400003923000572</t>
  </si>
  <si>
    <t>1970515020223000497</t>
  </si>
  <si>
    <t>https://zakupki.gov.ru/epz/order/notice/ea20/view/common-info.html?regNumber=0873400003923000572</t>
  </si>
  <si>
    <t>0873400003923000572-0001</t>
  </si>
  <si>
    <t>ООО "Ирвин"</t>
  </si>
  <si>
    <t>Эмицизумаб, раствор для подкожного
введения, 150 мг/мл, 1,0 мл</t>
  </si>
  <si>
    <t>Гемлибра®</t>
  </si>
  <si>
    <t>раствор для подкожного введения, 150 мг/мл (флакон) 150 мг/1 мл х 1 (пачка картонная)</t>
  </si>
  <si>
    <t>ЛП-№(001088)-(РГ-RU)</t>
  </si>
  <si>
    <t>0873400003923000573</t>
  </si>
  <si>
    <t>1970515020223000496</t>
  </si>
  <si>
    <t>https://zakupki.gov.ru/epz/order/notice/ea20/view/common-info.html?regNumber=0873400003923000573</t>
  </si>
  <si>
    <t>0873400003923000573-0001</t>
  </si>
  <si>
    <t>Алемтузумаб, концентрат для приготовления раствора для инфузий 10 мг/мл</t>
  </si>
  <si>
    <t>Лемтрада®</t>
  </si>
  <si>
    <t>концентрат для приготовления раствора для инфузий, 10 мг/мл (флакон) 1.2 мл х1 (пачка картонная)</t>
  </si>
  <si>
    <t>ЛП-003714</t>
  </si>
  <si>
    <t>0873400003923000577</t>
  </si>
  <si>
    <t>1970515020223000498</t>
  </si>
  <si>
    <t>https://zakupki.gov.ru/epz/order/notice/ea20/view/common-info.html?regNumber=0873400003923000577</t>
  </si>
  <si>
    <t>0873400003923000577_358372</t>
  </si>
  <si>
    <t>Динутуксимаб бета, концентрат для
приготовления раствора для инфузий, 4,5 мг/мл</t>
  </si>
  <si>
    <t>Карзиба (Карзиба®)</t>
  </si>
  <si>
    <t>В соответствии с регистрационным удостоверением:
концентрат для приготовления раствора для инфузий, 4,5 мг/мл (флакон) 4,5 мл х 1 (пачка картонная)
В соответствии с заключением о возможности (невозможности) обращения в Российской Федерации серии (партии) лекарственного препарата в упаковке, предназначенной для обращения на территории иностранных государств, в отношении которого межведомственной комиссией установлена дефектура или риск ее возникновения в связи с введением в отношении Российской Федерации ограничительных мер экономического характера от 09.06.2023 № 8: 
концентрат для приготовления раствора для инфузий 4,5 мг/мл.</t>
  </si>
  <si>
    <t>ЛП-008352</t>
  </si>
  <si>
    <t>0873400003923000582</t>
  </si>
  <si>
    <t>1970515020223000508</t>
  </si>
  <si>
    <t>https://zakupki.gov.ru/epz/order/notice/ea20/view/common-info.html?regNumber=0873400003923000582</t>
  </si>
  <si>
    <t>0873400003923000582-0001</t>
  </si>
  <si>
    <t>Симоктоког альфа (фактор свертывания крови VIII человеческий рекомбинантный), лиофилизат для приготовления раствора для внутривенного введения, 2000 МЕ</t>
  </si>
  <si>
    <t>1. Нувик;
2. Нувик.</t>
  </si>
  <si>
    <t>1. [лиофилизат для приготовления раствора для внутривенного введения, 2000 МЕ (флакон) х 1 + растворитель: вода для инъекций (шприц) 2.5 мл х 1 + адаптер для флакона х 1 + система для введения ("игла-бабочка") х 1 + салфетка дезинфицирующая х 2] х 1 (пачка картонная);
2. [лиофилизат для приготовления раствора для внутривенного введения, 2000 МЕ (флакон) х 1 + растворитель: вода для инъекций (шприц) 2.5 мл х 1 + адаптер для флакона х 1 + система для введения ("игла-бабочка") х 1 + салфетка дезинфицирующая х 2] х 1 (пачка картонная).</t>
  </si>
  <si>
    <t>1. ЛП-003522;
2. ЛП-003522.</t>
  </si>
  <si>
    <t>Швеция</t>
  </si>
  <si>
    <t>0873400003923000583</t>
  </si>
  <si>
    <t>1970515020223000526</t>
  </si>
  <si>
    <t>https://zakupki.gov.ru/epz/order/notice/ea20/view/common-info.html?regNumber=0873400003923000583</t>
  </si>
  <si>
    <t>0873400003923000583-0001</t>
  </si>
  <si>
    <t>Эмицизумаб, раствор для подкожного введения, 150 мг/мл, 0,7 мл</t>
  </si>
  <si>
    <t>раствор для подкожного введения, 150 мг/мл (флакон) 105 мг/0.7 мл х 1 (пачка картонная)</t>
  </si>
  <si>
    <t>0873400003923000585</t>
  </si>
  <si>
    <t>1970515020223000506</t>
  </si>
  <si>
    <t>https://zakupki.gov.ru/epz/order/notice/ea20/view/common-info.html?regNumber=0873400003923000585</t>
  </si>
  <si>
    <t>0873400003923000585-0001</t>
  </si>
  <si>
    <t>Поставка лекарственного препарата Фактор свертывания крови VIII + Фактор Виллебранда, лиофилизат для приготовления раствора для внутривенного введения, 450 МЕ + 400 МЕ</t>
  </si>
  <si>
    <t>Вилате</t>
  </si>
  <si>
    <t>лиофилизат для приготовления раствора для внутривенного введения, 450 МЕ фактора свертывания крови VIII + 400 МЕ фактора Виллебранда (флакон) [450 МЕ фактора свертывания крови VIII + 400 МЕ фактора Виллебранда] x 1 (пачка картонная),
[растворитель (0,1 % раствор полисорбата 80 в воде для инъекций) (флакон) 5 мл + комплект для растворения и внутривенного введения (пакет): шприц х 1 + двухконцевая игла х 1 + фильтровальная игла х 1 + игла-бабочка х 1 + дезинфицирующая салфетка х 2] х 1 (пачка картонная)</t>
  </si>
  <si>
    <t>ЛС-002306</t>
  </si>
  <si>
    <t>Австрия</t>
  </si>
  <si>
    <t>0873400003923000586</t>
  </si>
  <si>
    <t>1970515020223000505</t>
  </si>
  <si>
    <t>https://zakupki.gov.ru/epz/order/notice/ea20/view/common-info.html?regNumber=0873400003923000586</t>
  </si>
  <si>
    <t>0873400003923000586-0001</t>
  </si>
  <si>
    <t>Симоктоког альфа (фактор свертывания крови VIII человеческий рекомбинантный), лиофилизат для приготовления раствора для внутривенного введения, 500 МЕ</t>
  </si>
  <si>
    <t>Нувик</t>
  </si>
  <si>
    <t>[лиофилизат для приготовления раствора для внутривенного введения, 500 МЕ (флакон) х 1 + растворитель: вода для инъекций (шприц) 2.5 мл х 1 + адаптер для флакона х 1 + система для введения ("игла-бабочка") х 1 + салфетка дезинфицирующая х 2] х 1 (пачка картонная)</t>
  </si>
  <si>
    <t>ЛП-003522</t>
  </si>
  <si>
    <t>0873400003923000587</t>
  </si>
  <si>
    <t>1970515020223000527</t>
  </si>
  <si>
    <t>https://zakupki.gov.ru/epz/order/notice/ea20/view/common-info.html?regNumber=0873400003923000587</t>
  </si>
  <si>
    <t>0873400003923000587-0001</t>
  </si>
  <si>
    <t>Симоктоког альфа (фактор свертывания крови VIII человеческий рекомбинантный), лиофилизат для приготовления раствора для внутривенного введения, 1000 МЕ</t>
  </si>
  <si>
    <t>[лиофилизат для приготовления раствора для внутривенного введения, 1000 МЕ (флакон) х 1 + растворитель: вода для инъекций (шприц) 2.5 мл х 1 + адаптер для флакона х 1 + система для введения ("игла-бабочка") х 1 + салфетка дезинфицирующая х 2] х 1 (пачка картонная)</t>
  </si>
  <si>
    <t>0873400003923000590</t>
  </si>
  <si>
    <t>1970515020223000507</t>
  </si>
  <si>
    <t>https://zakupki.gov.ru/epz/order/notice/ea20/view/common-info.html?regNumber=0873400003923000590</t>
  </si>
  <si>
    <t>0873400003923000590_358372</t>
  </si>
  <si>
    <t xml:space="preserve">Селексипаг, таблетки, покрытые пленочной оболочкой, 800 мкг                        </t>
  </si>
  <si>
    <t>0873400003923000592</t>
  </si>
  <si>
    <t>1970515020223000510</t>
  </si>
  <si>
    <t>https://zakupki.gov.ru/epz/order/notice/ea20/view/common-info.html?regNumber=0873400003923000592</t>
  </si>
  <si>
    <t>0873400003923000592_358372</t>
  </si>
  <si>
    <t>0873400003923000593</t>
  </si>
  <si>
    <t>1970515020223000513</t>
  </si>
  <si>
    <t>https://zakupki.gov.ru/epz/order/notice/ea20/view/common-info.html?regNumber=0873400003923000593</t>
  </si>
  <si>
    <t>0873400003923000593-0001</t>
  </si>
  <si>
    <t>Фактор свертывания крови VIII + Фактор Виллебранда, лиофилизат для приготовления раствора для внутривенного введения, 
500 МЕ + 1200 МЕ</t>
  </si>
  <si>
    <t>0873400003923000596</t>
  </si>
  <si>
    <t>https://zakupki.gov.ru/epz/order/notice/ea20/view/common-info.html?regNumber=0873400003923000596</t>
  </si>
  <si>
    <t>Леналидомид, капсулы, 25 мг</t>
  </si>
  <si>
    <t>0873400003923000607</t>
  </si>
  <si>
    <t>1970515020223000529</t>
  </si>
  <si>
    <t>https://zakupki.gov.ru/epz/order/notice/ea20/view/common-info.html?regNumber=0873400003923000607</t>
  </si>
  <si>
    <t>0873400003923000607-0001</t>
  </si>
  <si>
    <t>АО "ГлаксоСмитКляйн Трейдинг"</t>
  </si>
  <si>
    <t>Долутегравир, таблетки покрытые пленочной оболочкой, 50 мг</t>
  </si>
  <si>
    <t>1. Тивикай®;
2. Тивикай®.</t>
  </si>
  <si>
    <t>1. таблетки, покрытые пленочной оболочкой, 50 мг (флакон) 30 х 1 (пачка картонная);
2. таблетки, покрытые пленочной оболочкой, 50 мг (флакон) 30 х 1 (пачка картонная).</t>
  </si>
  <si>
    <t>1. ЛП-002536;
2. ЛП-№(002497)-(РГ-RU).</t>
  </si>
  <si>
    <t>0873400003923000609</t>
  </si>
  <si>
    <t>1970515020223000528</t>
  </si>
  <si>
    <t>https://zakupki.gov.ru/epz/order/notice/ea20/view/common-info.html?regNumber=0873400003923000609</t>
  </si>
  <si>
    <t>0873400003923000609-0001</t>
  </si>
  <si>
    <t>0873400003923000613</t>
  </si>
  <si>
    <t>1970515020223000532</t>
  </si>
  <si>
    <t>https://zakupki.gov.ru/epz/order/notice/ea20/view/common-info.html?regNumber=0873400003923000613</t>
  </si>
  <si>
    <t>0873400003923000613-0001</t>
  </si>
  <si>
    <t>Леналидомид, капсулы, 5 мг</t>
  </si>
  <si>
    <t>1. Леналидомид;
2. ЛЕНАЛИДОМИД-ПРОМОМЕД.</t>
  </si>
  <si>
    <t>1. капсулы, 5 мг (контурная ячейковая упаковка) 7 х 3 (пачка картонная);
2. капсулы, 5 мг (банка) 21 х 1 (пачка картонная).</t>
  </si>
  <si>
    <t>1.ЛП-№(000225)-(РГ-RU);
2.ЛП-008107.</t>
  </si>
  <si>
    <t>0873400003923000614</t>
  </si>
  <si>
    <t>1970515020223000530</t>
  </si>
  <si>
    <t>https://zakupki.gov.ru/epz/order/notice/ea20/view/common-info.html?regNumber=0873400003923000614</t>
  </si>
  <si>
    <t>0873400003923000614-0001</t>
  </si>
  <si>
    <t>Глекапревир + Пибрентасвир, таблетки, 
покрытые пленочной оболочкой, 100 мг + 40 мг</t>
  </si>
  <si>
    <t>таблетки, покрытые пленочной оболочкой, 
100 мг + 40 мг (блистер) 3 х 28 (пачка картонная)</t>
  </si>
  <si>
    <t>ЛП-004804</t>
  </si>
  <si>
    <t>исплонен 1 этап</t>
  </si>
  <si>
    <t>0873400003923000615</t>
  </si>
  <si>
    <t>1970515020223000531</t>
  </si>
  <si>
    <t>https://zakupki.gov.ru/epz/order/notice/ea20/view/common-info.html?regNumber=0873400003923000615</t>
  </si>
  <si>
    <t>0873400003923000615-0001</t>
  </si>
  <si>
    <t>Помалидомид, капсулы, 3 мг</t>
  </si>
  <si>
    <t>1. Миелодест;
2. Миелодест.</t>
  </si>
  <si>
    <t>1. капсулы 2 мг (банка) 21 х 1 (пачка картонная);
2. капсулы 1 мг (банка) 21 х 1 (пачка картонная).</t>
  </si>
  <si>
    <t>1.ЛП-№(002507)-(РГ-RU);
2.ЛП-№(002507)-(РГ-RU).</t>
  </si>
  <si>
    <t>0873400003923000616</t>
  </si>
  <si>
    <t>https://zakupki.gov.ru/epz/order/notice/ea20/view/common-info.html?regNumber=0873400003923000616</t>
  </si>
  <si>
    <t>Леналидомид, капсулы, 10 мг</t>
  </si>
  <si>
    <t>0873400003923000617</t>
  </si>
  <si>
    <t>1970515020224000006</t>
  </si>
  <si>
    <t>https://zakupki.gov.ru/epz/order/notice/ea20/view/common-info.html?regNumber=0873400003923000617</t>
  </si>
  <si>
    <t>0873400003923000617-0001</t>
  </si>
  <si>
    <t>Нонаког альфа, лиофилизат для приготовления раствора для внутривенного введения, 500 МЕ</t>
  </si>
  <si>
    <t>Иннонафактор®</t>
  </si>
  <si>
    <t>[лиофилизат для приготовления раствора для внутривенного введения, 500 МЕ (флакон) х 1
+ растворитель -вода для инъекций (флакон) 5 мл х 1 + (шприц) х 1 + (канюля) х 2 + (катетер для периферических вен) х 1 + (пластырь фиксирующий) х 1  + (салфетка спиртовая) х 2] х 1 (пачка картонная)</t>
  </si>
  <si>
    <t>ЛП-№(002260)-(РГ-RU)</t>
  </si>
  <si>
    <t>0873400003923000618</t>
  </si>
  <si>
    <t>1970515020224000022</t>
  </si>
  <si>
    <t>https://zakupki.gov.ru/epz/order/notice/ea20/view/common-info.html?regNumber=0873400003923000618</t>
  </si>
  <si>
    <t>0873400003923000618-0001</t>
  </si>
  <si>
    <t>Фактор свертывания крови VIII + Фактор Виллебранда, лиофилизат для приготовления раствора для внутривенного введения, 1000 МЕ + 2400 МЕ</t>
  </si>
  <si>
    <t>[лиофилизат для приготовления раствора для внутривенного введения, 1000 МЕ+2400 МЕ (флакон) х 1 + растворитель (флакон) 15 мл х 1 + комплект для внутривенного введения [устройство для добавления растворителя со встроенным фильтром (Mix-2VialТМ 20/20) х 1 + шприц х 1 + игла-бабочка х 1 + салфетка дезинфицирующая х 2 + лейкопластырь х 1] х 1] х 1 (пачка картонная)</t>
  </si>
  <si>
    <t>0873400003923000619</t>
  </si>
  <si>
    <t>1970515020224000008</t>
  </si>
  <si>
    <t>https://zakupki.gov.ru/epz/order/notice/ea20/view/common-info.html?regNumber=0873400003923000619</t>
  </si>
  <si>
    <t>0873400003923000619-0001</t>
  </si>
  <si>
    <t xml:space="preserve">Циклоспорин, капсулы и/или капсулы 
мягкие, 25 мг </t>
  </si>
  <si>
    <t>Оргаспорин®</t>
  </si>
  <si>
    <t>капсулы, 25 мг (пакет в банке) 50 х 1 (пачка картонная)</t>
  </si>
  <si>
    <t>ЛС-001676</t>
  </si>
  <si>
    <t>0873400003923000620</t>
  </si>
  <si>
    <t>https://zakupki.gov.ru/epz/order/notice/ea20/view/common-info.html?regNumber=0873400003923000620</t>
  </si>
  <si>
    <t>Ритуксимаб, раствор для подкожного 
введения 1400 мг/11,7 мл и/или 1600 мг/13,4 мл</t>
  </si>
  <si>
    <t>0873400003923000621</t>
  </si>
  <si>
    <t>1970515020224000023</t>
  </si>
  <si>
    <t>https://zakupki.gov.ru/epz/order/notice/ea20/view/common-info.html?regNumber=0873400003923000621</t>
  </si>
  <si>
    <t>0873400003923000621_358372</t>
  </si>
  <si>
    <t xml:space="preserve">Онасемноген абепарвовек, раствор для
инфузий, 2x10^13 вектор-геномов/мл </t>
  </si>
  <si>
    <t>1. Золгенсма®;
2. Золгенсма®.</t>
  </si>
  <si>
    <t xml:space="preserve">1.: 
раствор для инфузий, 2.0 x 1013 вектор-геномов/мл (флакон) 8.3 мл x 2/3/4/5/6/7/8/9/10/11/12/13/14 (пачка картонная);
[раствор для инфузий, 2.0 x 1013 вектор-геномов/мл (флакон) 5.5 мл x 2 + 8.3 мл x 1] x 1 (пачка картонная);
[раствор для инфузий, 2.0 x 1013 вектор-геномов/мл (флакон) 5.5 мл x 1 + 8.3 мл x 2] x 1 (пачка картонная);
[раствор для инфузий, 2.0 x 1013 вектор-геномов/мл (флакон) 5.5 мл x 2 + 8.3 мл x 2] x 1 (пачка картонная);
[раствор для инфузий, 2.0 x 1013 вектор-геномов/мл (флакон) 5.5 мл x 1 + 8.3 мл x 3] x 1 (пачка картонная);
[раствор для инфузий, 2.0 x 1013 вектор-геномов/мл (флакон) 5.5 мл x 2 + 8.3 мл x 3] x 1 (пачка картонная);
[раствор для инфузий, 2.0 x 1013 вектор-геномов/мл (флакон) 5.5 мл x 1 + 8.3 мл x 4] x 1 (пачка картонная);
[раствор для инфузий, 2.0 x 1013 вектор-геномов/мл (флакон) 5.5 мл x 2 + 8.3 мл x 4] x 1 (пачка картонная);
[раствор для инфузий, 2.0 x 1013 вектор-геномов/мл (флакон) 5.5 мл x 1 + 8.3 мл x 5] x 1 (пачка картонная);
[раствор для инфузий, 2.0 x 1013 вектор-геномов/мл (флакон) 5.5 мл x 2 + 8.3 мл x 5] x 1 (пачка картонная);
[раствор для инфузий, 2.0 x 1013 вектор-геномов/мл (флакон) 5.5 мл x 1 + 8.3 мл x 6] x 1 (пачка картонная);
[раствор для инфузий, 2.0 x 1013 вектор-геномов/мл (флакон) 5.5 мл x 2 + 8.3 мл x 6] x 1 (пачка картонная);
[раствор для инфузий, 2.0 x 1013 вектор-геномов/мл (флакон) 5.5 мл x 1 + 8.3 мл x 7] x 1 (пачка картонная);
[раствор для инфузий, 2.0 x 1013 вектор-геномов/мл (флакон) 5.5 мл x 2 + 8.3 мл x 7] x 1 (пачка картонная);
[раствор для инфузий, 2.0 x 1013 вектор-геномов/мл (флакон) 5.5 мл x 1 + 8.3 мл x 8] x 1 (пачка картонная);
[раствор для инфузий, 2.0 x 1013 вектор-геномов/мл (флакон) 5.5 мл x 2 + 8.3 мл x 8] x 1 (пачка картонная);
[раствор для инфузий, 2.0 x 1013 вектор-геномов/мл (флакон) 5.5 мл x 1 + 8.3 мл x 9] x 1 (пачка картонная);
[раствор для инфузий, 2.0 x 1013 вектор-геномов/мл (флакон) 5.5 мл x 2 + 8.3 мл x 9] x 1 (пачка картонная);
[раствор для инфузий, 2.0 x 1013 вектор-геномов/мл (флакон) 5.5 мл x 1 + 8.3 мл x 10] x 1 (пачка картонная);
[раствор для инфузий, 2.0 x 1013 вектор-геномов/мл (флакон) 5.5 мл x 2 + 8.3 мл x 10] x 1 (пачка картонная);
[раствор для инфузий, 2.0 x 1013 вектор-геномов/мл (флакон) 5.5 мл x 1 + 8.3 мл x 11] x 1 (пачка картонная);
[раствор для инфузий, 2.0 x 1013 вектор-геномов/мл (флакон) 5.5 мл x 2 + 8.3 мл x 11] x 1 (пачка картонная);
[раствор для инфузий, 2.0 x 1013 вектор-геномов/мл (флакон) 5.5 мл x 1 + 8.3 мл x 12] x 1 (пачка картонная);
[раствор для инфузий, 2.0 x 1013 вектор-геномов/мл (флакон) 5.5 мл x 2 + 8.3 мл x 12] x 1 (пачка картонная);
[раствор для инфузий, 2.0 x 1013 вектор-геномов/мл (флакон) 5.5 мл x 1 + 8.3 мл x 13] x 1 (пачка картонная).
2.:
раствор для инфузий, 2.0 x 1013 вектор-геномов/мл (флакон) 8.3 мл x 2/3/4/5/6/7/8/9/10/11/12/13/14 (пачка картонная);
[раствор для инфузий, 2.0 x 1013 вектор-геномов/мл (флакон) 5.5 мл x 2 + 8.3 мл x 1] x 1 (пачка картонная);
[раствор для инфузий, 2.0 x 1013 вектор-геномов/мл (флакон) 5.5 мл x 1 + 8.3 мл x 2] x 1 (пачка картонная);
[раствор для инфузий, 2.0 x 1013 вектор-геномов/мл (флакон) 5.5 мл x 2 + 8.3 мл x 2] x 1 (пачка картонная);
[раствор для инфузий, 2.0 x 1013 вектор-геномов/мл (флакон) 5.5 мл x 1 + 8.3 мл x 3] x 1 (пачка картонная);
[раствор для инфузий, 2.0 x 1013 вектор-геномов/мл (флакон) 5.5 мл x 2 + 8.3 мл x 3] x 1 (пачка картонная);
[раствор для инфузий, 2.0 x 1013 вектор-геномов/мл (флакон) 5.5 мл x 1 + 8.3 мл x 4] x 1 (пачка картонная);
[раствор для инфузий, 2.0 x 1013 вектор-геномов/мл (флакон) 5.5 мл x 2 + 8.3 мл x 4] x 1 (пачка картонная);
[раствор для инфузий, 2.0 x 1013 вектор-геномов/мл (флакон) 5.5 мл x 1 + 8.3 мл x 5] x 1 (пачка картонная);
[раствор для инфузий, 2.0 x 1013 вектор-геномов/мл (флакон) 5.5 мл x 2 + 8.3 мл x 5] x 1 (пачка картонная);
[раствор для инфузий, 2.0 x 1013 вектор-геномов/мл (флакон) 5.5 мл x 1 + 8.3 мл x 6] x 1 (пачка картонная);
[раствор для инфузий, 2.0 x 1013 вектор-геномов/мл (флакон) 5.5 мл x 2 + 8.3 мл x 6] x 1 (пачка картонная);
[раствор для инфузий, 2.0 x 1013 вектор-геномов/мл (флакон) 5.5 мл x 1 + 8.3 мл x 7] x 1 (пачка картонная);
[раствор для инфузий, 2.0 x 1013 вектор-геномов/мл (флакон) 5.5 мл x 2 + 8.3 мл x 7] x 1 (пачка картонная);
[раствор для инфузий, 2.0 x 1013 вектор-геномов/мл (флакон) 5.5 мл x 1 + 8.3 мл x 8] x 1 (пачка картонная);
[раствор для инфузий, 2.0 x 1013 вектор-геномов/мл (флакон) 5.5 мл x 2 + 8.3 мл x 8] x 1 (пачка картонная);
[раствор для инфузий, 2.0 x 1013 вектор-геномов/мл (флакон) 5.5 мл x 1 + 8.3 мл x 9] x 1 (пачка картонная);
[раствор для инфузий, 2.0 x 1013 вектор-геномов/мл (флакон) 5.5 мл x 2 + 8.3 мл x 9] x 1 (пачка картонная);
[раствор для инфузий, 2.0 x 1013 вектор-геномов/мл (флакон) 5.5 мл x 1 + 8.3 мл x 10] x 1 (пачка картонная);
[раствор для инфузий, 2.0 x 1013 вектор-геномов/мл (флакон) 5.5 мл x 2 + 8.3 мл x 10] x 1 (пачка картонная);
[раствор для инфузий, 2.0 x 1013 вектор-геномов/мл (флакон) 5.5 мл x 1 + 8.3 мл x 11] x 1 (пачка картонная);
[раствор для инфузий, 2.0 x 1013 вектор-геномов/мл (флакон) 5.5 мл x 2 + 8.3 мл x 11] x 1 (пачка картонная);
[раствор для инфузий, 2.0 x 1013 вектор-геномов/мл (флакон) 5.5 мл x 1 + 8.3 мл x 12] x 1 (пачка картонная);
[раствор для инфузий, 2.0 x 1013 вектор-геномов/мл (флакон) 5.5 мл x 2 + 8.3 мл x 12] x 1 (пачка картонная);
[раствор для инфузий, 2.0 x 1013 вектор-геномов/мл (флакон) 5.5 мл x 1 + 8.3 мл x 13] x 1 (пачка картонная).
</t>
  </si>
  <si>
    <t>1. ЛП-№(001462)-(РГ-RU);
2. ЛП-№(001462)-(РГ-RU).</t>
  </si>
  <si>
    <t>0873400003923000627</t>
  </si>
  <si>
    <t>1970515020224000007</t>
  </si>
  <si>
    <t>https://zakupki.gov.ru/epz/order/notice/ea20/view/common-info.html?regNumber=0873400003923000627</t>
  </si>
  <si>
    <t>0873400003923000627-0001</t>
  </si>
  <si>
    <t>Нонаког альфа, лиофилизат для приготовления раствора для внутривенного введения, 1000 МЕ</t>
  </si>
  <si>
    <t>1.Иннонафактор®;
2.Иннонафактор®.</t>
  </si>
  <si>
    <t>1.[лиофилизат для приготовления раствора для внутривенного введения, 1000 МЕ (флакон) х 1
+ растворитель - вода для инъекций (флакон) 10 мл х 1 + (шприц) х 1 + (канюля) х 2 + (катетер для периферических вен) х 1 + (пластырь фиксирующий) х 1 + (салфетка спиртовая) х 2] х 1 (пачка картонная);
2.[лиофилизат для приготовления раствора для внутривенного введения, 1000 МЕ (флакон) х 1
+ растворитель - вода для инъекций (флакон) 10 мл х 1 + (шприц) х 1 + (канюля) х 2 + (катетер для периферических вен) х 1 + (пластырь фиксирующий) х 1 + (салфетка спиртовая) х 2] х 1 (пачка картонная).</t>
  </si>
  <si>
    <t>1ЛП-002662;
2.ЛП-№(002260)-(РГ-RU).</t>
  </si>
  <si>
    <t>0873400003923000628</t>
  </si>
  <si>
    <t>https://zakupki.gov.ru/epz/order/notice/ea20/view/common-info.html?regNumber=0873400003923000628</t>
  </si>
  <si>
    <t>Фактор свертывания крови VIII + Фактор Виллебранда, лиофилизат для приготовления раствора для внутривенного введения, 900 МЕ + 800 МЕ</t>
  </si>
  <si>
    <t>0873400003923000629</t>
  </si>
  <si>
    <t>https://zakupki.gov.ru/epz/order/notice/ea20/view/common-info.html?regNumber=0873400003923000629</t>
  </si>
  <si>
    <t>Даратумумаб, концентрат для приготовления раствора для инфузий, 20 мг/мл, 20 мл</t>
  </si>
  <si>
    <t>0873400003923000630</t>
  </si>
  <si>
    <t>https://zakupki.gov.ru/epz/order/notice/ea20/view/common-info.html?regNumber=0873400003923000630</t>
  </si>
  <si>
    <t>Фактор свертывания крови IX, лиофилизат для приготовления раствора для внутривенного введения и/или инфузий, 250 МЕ</t>
  </si>
  <si>
    <t>0873400003923000631</t>
  </si>
  <si>
    <t>1970515020224000002</t>
  </si>
  <si>
    <t>https://zakupki.gov.ru/epz/order/notice/ea20/view/common-info.html?regNumber=0873400003923000631</t>
  </si>
  <si>
    <t>0873400003923000631-0001</t>
  </si>
  <si>
    <t>Леналидомид, капсулы, 15 мг</t>
  </si>
  <si>
    <t>Леналидомид</t>
  </si>
  <si>
    <t>капсулы, 15 мг (контурная ячейковая упаковка) 7 х 3 (пачка картонная)</t>
  </si>
  <si>
    <t>ЛП-008057</t>
  </si>
  <si>
    <t>0873400003923000632</t>
  </si>
  <si>
    <t>1970515020224000001</t>
  </si>
  <si>
    <t>https://zakupki.gov.ru/epz/order/notice/ea20/view/common-info.html?regNumber=0873400003923000632</t>
  </si>
  <si>
    <t>0873400003923000632-0001</t>
  </si>
  <si>
    <t>Фактор свертывания крови VIII, лиофилизат для приготовления раствора для внутривенного введения и/или инфузий, 250 МЕ</t>
  </si>
  <si>
    <t xml:space="preserve">4 824 855,00	</t>
  </si>
  <si>
    <t>1. Октанат;
2. Октанат;
3. Октанат;
4. Октанат;
5. Октанат.</t>
  </si>
  <si>
    <t>1. лиофилизат для приготовления раствора для внутривенного введения, 250 МЕ (флакон) х 1 (пачка картонная) + [растворитель -вода для инъекций (флакон) 5 мл х 1 + шприц х 1 + игла  двухконцевая х 1 + игла фильтровальная х 1 + игла-бабочка х 1 + салфетка дезинфицирующая х 2] х 1 (пачка картонная);
2. лиофилизат для приготовления раствора для внутривенного введения, 250 МЕ (флакон) х 1 (пачка картонная) + [растворитель -вода для инъекций (флакон) 5 мл х 1 + шприц х 1 + игла  двухконцевая х 1 + игла фильтровальная х 1 + игла-бабочка х 1 + салфетка дезинфицирующая х 2] х 1 (пачка картонная);
3. лиофилизат для приготовления раствора для внутривенного введения, 250 МЕ (флакон) х 1 (пачка картонная) + [растворитель -вода для инъекций (флакон) 5 мл х 1 + шприц х 1 + игла  двухконцевая х 1 + игла фильтровальная х 1 + игла-бабочка х 1 + салфетка дезинфицирующая х 2] х 1 (пачка картонная);
4. лиофилизат для приготовления раствора для внутривенного введения, 250 МЕ (флакон) х 1 (пачка картонная) + [растворитель -вода для инъекций (флакон) 5 мл х 1 + шприц х 1 + игла  двухконцевая х 1 + игла фильтровальная х 1 + игла-бабочка х 1 + салфетка дезинфицирующая х 2] х 1 (пачка картонная);
5.лиофилизат для приготовления раствора для внутривенного введения, 250 МЕ (флакон) х 1 (пачка картонная) + [растворитель -вода для инъекций (флакон) 5 мл х 1 + шприц х 1 + игла  двухконцевая х 1 + игла фильтровальная х 1 + игла-бабочка х 1 + салфетка дезинфицирующая х 2] х 1 (пачка картонная).</t>
  </si>
  <si>
    <t>1. П N016162/01;
2. П N016162/01;
3. П N016162/01;
4. П N016162/01;
5. П N016162/01.</t>
  </si>
  <si>
    <t>Швеция, Австрия, Франция</t>
  </si>
  <si>
    <t>0873400003923000633</t>
  </si>
  <si>
    <t>1970515020224000013</t>
  </si>
  <si>
    <t>https://zakupki.gov.ru/epz/order/notice/ea20/view/common-info.html?regNumber=0873400003923000633</t>
  </si>
  <si>
    <t>0873400003923000633-0001</t>
  </si>
  <si>
    <t>Экулизумаб, концентрат для приготовления раствора для инфузий, 10 мг/мл</t>
  </si>
  <si>
    <t>Элизария®</t>
  </si>
  <si>
    <t>концентрат для приготовления раствора для инфузий,
10.0 мг/мл (флакон) 30 мл х 1 (пачка картонная)</t>
  </si>
  <si>
    <t>ЛП-№(000140)-(РГ-RU)</t>
  </si>
  <si>
    <t>0873400003923000634</t>
  </si>
  <si>
    <t>1970515020224000011</t>
  </si>
  <si>
    <t>https://zakupki.gov.ru/epz/order/notice/ea20/view/common-info.html?regNumber=0873400003923000634</t>
  </si>
  <si>
    <t>0873400003923000634-0001</t>
  </si>
  <si>
    <t>Леналидомид, капсулы, 20 мг</t>
  </si>
  <si>
    <t>0873400003923000635</t>
  </si>
  <si>
    <t>1970515020224000004</t>
  </si>
  <si>
    <t>https://zakupki.gov.ru/epz/order/notice/ea20/view/common-info.html?regNumber=0873400003923000635</t>
  </si>
  <si>
    <t>0873400003923000635-0001</t>
  </si>
  <si>
    <t>Фактор свертывания крови VIII + Фактор Виллебранда, лиофилизат для приготовления раствора для внутривенного введения, 250 МЕ + 600 МЕ</t>
  </si>
  <si>
    <t>[лиофилизат для приготовления раствора для внутривенного введения, 250 МЕ+600 МЕ (флакон) х 1 + растворитель (флакон) 5 мл х 1 + комплект для внутривенного введения [устройство для добавления растворителя со встроенным фильтром (Mix-2VialТМ 20/20) х 1+ шприц х 1 + игла-бабочка х 1 + салфетка дезинфицирующая х 2 + лейкопластырь х 1] х 1] х 1 (пачка картонная)</t>
  </si>
  <si>
    <t>0873400003923000636</t>
  </si>
  <si>
    <t>https://zakupki.gov.ru/epz/order/notice/ea20/view/common-info.html?regNumber=0873400003923000636</t>
  </si>
  <si>
    <t>Фактор свертывания крови VIII, лиофилизат для приготовления раствора для внутривенного введения и/или инфузий, 500 МЕ</t>
  </si>
  <si>
    <t>0873400003923000637</t>
  </si>
  <si>
    <t>1970515020224000005</t>
  </si>
  <si>
    <t>https://zakupki.gov.ru/epz/order/notice/ea20/view/common-info.html?regNumber=0873400003923000637</t>
  </si>
  <si>
    <t>0873400003923000637-0001</t>
  </si>
  <si>
    <t>Мороктоког альфа, лиофилизат для 
приготовления раствора для внутривенного введения, 500 МЕ</t>
  </si>
  <si>
    <t>1.Октофактор®;
2. Октофактор®;</t>
  </si>
  <si>
    <t>1.[лиофилизат для приготовления раствора для внутривенного введения, 500 МЕ (флакон) х 1
+ растворитель (флакон) 5 мл х 1 + (шприц) х 1 + 
(канюля х 2) + (катетер для периферических вен) х 1 + 
(пластырь фиксирующий) х 1 + (салфетка спиртовая) х 2] 
х 1 (пачка картонная);
2.[лиофилизат для приготовления раствора для внутривенного введения, 500 МЕ (флакон) х 1
+ растворитель (флакон) 5 мл х 1 + (шприц) х 1 + 
(канюля х 2) + (катетер для периферических вен) х 1 + 
(пластырь фиксирующий) х 1 + (салфетка спиртовая) х 2] 
х 1 (пачка картонная).</t>
  </si>
  <si>
    <t>1.ЛП-002015;
2. ЛП-№(002305)-(РГ-RU)</t>
  </si>
  <si>
    <t>0873400003923000638</t>
  </si>
  <si>
    <t>1970515020224000018</t>
  </si>
  <si>
    <t>https://zakupki.gov.ru/epz/order/notice/ea20/view/common-info.html?regNumber=0873400003923000638</t>
  </si>
  <si>
    <t>0873400003923000638-0001</t>
  </si>
  <si>
    <t>Натализумаб, концентрат для приготовления раствора для инфузий, 20 мг/мл</t>
  </si>
  <si>
    <t>15.04.2025 (4 этап 01.07.2025)</t>
  </si>
  <si>
    <t>15.05.2025 (4 этап 01.08.2025)</t>
  </si>
  <si>
    <t>Тизабри</t>
  </si>
  <si>
    <t>концентрат для приготовления раствора для инфузий, 20 мг/мл (флакон) 15 мл х 1 (пачка картонная)</t>
  </si>
  <si>
    <t>ЛСР-008582/10</t>
  </si>
  <si>
    <t>0873400003923000639</t>
  </si>
  <si>
    <t>1970515020224000003</t>
  </si>
  <si>
    <t>https://zakupki.gov.ru/epz/order/notice/ea20/view/common-info.html?regNumber=0873400003923000639</t>
  </si>
  <si>
    <t>0873400003923000639-0001</t>
  </si>
  <si>
    <t>Тоцилизумаб, раствор для подкожного 
введения, 162 мг/0,9 мл</t>
  </si>
  <si>
    <t>раствор для подкожного введения, 162 мг/0.9 мл (шприц-тюбик) x 4 (пачка картонная)</t>
  </si>
  <si>
    <t>ЛП-003186</t>
  </si>
  <si>
    <t>0873400003923000640</t>
  </si>
  <si>
    <t>https://zakupki.gov.ru/epz/order/notice/ea20/view/common-info.html?regNumber=0873400003923000640</t>
  </si>
  <si>
    <t>0873400003923000641</t>
  </si>
  <si>
    <t>https://zakupki.gov.ru/epz/order/notice/ea20/view/common-info.html?regNumber=0873400003923000641</t>
  </si>
  <si>
    <t xml:space="preserve">Окрелизумаб, концентрат для приготовления раствора для инфузий, 30 мг/мл </t>
  </si>
  <si>
    <t>0873400003923000642</t>
  </si>
  <si>
    <t>1970515020224000016</t>
  </si>
  <si>
    <t>https://zakupki.gov.ru/epz/order/notice/ea20/view/common-info.html?regNumber=0873400003923000642</t>
  </si>
  <si>
    <t>0873400003923000642-0001</t>
  </si>
  <si>
    <t>Мороктоког альфа, лиофилизат для 
приготовления раствора для внутривенного введения, 1000 МЕ</t>
  </si>
  <si>
    <t>1.Октофактор®;
2.Октофактор®.</t>
  </si>
  <si>
    <t>1.[лиофилизат для приготовления раствора для внутривенного введения, 1000 МЕ (флакон) х 1 + растворитель (флакон) 
5 мл х 1 + (шприц) х 1 + (канюля х 2) + (катетер для периферических вен) х 1 + (пластырь фиксирующий) х 1 + (салфетка спиртовая) х 2] х 1 (пачка картонная);
2.[лиофилизат для приготовления раствора для внутривенного введения, 1000 МЕ (флакон) х 1 + растворитель (флакон) 5 мл х 1 + (шприц) х 1 + (канюля х 2) + (катетер для периферических вен) х 1 + (пластырь фиксирующий) х 1 + (салфетка спиртовая) х 2] х 1 (пачка картонная).</t>
  </si>
  <si>
    <t>1.ЛП-№(002305)-(РГ-RU);
2.ЛП-002015.</t>
  </si>
  <si>
    <t>0873400003923000643</t>
  </si>
  <si>
    <t>1970515020224000010</t>
  </si>
  <si>
    <t>https://zakupki.gov.ru/epz/order/notice/ea20/view/common-info.html?regNumber=0873400003923000643</t>
  </si>
  <si>
    <t>0873400003923000643-0001</t>
  </si>
  <si>
    <t>Бортезомиб, лиофилизат для приготовления раствора для внутривенного и подкожного введения, 2,5 мг и/или 3,0 мг и/или 3,5 мг</t>
  </si>
  <si>
    <t>1. Борамилан®;
2. Бортезол;
3. Бартизар®.</t>
  </si>
  <si>
    <t>1. лиофилизат для приготовления раствора для внутривенного и подкожного введения, 2.5 мг (флакон) х 1 (пачка картонная);
2. лиофилизат для приготовления раствора для внутривенного и подкожного введения, 3.5 мг (флакон) х 1 (пачка картонная);
3. лиофилизат для приготовления раствора для внутривенного и подкожного введения, 3.5 мг (флакон) 38.336 мг х 1 (пачка картонная).</t>
  </si>
  <si>
    <t>1. ЛП-003210;
2. ЛП-№(000200)-(РГ-RU);
3. ЛП-№(000899)-(РГ-RU).</t>
  </si>
  <si>
    <t>0873400003923000644</t>
  </si>
  <si>
    <t>1970515020224000014</t>
  </si>
  <si>
    <t>https://zakupki.gov.ru/epz/order/notice/ea20/view/common-info.html?regNumber=0873400003923000644</t>
  </si>
  <si>
    <t>0873400003923000644-0001</t>
  </si>
  <si>
    <t>Мороктоког альфа, лиофилизат для 
приготовления раствора для внутривенного введения, 2000 МЕ</t>
  </si>
  <si>
    <t>Октофактор®</t>
  </si>
  <si>
    <t>[лиофилизат для приготовления раствора для внутривенного введения, 2000 МЕ (флакон) х 1 + растворитель (флакон) 5 мл х 1 + (шприц) х 1 + (канюля) х 2 + (катетер для периферических вен) х 1 + (пластырь фиксирующий) х 1 + (салфетка спиртовая) х 2] х 1 (пачка картонная)</t>
  </si>
  <si>
    <t>ЛП-№(002305)-(РГ-RU)</t>
  </si>
  <si>
    <t>0873400003923000645</t>
  </si>
  <si>
    <t>1970515020224000009</t>
  </si>
  <si>
    <t>https://zakupki.gov.ru/epz/order/notice/ea20/view/common-info.html?regNumber=0873400003923000645</t>
  </si>
  <si>
    <t>0873400003923000645-0001</t>
  </si>
  <si>
    <t>Эмицизумаб, раствор для подкожного 
введения 30 мг/мл</t>
  </si>
  <si>
    <t>раствор для подкожного введения, 30 мг/мл (флакон) 30 мг/1 мл х 1 (пачка картонная)</t>
  </si>
  <si>
    <t>0873400003923000646</t>
  </si>
  <si>
    <t>1970515020224000032</t>
  </si>
  <si>
    <t>https://zakupki.gov.ru/epz/order/notice/ea20/view/common-info.html?regNumber=0873400003923000646</t>
  </si>
  <si>
    <t>0873400003923000646-0001</t>
  </si>
  <si>
    <t>Биктегравир + Тенофовир алафенамид + Эмтрицитабин, таблетки покрытые пленочной оболочкой, 50 мг+25 мг+200 мг</t>
  </si>
  <si>
    <t>Биктарви®</t>
  </si>
  <si>
    <t>таблетки, покрытые пленочной оболочкой, 50 мг + 25 мг + 200 мг (флакон) 30 х 1 (пачка картонная)</t>
  </si>
  <si>
    <t>ЛП-006054</t>
  </si>
  <si>
    <t>0873400003923000647</t>
  </si>
  <si>
    <t>1970515020224000031</t>
  </si>
  <si>
    <t>https://zakupki.gov.ru/epz/order/notice/ea20/view/common-info.html?regNumber=0873400003923000647</t>
  </si>
  <si>
    <t>0873400003923000647-0001</t>
  </si>
  <si>
    <t>Кобицистат + Тенофовира алафенамид + Элвитегравир + Эмтрицитабин, таблетки, покрытые пленочной оболочкой, 150 мг + 10 мг + 150 мг + 200 мг</t>
  </si>
  <si>
    <t>Генвоя®</t>
  </si>
  <si>
    <t>таблетки, покрытые пленочной оболочкой, 
150 мг+10 мг+150 мг+200 мг (флакон) 30 x 1 (пачка картонная)</t>
  </si>
  <si>
    <t>ЛП-005722</t>
  </si>
  <si>
    <t>0873400003923000648</t>
  </si>
  <si>
    <t>1970515020224000019</t>
  </si>
  <si>
    <t>https://zakupki.gov.ru/epz/order/notice/ea20/view/common-info.html?regNumber=0873400003923000648</t>
  </si>
  <si>
    <t>0873400003923000648-0001</t>
  </si>
  <si>
    <t>ООО "Скопинский фармацевтический завод"</t>
  </si>
  <si>
    <t>Галсульфаза, концентрат для приготовления раствора для инфузий, 1 мг/мл</t>
  </si>
  <si>
    <t>1. Наглазим®;
2. Наглазим®;
3. Наглазим®.</t>
  </si>
  <si>
    <t>1.концентрат для приготовления раствора для инфузий, 1 мг/мл (флакон) 5 мл х 1 (коробка картонная);
2.концентрат для приготовления раствора для инфузий, 1 мг/мл (флакон) 5 мл х 1 (коробка картонная);
3.концентрат для приготовления раствора для инфузий, 1 мг/мл (флакон) 5 мл х 1 (коробка картонная).</t>
  </si>
  <si>
    <t>1. ЛП-№(000911)-(РГ-RU);
2. ЛП-№(000911)-(РГ-RU);
3. ЛП-№(000911)-(РГ-RU).</t>
  </si>
  <si>
    <t>0873400003923000651</t>
  </si>
  <si>
    <t>1970515020224000030</t>
  </si>
  <si>
    <t>https://zakupki.gov.ru/epz/order/notice/ea20/view/common-info.html?regNumber=0873400003923000651</t>
  </si>
  <si>
    <t>0873400003923000651_358372</t>
  </si>
  <si>
    <t>0873400003923000652</t>
  </si>
  <si>
    <t>https://zakupki.gov.ru/epz/order/notice/ea20/view/common-info.html?regNumber=0873400003923000652</t>
  </si>
  <si>
    <t>Талиглюцераза альфа, лиофилизат для 
приготовления концентрата для 
приготовления раствора для инфузий, 200 ЕД</t>
  </si>
  <si>
    <t>0873400003923000656</t>
  </si>
  <si>
    <t>1970515020224000035</t>
  </si>
  <si>
    <t>https://zakupki.gov.ru/epz/order/notice/ea20/view/common-info.html?regNumber=0873400003923000656</t>
  </si>
  <si>
    <t>0873400003923000656-0001</t>
  </si>
  <si>
    <t>Тивикай®</t>
  </si>
  <si>
    <t>таблетки, покрытые пленочной оболочкой, 50 мг (флакон) 30 х 1 (пачка картонная)</t>
  </si>
  <si>
    <t>ЛП-№(002497)-(РГ-RU).</t>
  </si>
  <si>
    <t>0873400003923000657</t>
  </si>
  <si>
    <t>1970515020224000036</t>
  </si>
  <si>
    <t>https://zakupki.gov.ru/epz/order/notice/ea20/view/common-info.html?regNumber=0873400003923000657</t>
  </si>
  <si>
    <t>0873400003923000657-0001</t>
  </si>
  <si>
    <t>0873400003923000658</t>
  </si>
  <si>
    <t>1970515020224000029</t>
  </si>
  <si>
    <t>https://zakupki.gov.ru/epz/order/notice/ea20/view/common-info.html?regNumber=0873400003923000658</t>
  </si>
  <si>
    <t>0873400003923000658-0001</t>
  </si>
  <si>
    <t>65 571,6666/ 78 686</t>
  </si>
  <si>
    <t>65 572/ 78686</t>
  </si>
  <si>
    <t>1.Иммунин;
2. Иммунин;
3.Аимафикс;
4. Октанайн Ф (фильтрованный).</t>
  </si>
  <si>
    <t xml:space="preserve">1.[ лиофилизат для приготовления раствора для инфузий, 600 МЕ (флакон) х 1+ растворитель (флакон) 5 мл х 1 + набор для растворения и введения препарата  (игла-переходник, воздуховодная игла, игла-фильтр, одноразовый шприц, игла- ˮбабочкаˮ  для трансфузий , одноразовая игла для инъекций) х 1] х 1 (коробка картонная);
2.[ лиофилизат для приготовления раствора для инфузий, 600 МЕ (флакон) х 1+ растворитель (флакон) 5 мл х 1 + набор для растворения и введения препарата  (игла-переходник, воздуховодная игла, игла-фильтр, одноразовый шприц, игла- ˮбабочкаˮ  для трансфузий , одноразовая игла для инъекций) х 1] х 1 (коробка картонная);
3. [лиофилизат для приготовления раствора для внутривенного введения, 500 МЕ (флакон) х 1 + растворитель - вода для инъекций (флакон) 10 мл х 1 + стерильное апирогенное оборудование для приготовления и введения восстановленного раствора препарата (безыгольное передаточное устройство, игла-бабочка, шприц 10 мл) х 1] х 1 (пачка картонная);
4. лиофилизат для приготовления раствора для инфузий, 500 МЕ (флакон) 500 МЕ х 1 (пачка картонная) + [растворитель – вода для инъекций (флакон) 5 мл х 1 + шприц х 1 + игла двухконцевая х 1 + игла фильтровальная х 1 + игла-бабочка х 1 + салфетка дезинфицирующая х 2] х 1 (пачка картонная).
</t>
  </si>
  <si>
    <t>1. П N013750/01;
2. ЛП-№(001827)-(РГ-RU);
3. П N015034/01;
4. П N015193/01.</t>
  </si>
  <si>
    <t>Австрия, Италия</t>
  </si>
  <si>
    <t>1.600 МЕ;
2.600 МЕ;
3.500 МЕ;
4.500 МЕ.</t>
  </si>
  <si>
    <t>0873400003923000663</t>
  </si>
  <si>
    <t>1970515020224000044</t>
  </si>
  <si>
    <t>https://zakupki.gov.ru/epz/order/notice/ea20/view/common-info.html?regNumber=0873400003923000663</t>
  </si>
  <si>
    <t>0873400003923000663-0001</t>
  </si>
  <si>
    <t>Эмицизумаб, раствор для подкожного 
введения, 150 мг/мл, 0,4 мл</t>
  </si>
  <si>
    <t>раствор для подкожного введения, 150 мг/мл (флакон) 60 мг/0.4 мл х 1 (пачка картонная)</t>
  </si>
  <si>
    <t>0873400003923000664</t>
  </si>
  <si>
    <t>https://zakupki.gov.ru/epz/order/notice/ea20/view/common-info.html?regNumber=0873400003923000664</t>
  </si>
  <si>
    <t xml:space="preserve">Эптаког альфа (активированный), лиофилизат для приготовления раствора для внутривенного введения, 1,2 мг (60 КЕД) </t>
  </si>
  <si>
    <t>0873400003923000665</t>
  </si>
  <si>
    <t>1970515020224000026</t>
  </si>
  <si>
    <t>https://zakupki.gov.ru/epz/order/notice/ea20/view/common-info.html?regNumber=0873400003923000665</t>
  </si>
  <si>
    <t>0873400003923000665-0001</t>
  </si>
  <si>
    <t>Велаглюцераза альфа, лиофилизат для 
приготовления раствора для инфузий, 400 ЕД</t>
  </si>
  <si>
    <t>ВПРИВ®</t>
  </si>
  <si>
    <t>лиофилизат для приготовления раствора для инфузий, 400 ЕД (флакон) х 1 (пачка картонная)</t>
  </si>
  <si>
    <t>ЛП-001975</t>
  </si>
  <si>
    <t>ЕД</t>
  </si>
  <si>
    <t>0873400003923000666</t>
  </si>
  <si>
    <t>https://zakupki.gov.ru/epz/order/notice/ea20/view/common-info.html?regNumber=0873400003923000666</t>
  </si>
  <si>
    <t xml:space="preserve">Эптаког альфа (активированный), лиофилизат для приготовления раствора для внутривенного введения, 2,4 мг (120 КЕД) </t>
  </si>
  <si>
    <t>0873400003923000667</t>
  </si>
  <si>
    <t>1970515020224000021</t>
  </si>
  <si>
    <t>https://zakupki.gov.ru/epz/order/notice/ea20/view/common-info.html?regNumber=0873400003923000667</t>
  </si>
  <si>
    <t>0873400003923000667_358372</t>
  </si>
  <si>
    <t>Велпатасвир + Софосбувир, таблетки, 
покрытые пленочной оболочкой, 100 мг + 400 мг</t>
  </si>
  <si>
    <t>Эпклюза®</t>
  </si>
  <si>
    <t>таблетки, покрытые пленочной оболочкой, 
100 мг + 400 мг (флакон) 28 х 1 (пачка картонная)</t>
  </si>
  <si>
    <t>ЛП-№(000948)-(РГ-RU)</t>
  </si>
  <si>
    <t>0873400003923000668</t>
  </si>
  <si>
    <t>1970515020224000025</t>
  </si>
  <si>
    <t>https://zakupki.gov.ru/epz/order/notice/ea20/view/common-info.html?regNumber=0873400003923000668</t>
  </si>
  <si>
    <t>0873400003923000668-0001</t>
  </si>
  <si>
    <t>Имиглюцераза, лиофилизат для 
приготовления раствора для инфузий, 400 ЕД</t>
  </si>
  <si>
    <t>Глуразим</t>
  </si>
  <si>
    <t>ЛП-005297</t>
  </si>
  <si>
    <t>0873400003923000669</t>
  </si>
  <si>
    <t>1970515020224000028</t>
  </si>
  <si>
    <t>https://zakupki.gov.ru/epz/order/notice/ea20/view/common-info.html?regNumber=0873400003923000669</t>
  </si>
  <si>
    <t>0873400003923000669-0001</t>
  </si>
  <si>
    <t>Ларонидаза, концентрат для приготовления раствора для инфузий, 100 ЕД/мл</t>
  </si>
  <si>
    <t>Альдуразим®</t>
  </si>
  <si>
    <t>концентрат для приготовления раствора для инфузий, 100 ЕД/мл (флакон) 5 мл х 1 (пачка картонная);</t>
  </si>
  <si>
    <t>ЛП-№(000046)-(РГ-RU)</t>
  </si>
  <si>
    <t>0873400003923000670</t>
  </si>
  <si>
    <t>1970515020224000027</t>
  </si>
  <si>
    <t>https://zakupki.gov.ru/epz/order/notice/ea20/view/common-info.html?regNumber=0873400003923000670</t>
  </si>
  <si>
    <t>0873400003923000670-0001</t>
  </si>
  <si>
    <t>ООО "РБ Трейд"</t>
  </si>
  <si>
    <t>Эптаког альфа (активированный), лиофилизат для приготовления раствора для внутривенного введения, 4,8 мг (240 КЕД)</t>
  </si>
  <si>
    <t>АриоСэвен™</t>
  </si>
  <si>
    <t>[лиофилизат для приготовления раствора для внутривенного введения, 4.8 мг (240 КЕД)
(флакон) x 1 + растворитель (флакон) 8.5 мл x 1] х 1 (пачка картонная)</t>
  </si>
  <si>
    <t>ЛП-007844</t>
  </si>
  <si>
    <t>0873400003923000671</t>
  </si>
  <si>
    <t>1970515020224000034</t>
  </si>
  <si>
    <t>https://zakupki.gov.ru/epz/order/notice/ea20/view/common-info.html?regNumber=0873400003923000671</t>
  </si>
  <si>
    <t>0873400003923000671-0001</t>
  </si>
  <si>
    <t>Дорназа альфа, раствор для ингаляций, 2,5 мг/2,5 мл</t>
  </si>
  <si>
    <t>1.Тигераза®;
2.Тигераза®.</t>
  </si>
  <si>
    <t>1.раствор для ингаляций, 2.5мг/2.5мл (ампула) 6 х 1 (пачка картонная);
2. раствор для ингаляций, 2.5мг/2.5мл (ампула) 6 х 1 (пачка картонная).</t>
  </si>
  <si>
    <t>1.ЛП-№(002646)-(РГ-RU);
2.ЛП-№(002646)-(РГ-RU)</t>
  </si>
  <si>
    <t>0873400003923000672</t>
  </si>
  <si>
    <t>1970515020224000015</t>
  </si>
  <si>
    <t>https://zakupki.gov.ru/epz/order/notice/ea20/view/common-info.html?regNumber=0873400003923000672</t>
  </si>
  <si>
    <t>0873400003923000672-0001</t>
  </si>
  <si>
    <t>ООО "Профарм"</t>
  </si>
  <si>
    <t>Флударабин, таблетки покрытые пленочной оболочкой, 10 мг</t>
  </si>
  <si>
    <t>ДАРБИНЕС</t>
  </si>
  <si>
    <t>таблетки, покрытые пленочной оболочкой, 10 мг (контурная ячейковая упаковка) 5 х 4 (пачка картонная)</t>
  </si>
  <si>
    <t>ЛП-004351</t>
  </si>
  <si>
    <t>0873400003923000673</t>
  </si>
  <si>
    <t>1970515020224000024</t>
  </si>
  <si>
    <t>https://zakupki.gov.ru/epz/order/notice/ea20/view/common-info.html?regNumber=0873400003923000673</t>
  </si>
  <si>
    <t>0873400003923000673-0001</t>
  </si>
  <si>
    <t>Антиингибиторный коагулянтный комплекс, лиофилизат для приготовления раствора для инфузий, 1000 ЕД</t>
  </si>
  <si>
    <t>Фейба®</t>
  </si>
  <si>
    <t>[лиофилизат для приготовления раствора для инфузий, 1000 ЕД (флакон) х 1+ растворитель (флакон) 20 мл х 1 + набор для растворения и введения препарата (игла-переходник, воздуховодная игла, игла-фильтр, одноразовый шприц, игла-«бабочка» для трансфузии, одноразовая игла для инъекций) х 1] х 1 (коробка картонная)</t>
  </si>
  <si>
    <t>П N013644/01</t>
  </si>
  <si>
    <t>0873400003923000674</t>
  </si>
  <si>
    <t>1970515020224000012</t>
  </si>
  <si>
    <t>https://zakupki.gov.ru/epz/order/notice/ea20/view/common-info.html?regNumber=0873400003923000674</t>
  </si>
  <si>
    <t>0873400003923000674-0001</t>
  </si>
  <si>
    <t>Леналидомид, капсулы 7,5 мг</t>
  </si>
  <si>
    <t>Леналидомид-АМЕДАРТ</t>
  </si>
  <si>
    <t>капсулы 7,5 мг (банка) 21 х 1 (пачка картонная)</t>
  </si>
  <si>
    <t>ЛП-№(003333)-(РГ-RU)</t>
  </si>
  <si>
    <t>0873400003923000675</t>
  </si>
  <si>
    <t>1970515020224000017</t>
  </si>
  <si>
    <t>https://zakupki.gov.ru/epz/order/notice/ea20/view/common-info.html?regNumber=0873400003923000675</t>
  </si>
  <si>
    <t>0873400003923000675-0001</t>
  </si>
  <si>
    <t>Антиингибиторный коагулянтный комплекс, лиофилизат для приготовления раствора для инфузий, 500 ЕД</t>
  </si>
  <si>
    <t>[лиофилизат для приготовления раствора для инфузий, 500 ЕД (флакон) х 1+ растворитель (флакон) 10 мл х 1 + набор для растворения и введения препарата (игла-переходник, воздуховодная игла, игла-фильтр, одноразовый шприц, игла-"бабочка" для трансфузии, одноразовая игла для инъекций) х 1] х 1 (коробка картонная)</t>
  </si>
  <si>
    <t>0873400003923000676</t>
  </si>
  <si>
    <t>1970515020224000033</t>
  </si>
  <si>
    <t>https://zakupki.gov.ru/epz/order/notice/ea20/view/common-info.html?regNumber=0873400003923000676</t>
  </si>
  <si>
    <t>0873400003923000676-0001</t>
  </si>
  <si>
    <t>01.03.2025 (4 этап 30.09.2025)</t>
  </si>
  <si>
    <t>01.04.2025 (4 этап 01.11.2025)</t>
  </si>
  <si>
    <t>1.Иммунин;
2.Иммунин;
3.Аимафикс;
4.Октанайн Ф (фильтрованный).</t>
  </si>
  <si>
    <t>1. [лиофилизат для приготовления раствора для инфузий, 1200 МЕ (флакон) х 1 + растворитель (флакон) 10 мл х 1 + набор для растворения и введения препарата (игла-переходник, воздуховодная игла, игла-фильтр, одноразовый шприц, игла – ˮбабочкаˮ для трансфузии, одноразовая игла для инъекций) х 1] х 1 (коробка картонная);
2.[лиофилизат для приготовления раствора для инфузий, 1200 МЕ (флакон) х 1 + растворитель (флакон) 10 мл х 1 + набор для растворения и введения препарата (игла-переходник, воздуховодная игла, игла-фильтр, одноразовый шприц, игла – ˮбабочкаˮ для трансфузии, одноразовая игла для инъекций) х 1] х 1 (коробка картонная);
3. [лиофилизат для приготовления раствора для внутривенного введения, 1000 МЕ (флакон) х 1 + растворитель - вода для инъекций (флакон) 10 мл х 1 + стерильное апирогенное оборудование для приготовления и введения восстановленного раствора препарата (безыгольное передаточное устройство, игла-бабочка, шприц 10 мл) х 1] х 1 (пачка картонная);
4. лиофилизат для приготовления раствора для инфузий, 1000 МЕ (флакон) 1000 МЕ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картонная).</t>
  </si>
  <si>
    <t>1. П №013750/01;
2. ЛП-№(001827)-(РГ-RU);
3. П N015034/01;
4. П N0015193/01.</t>
  </si>
  <si>
    <t>1. 1200 МЕ;
2. 1200 МЕ;
3. 1000 МЕ;
4. 1000 МЕ.</t>
  </si>
  <si>
    <t>0873400003923000677</t>
  </si>
  <si>
    <t>https://zakupki.gov.ru/epz/order/notice/ea20/view/common-info.html?regNumber=0873400003923000677</t>
  </si>
  <si>
    <t>Октоког альфа, лиофилизат для приготовления раствора для внутривенного введения, 500 МЕ</t>
  </si>
  <si>
    <t>0873400003923000678</t>
  </si>
  <si>
    <t>1970515020224000020</t>
  </si>
  <si>
    <t>https://zakupki.gov.ru/epz/order/notice/ea20/view/common-info.html?regNumber=0873400003923000678</t>
  </si>
  <si>
    <t>0873400003923000678_358372</t>
  </si>
  <si>
    <t>Динутуксимаб бета, концентрат для 
приготовления раствора для инфузий, 4,5 мг/мл</t>
  </si>
  <si>
    <t>В соответствии с регистрационным удостоверением:
концентрат для приготовления раствора для инфузий, 4,5 мг/мл (флакон) 4,5 мл х 1 (пачка картонная)
В соответствии с заключением о возможности (невозможности) обращения в Российской Федерации серии (партии) лекарственного препарата в упаковке, предназначенной для обращения на территории иностранных государств, в отношении которого межведомственной комиссией установлена дефектура или риск ее возникновения в связи с введением в отношении Российской Федерации ограничительных мер экономического характера от 09.06.2023 № 8: 
концентрат для приготовления раствора для инфузий 4,5 мг/мл.</t>
  </si>
  <si>
    <t>0873400003923000679</t>
  </si>
  <si>
    <t>1970515020224000065</t>
  </si>
  <si>
    <t>https://zakupki.gov.ru/epz/order/notice/ea20/view/common-info.html?regNumber=0873400003923000679</t>
  </si>
  <si>
    <t>0873400003923000679-0001</t>
  </si>
  <si>
    <t>ООО "МЕДИЛОН-ФАРМИМЭКС"</t>
  </si>
  <si>
    <t>Идурсульфаза бета, концентрат для 
приготовления раствора для инфузий, 2 мг/мл</t>
  </si>
  <si>
    <t>Хантераза</t>
  </si>
  <si>
    <t>концентрат для приготовления раствора для инфузий, 2 мг/мл (флакон) 3.0 мл х 1 (пачка картонная)</t>
  </si>
  <si>
    <t>ЛП-004673</t>
  </si>
  <si>
    <t>Корея</t>
  </si>
  <si>
    <t>0873400003923000681</t>
  </si>
  <si>
    <t>1970515020224000048</t>
  </si>
  <si>
    <t>https://zakupki.gov.ru/epz/order/notice/ea20/view/common-info.html?regNumber=0873400003923000681</t>
  </si>
  <si>
    <t>0873400003923000681-0001</t>
  </si>
  <si>
    <t xml:space="preserve">Октоког альфа, лиофилизат для приготовления раствора для внутривенного введения, 1000 - 1500 МЕ </t>
  </si>
  <si>
    <t>1. Адвейт®;
2. Адвейт®;
3. Адвейт®.</t>
  </si>
  <si>
    <t>1.[лиофилизат для приготовления раствора для внутривенного введения, 1000 МЕ (флакон) х 1 + растворитель (флакон) 5 мл х 1 + (устройство безыгольного разведения БАКСЖЕКТ II) х 1] х 1 (коробка картонная) + набор для введения [(игла-бабочка) х 1 + (одноразовый шприц) х 1 + (спиртовая салфетка) х 2 + (пластырь) х 2] х 1 (коробка картонная);
2.[лиофилизат для приготовления раствора для внутривенного введения, 1000 МЕ (флакон) х 1 + растворитель (флакон) 5 мл х 1 + (устройство безыгольного разведения БАКСЖЕКТ II) х 1] х 1 (коробка картонная) + набор для введения [(игла-бабочка) х 1 + (одноразовый шприц) х 1 + (спиртовая салфетка) х 2 + (пластырь) х 2] х 1 (коробка картонная);
3.[лиофилизат для приготовления раствора для внутривенного введения, 1500 МЕ (флакон) х 1 + растворитель (флакон) 5 мл х 1 + (устройство безыгольного разведения БАКСЖЕКТ II) х 1] х 1 (коробка картонная) + набор для введения [(игла-бабочка) х 1 + (одноразовый шприц) х 1 + (спиртовая салфетка) х 2 + (пластырь) х 2] х 1 (коробка картонная).</t>
  </si>
  <si>
    <t>1. ЛП-№(001976)-(РГ-RU);
2. ЛП-№(001976)-(РГ-RU);
3. ЛП-№(001976)-(РГ-RU).</t>
  </si>
  <si>
    <t>Австрия, Швейцария</t>
  </si>
  <si>
    <t>1. 1000;
2. 1000;
3. 1500.</t>
  </si>
  <si>
    <t>0873400003923000682</t>
  </si>
  <si>
    <t>1970515020224000061</t>
  </si>
  <si>
    <t>https://zakupki.gov.ru/epz/order/notice/ea20/view/common-info.html?regNumber=0873400003923000682</t>
  </si>
  <si>
    <t>0873400003923000682-0001</t>
  </si>
  <si>
    <t>ООО "МБА-групп"</t>
  </si>
  <si>
    <t xml:space="preserve">Эверолимус, таблетки, 0,25 мг  </t>
  </si>
  <si>
    <t>Эверолимус-АМЕДАРТ</t>
  </si>
  <si>
    <t>таблетки 0.25 мг (банка) 60 х 1 (пачка картонная)</t>
  </si>
  <si>
    <t>ЛП-№(003485)-(РГ-RU)</t>
  </si>
  <si>
    <t>0873400003923000683</t>
  </si>
  <si>
    <t>1970515020224000047</t>
  </si>
  <si>
    <t>https://zakupki.gov.ru/epz/order/notice/ea20/view/common-info.html?regNumber=0873400003923000683</t>
  </si>
  <si>
    <t>0873400003923000683-0001</t>
  </si>
  <si>
    <t>Пэгинтерферон бета-1a, раствор для 
подкожного введения, 125 мкг</t>
  </si>
  <si>
    <t>Плегриди</t>
  </si>
  <si>
    <t>раствор для подкожного введения, 125 мкг (шприц) 0.5 мл х 2 (пачка картонная)</t>
  </si>
  <si>
    <t>ЛП-003859</t>
  </si>
  <si>
    <t>0873400003923000684</t>
  </si>
  <si>
    <t>1970515020224000060</t>
  </si>
  <si>
    <t>https://zakupki.gov.ru/epz/order/notice/ea20/view/common-info.html?regNumber=0873400003923000684</t>
  </si>
  <si>
    <t>0873400003923000684-0001</t>
  </si>
  <si>
    <t>ООО "Барион"</t>
  </si>
  <si>
    <t>Такролимус, капсулы, 0,5 мг</t>
  </si>
  <si>
    <t>1. Такролимус;
2. Прилуксид;
3. Такролимус;
4. Такролимус-ЛОК-БЕТА.</t>
  </si>
  <si>
    <t>1.  капсулы, 0.5 мг (контурная ячейковая упаковка) 10 х 5 (пачка картонная);
2.  капсулы, 0.5 мг (контурная ячейковая упаковка) 10 х 5 (пачка картонная);
3. капсулы, 0.5 мг (флакон) 50 х 1 (пачка картонная);
4.  капсулы, 0.5 мг (контурная ячейковая упаковка) 10 х 3 (пачка картонная).</t>
  </si>
  <si>
    <t>1. ЛП-003672;
2. ЛП-№(001087)-(РГ-RU);
3. ЛП-003770;
4. ЛП-004160.</t>
  </si>
  <si>
    <t>1. 50;
2. 50;
3. 50;
4. 30.</t>
  </si>
  <si>
    <t>0873400003923000685</t>
  </si>
  <si>
    <t>1970515020224000067</t>
  </si>
  <si>
    <t>https://zakupki.gov.ru/epz/order/notice/ea20/view/common-info.html?regNumber=0873400003923000685</t>
  </si>
  <si>
    <t>0873400003923000685_358372</t>
  </si>
  <si>
    <t>капсулы, 25 мг (флакон) 60 х 1  
(пачка картонная)</t>
  </si>
  <si>
    <t>0873400003923000686</t>
  </si>
  <si>
    <t>1970515020224000056</t>
  </si>
  <si>
    <t>https://zakupki.gov.ru/epz/order/notice/ea20/view/common-info.html?regNumber=0873400003923000686</t>
  </si>
  <si>
    <t>0873400003923000686-0001</t>
  </si>
  <si>
    <t>ООО "ФАРМКОНТРАКТ"</t>
  </si>
  <si>
    <t>Такролимус, капсулы, 1 мг</t>
  </si>
  <si>
    <t>1. Такролимус;
2. Такролимус;
3. Прилуксид;
4. Такролимус-ЛОК-БЕТА.</t>
  </si>
  <si>
    <t>1.капсулы, 1 мг (контурная ячейковая упаковка) 10 х 5 (пачка картонная);
2.капсулы, 1 мг (флакон) 50 х 1 (пачка картонная);
3.капсулы, 1 мг (контурная ячейковая упаковка) 10 х 5 (пачка картонная);
4.капсулы, 1 мг (контурная ячейковая упаковка) 10 х 3 (пачка картонная).</t>
  </si>
  <si>
    <t>1. ЛП-003672;
2. ЛП-003770;
3. ЛП-№(001087)-(РГ-RU);
4. ЛП-004160.</t>
  </si>
  <si>
    <t>0873400003923000687</t>
  </si>
  <si>
    <t>1970515020224000037</t>
  </si>
  <si>
    <t>https://zakupki.gov.ru/epz/order/notice/ea20/view/common-info.html?regNumber=0873400003923000687</t>
  </si>
  <si>
    <t>00873400003923000687-0001</t>
  </si>
  <si>
    <t>Пэгинтерферон бета-1а, раствор для 
подкожного введения, 63 мкг</t>
  </si>
  <si>
    <t>[раствор для подкожного введения, 63 мкг (шприц) 0,5 мл х 1 + раствор для подкожного введения, 94 мкг (шприц) 0,5 мл х 1] х 1 (пачка картонная)</t>
  </si>
  <si>
    <t>0873400003923000688</t>
  </si>
  <si>
    <t>1970515020224000052</t>
  </si>
  <si>
    <t>https://zakupki.gov.ru/epz/order/notice/ea20/view/common-info.html?regNumber=0873400003923000688</t>
  </si>
  <si>
    <t>0873400003923000688-0001</t>
  </si>
  <si>
    <t>Иксазомиб, капсулы, 3 мг</t>
  </si>
  <si>
    <t>Нинларо®</t>
  </si>
  <si>
    <t>капсулы, 3мг (блистер) 1 х 3 (пачка картонная)</t>
  </si>
  <si>
    <t>ЛП-№(000559)-(РГ-RU)</t>
  </si>
  <si>
    <t>0873400003923000689</t>
  </si>
  <si>
    <t>https://zakupki.gov.ru/epz/order/notice/ea20/view/common-info.html?regNumber=0873400003923000689</t>
  </si>
  <si>
    <t>Циклоспорин, раствор для приема внутрь 100 мг/мл</t>
  </si>
  <si>
    <t>0873400003923000690</t>
  </si>
  <si>
    <t>1970515020224000039</t>
  </si>
  <si>
    <t>https://zakupki.gov.ru/epz/order/notice/ea20/view/common-info.html?regNumber=0873400003923000690</t>
  </si>
  <si>
    <t>0873400003923000690-0001</t>
  </si>
  <si>
    <t>1.Симанод;
2.Симанод.</t>
  </si>
  <si>
    <t>1. капсулы, 200 мг (контурная ячейковая упаковка) 10 х 6 (пачка картонная);
2. капсулы, 200 мг (контурная ячейковая упаковка) 10 х 6 (пачка картонная).</t>
  </si>
  <si>
    <t>1.ЛП-№(002033)-(РГ-RU);
2.ЛП-004170.</t>
  </si>
  <si>
    <t>0873400003923000691</t>
  </si>
  <si>
    <t>1970515020224000038</t>
  </si>
  <si>
    <t>https://zakupki.gov.ru/epz/order/notice/ea20/view/common-info.html?regNumber=0873400003923000691</t>
  </si>
  <si>
    <t>0873400003923000691-0001</t>
  </si>
  <si>
    <t>Этравирин, таблетки, 100 мг</t>
  </si>
  <si>
    <t>Равэртир</t>
  </si>
  <si>
    <t>таблетки, 100 мг (банка) 120 х 1 (пачка картонная)</t>
  </si>
  <si>
    <t>ЛП-№(002143)-(РГ-RU)</t>
  </si>
  <si>
    <t>0873400003923000692</t>
  </si>
  <si>
    <t>отклонение</t>
  </si>
  <si>
    <t>https://zakupki.gov.ru/epz/order/notice/ea20/view/common-info.html?regNumber=0873400003923000692</t>
  </si>
  <si>
    <t>Лопинавир+Ритонавир, раствор для приема внутрь, 80 мг/мл + 20 мг/мл</t>
  </si>
  <si>
    <t>0873400003923000693</t>
  </si>
  <si>
    <t>https://zakupki.gov.ru/epz/order/notice/ea20/view/common-info.html?regNumber=0873400003923000693</t>
  </si>
  <si>
    <t>Этравирин, таблетки, 25 мг</t>
  </si>
  <si>
    <t>0873400003923000694</t>
  </si>
  <si>
    <t>1970515020224000049</t>
  </si>
  <si>
    <t>https://zakupki.gov.ru/epz/order/notice/ea20/view/common-info.html?regNumber=0873400003923000694</t>
  </si>
  <si>
    <t>0873400003923000694_358372</t>
  </si>
  <si>
    <t>Глекапревир+Пибрентасвир, таблетки, 
покрытые пленочной оболочкой, 100 мг+40 мг</t>
  </si>
  <si>
    <t>таблетки, покрытые пленочной оболочкой 100 мг + 40 мг (блистер) 3 х 28 (пачка картонная)</t>
  </si>
  <si>
    <t>0873400003923000695</t>
  </si>
  <si>
    <t>1970515020224000046</t>
  </si>
  <si>
    <t>https://zakupki.gov.ru/epz/order/notice/ea20/view/common-info.html?regNumber=0873400003923000695</t>
  </si>
  <si>
    <t>0873400003923000695-0001</t>
  </si>
  <si>
    <t>Рилпивирин + Тенофовир + Эмтрицитабин, таблетки, покрытые пленочной оболочкой, 25 мг + 300 мг + 200 мг</t>
  </si>
  <si>
    <t>Эвиплера</t>
  </si>
  <si>
    <t>таблетки, покрытые пленочной оболочкой,
25 мг+ 300 мг+ 200 мг (флакон) 30 х 1 (пачка картонная)</t>
  </si>
  <si>
    <t>ЛП-002324</t>
  </si>
  <si>
    <t>Канада</t>
  </si>
  <si>
    <t>0873400003923000696</t>
  </si>
  <si>
    <t>1970515020224000074</t>
  </si>
  <si>
    <t>https://zakupki.gov.ru/epz/order/notice/ea20/view/common-info.html?regNumber=0873400003923000696</t>
  </si>
  <si>
    <t>0873400003923000696-0001</t>
  </si>
  <si>
    <t>Мабтера®</t>
  </si>
  <si>
    <t>раствор для подкожного введения, 
1400 мг/11.7 мл (флакон) 1400 мг/11.7 мл х 1 (пачка картонная)</t>
  </si>
  <si>
    <t>ЛП-002575</t>
  </si>
  <si>
    <t>0873400003923000697</t>
  </si>
  <si>
    <t>1970515020224000064</t>
  </si>
  <si>
    <t>https://zakupki.gov.ru/epz/order/notice/ea20/view/common-info.html?regNumber=0873400003923000697</t>
  </si>
  <si>
    <t>0873400003923000697-0001</t>
  </si>
  <si>
    <t>Иксазомиб, капсулы, 4 мг</t>
  </si>
  <si>
    <t>капсулы, 4 мг (блистер) 1 х 3 (пачка картонная)</t>
  </si>
  <si>
    <t xml:space="preserve">ЛП-№(000559)-(РГ-RU) </t>
  </si>
  <si>
    <t>0873400003923000698</t>
  </si>
  <si>
    <t>1970515020224000050</t>
  </si>
  <si>
    <t>https://zakupki.gov.ru/epz/order/notice/ea20/view/common-info.html?regNumber=0873400003923000698</t>
  </si>
  <si>
    <t>0873400003923000698-0001</t>
  </si>
  <si>
    <t>Атазанавир, капсулы, 150 мг</t>
  </si>
  <si>
    <t>Симанод</t>
  </si>
  <si>
    <t>капсулы, 150 мг (контурная ячейковая упаковка) 10 х 6 (пачка картонная)</t>
  </si>
  <si>
    <t>ЛП-№(002033)-(РГ-RU)</t>
  </si>
  <si>
    <t>0873400003923000699</t>
  </si>
  <si>
    <t>https://zakupki.gov.ru/epz/order/notice/ea20/view/common-info.html?regNumber=0873400003923000699</t>
  </si>
  <si>
    <t>Дарунавир, таблетки, покрытые пленочной оболочкой, 400 мг</t>
  </si>
  <si>
    <t>0873400003923000700</t>
  </si>
  <si>
    <t>1970515020224000068</t>
  </si>
  <si>
    <t>https://zakupki.gov.ru/epz/order/notice/ea20/view/common-info.html?regNumber=0873400003923000700</t>
  </si>
  <si>
    <t>0873400003923000700_358372</t>
  </si>
  <si>
    <t>Канакинумаб, раствор для подкожного 
введения, 150 мг/мл</t>
  </si>
  <si>
    <t>0873400003923000701</t>
  </si>
  <si>
    <t>1970515020224000070</t>
  </si>
  <si>
    <t>https://zakupki.gov.ru/epz/order/notice/ea20/view/common-info.html?regNumber=0873400003923000701</t>
  </si>
  <si>
    <t>0873400003923000701_358372</t>
  </si>
  <si>
    <t>Асфотаза альфа, раствор для подкожного 
введения, 100 мг/мл, 0,8 мл</t>
  </si>
  <si>
    <t>0873400003923000702</t>
  </si>
  <si>
    <t>https://zakupki.gov.ru/epz/order/notice/ea20/view/common-info.html?regNumber=0873400003923000702</t>
  </si>
  <si>
    <t>0873400003923000703</t>
  </si>
  <si>
    <t>https://zakupki.gov.ru/epz/order/notice/ea20/view/common-info.html?regNumber=0873400003923000703</t>
  </si>
  <si>
    <t>Карглумовая кислота, таблетки 
диспергируемые, 200 мг</t>
  </si>
  <si>
    <t>0873400003923000704</t>
  </si>
  <si>
    <t>1970515020224000057</t>
  </si>
  <si>
    <t>https://zakupki.gov.ru/epz/order/notice/ea20/view/common-info.html?regNumber=0873400003923000704</t>
  </si>
  <si>
    <t>0873400003923000704_358372</t>
  </si>
  <si>
    <t>Ланаделумаб, раствор для подкожного 
введения, 150 мг/мл</t>
  </si>
  <si>
    <t>0873400003923000705</t>
  </si>
  <si>
    <t>1970515020224000058</t>
  </si>
  <si>
    <t>https://zakupki.gov.ru/epz/order/notice/ea20/view/common-info.html?regNumber=0873400003923000705</t>
  </si>
  <si>
    <t>0873400003923000705_358372</t>
  </si>
  <si>
    <t>Асфотаза альфа, раствор для подкожного 
введения, 40 мг/мл, 1 мл</t>
  </si>
  <si>
    <t xml:space="preserve">1.раствор для подкожного введения,
40 мг/мл (флакон) 40 мг/1.0 мл х 12 (пачка картонная);
2. раствор для подкожного введения,
40 мг/мл (флакон) 40 мг/1.0 мл х 12 (пачка картонная).
</t>
  </si>
  <si>
    <t>0873400003923000707</t>
  </si>
  <si>
    <t>1970515020224000051</t>
  </si>
  <si>
    <t>https://zakupki.gov.ru/epz/order/notice/ea20/view/common-info.html?regNumber=0873400003923000707</t>
  </si>
  <si>
    <t>0873400003923000707-0001</t>
  </si>
  <si>
    <t>Иматиниб, капсулы и/или таблетки, 
покрытые плёночной оболочкой, 400 мг</t>
  </si>
  <si>
    <t xml:space="preserve">Иматиниб </t>
  </si>
  <si>
    <t xml:space="preserve">таблетки, покрытые пленочной оболочкой, 400 мг (контурная ячейковая упаковка) 10 х 3 (пачка картонная) </t>
  </si>
  <si>
    <t>ЛП-002816</t>
  </si>
  <si>
    <t>0873400003923000708</t>
  </si>
  <si>
    <t>1970515020224000069</t>
  </si>
  <si>
    <t>https://zakupki.gov.ru/epz/order/notice/ea20/view/common-info.html?regNumber=0873400003923000708</t>
  </si>
  <si>
    <t>0873400003923000708-0001</t>
  </si>
  <si>
    <t xml:space="preserve">Микофеноловая кислота, таблетки 
кишечнорастворимые, покрытые оболочкой и/или таблетки кишечнорастворимые, 
покрытые пленочной оболочкой и/или 
таблетки, покрытые кишечнорастворимой 
оболочкой, 360 мг </t>
  </si>
  <si>
    <t>1. Микофеноловая кислота;
2. ФЕЛОМИКА®;
3. Никвесел.</t>
  </si>
  <si>
    <t>1. таблетки кишечнорастворимые, покрытые пленочной оболочкой, 360 мг (банка) 120 х 1 (пачка картонная);
2.  таблетки кишечнорастворимые, покрытые оболочкой, 360 мг (контурная ячейковая упаковка) 10 х 12 (пачка картонная);
3.  таблетки кишечнорастворимые, покрытые пленочной оболочкой, 360 мг (контурная ячейковая упаковка) 10 х 12 (пачка картонная).</t>
  </si>
  <si>
    <t>1. ЛП-007357;
2. ЛП-004610;
3. ЛП-005911.</t>
  </si>
  <si>
    <t>0873400003923000709</t>
  </si>
  <si>
    <t>https://zakupki.gov.ru/epz/order/notice/ea20/view/common-info.html?regNumber=0873400003923000709</t>
  </si>
  <si>
    <t>Соматропин, лиофилизат для приготовления раствора для подкожного введения 5,3 – 6,67 мг (16 - 20 МЕ) и/или раствор для подкожного введения 5 мг/мл (15 МЕ/мл) - 6,7 мг/мл</t>
  </si>
  <si>
    <t>0873400003923000710</t>
  </si>
  <si>
    <t>1970515020224000053</t>
  </si>
  <si>
    <t>https://zakupki.gov.ru/epz/order/notice/ea20/view/common-info.html?regNumber=0873400003923000710</t>
  </si>
  <si>
    <t>0873400003923000710-0001</t>
  </si>
  <si>
    <t>Микофеноловая кислота, таблетки 
кишечнорастворимые, покрытые оболочкой и/или таблетки кишечнорастворимые, покрытые пленочной оболочкой и/или 
таблетки, покрытые кишечнорастворимой 
оболочкой, 180 мг</t>
  </si>
  <si>
    <t>1. таблетки кишечнорастворимые, покрытые пленочной оболочкой, 180 мг (банка) 120 х 1 (пачка картонная);
2. таблетки кишечнорастворимые, покрытые оболочкой, 180 мг (контурная ячейковая упаковка) 10 х 10 (пачка картонная);
3. таблетки кишечнорастворимые, покрытые пленочной оболочкой, 180 мг (контурная ячейковая упаковка) 10 х 10 (пачка картонная);</t>
  </si>
  <si>
    <t>1.ЛП-007357;
2.ЛП-004610;
3.ЛП-005911.</t>
  </si>
  <si>
    <t>1.120;
2.100;
3.100.</t>
  </si>
  <si>
    <t>0873400003923000711</t>
  </si>
  <si>
    <t>1970515020224000066</t>
  </si>
  <si>
    <t>https://zakupki.gov.ru/epz/order/notice/ea20/view/common-info.html?regNumber=0873400003923000711</t>
  </si>
  <si>
    <t>0873400003923000711-0001</t>
  </si>
  <si>
    <t>Тенофовир+Элсульфавирин+Эмтрицитабин, таблетки, покрытые пленочной оболочкой, 245 мг + 20 мг + 200 мг</t>
  </si>
  <si>
    <t>1. ЭЛПИДА® КОМБИ;
2. ЭЛПИДА® КОМБИ.</t>
  </si>
  <si>
    <t>1.таблетки, покрытые пленочной оболочкой, 245 мг + 20 мг + 200 мг (флакон) 30 х 1 (пачка картонная);
2. таблетки, покрытые пленочной оболочкой, 245 мг + 20 мг + 200 мг (флакон) 30 х 1 (пачка картонная);</t>
  </si>
  <si>
    <t>1.ЛП-008067;
2. ЛП-008067.</t>
  </si>
  <si>
    <t>0873400003923000712</t>
  </si>
  <si>
    <t>1970515020224000043</t>
  </si>
  <si>
    <t>https://zakupki.gov.ru/epz/order/notice/ea20/view/common-info.html?regNumber=0873400003923000712</t>
  </si>
  <si>
    <t>0873400003923000712-0001</t>
  </si>
  <si>
    <t>Доравирин + Ламивудин + Тенофовир, 
таблетки, покрытые пленочной оболочкой, 100 мг + 300 мг + 245 мг</t>
  </si>
  <si>
    <t>0873400003923000713</t>
  </si>
  <si>
    <t>https://zakupki.gov.ru/epz/order/notice/ea20/view/common-info.html?regNumber=0873400003923000713</t>
  </si>
  <si>
    <t xml:space="preserve">Доравирин, таблетки, покрытые пленочной оболочкой, 100 мг </t>
  </si>
  <si>
    <t>0873400003923000714</t>
  </si>
  <si>
    <t>1970515020224000054</t>
  </si>
  <si>
    <t>https://zakupki.gov.ru/epz/order/notice/ea20/view/common-info.html?regNumber=0873400003923000714</t>
  </si>
  <si>
    <t>0873400003923000714-0001</t>
  </si>
  <si>
    <t>Иматиниб, капсулы и/или таблетки, 
покрытые плёночной оболочкой, 100 мг</t>
  </si>
  <si>
    <t>Иматиниб</t>
  </si>
  <si>
    <t>таблетки, покрытые пленочной оболочкой, 100 мг (контурная ячейковая упаковка) 10 х 3 (пачка картонная)</t>
  </si>
  <si>
    <t>0873400003923000715</t>
  </si>
  <si>
    <t>1970515020224000076</t>
  </si>
  <si>
    <t>https://zakupki.gov.ru/epz/order/notice/ea20/view/common-info.html?regNumber=0873400003923000715</t>
  </si>
  <si>
    <t>0873400003923000715-0001</t>
  </si>
  <si>
    <t>Флударабин, лиофилизат для приготовления раствора для внутривенного введения, 50 мг
и/или концентрат для приготовления 
раствора для внутривенного введения, 25 мг/мл</t>
  </si>
  <si>
    <t>Дарбинес</t>
  </si>
  <si>
    <t>лиофилизат для приготовления раствора для внутривенного введения, 50 мг (флакон) х 1 (пачка картонная);
Вода для инъекций: растворитель для приготовления лекарственных форм для инъекций (ампула) 2 мл х 10 (пачка картонная).</t>
  </si>
  <si>
    <t>ЛП-№(000374)-(РГ-RU);
ЛП-№(002892)-(РГ-RU) (Вода для инъекций)</t>
  </si>
  <si>
    <t>0873400003923000717</t>
  </si>
  <si>
    <t>1970515020224000077</t>
  </si>
  <si>
    <t>https://zakupki.gov.ru/epz/order/notice/ea20/view/common-info.html?regNumber=0873400003923000717</t>
  </si>
  <si>
    <t>0873400003923000717-0001</t>
  </si>
  <si>
    <t>Интерферон бета-1b, лиофилизат для приготовления раствора для подкожного введения, 9,6 млн. МЕ и/или раствор для подкожного введения, 8 млн. МЕ/0,5 мл</t>
  </si>
  <si>
    <t>1. Интерферон бета-1b;
2. Инфибета®.</t>
  </si>
  <si>
    <t>1. [раствор для подкожного введения, 8 млн.МЕ/0.5 мл, (шприц) 0.5 мл х 5 + (салфетка спиртовая) х 5] х1 (пачка картонная);
2. [лиофилизат для приготовления раствора для подкожного введения, 0.3 мг (9.6 млн.МЕ) (флакон) х 15 + растворитель (флакон) 1.2 мл х 15 + шприц 2 мл х 15 + шприц 1 мл х 15 + игла длинная х 30 + игла короткая х 15 + салфетка спиртовая х 30 ] х 1 (пачка картонная).</t>
  </si>
  <si>
    <t>1. ЛСР-007366/09;
2. ЛП-000869.</t>
  </si>
  <si>
    <t>1.5;
2.15.</t>
  </si>
  <si>
    <t>0873400003923000721</t>
  </si>
  <si>
    <t>1970515020224000040</t>
  </si>
  <si>
    <t>https://zakupki.gov.ru/epz/order/notice/ea20/view/common-info.html?regNumber=0873400003923000721</t>
  </si>
  <si>
    <t>0873400003923000721-0001</t>
  </si>
  <si>
    <t>Этанерцепт, лиофилизат для приготовления раствора для подкожного введения, 25 мг</t>
  </si>
  <si>
    <t>Энбрел</t>
  </si>
  <si>
    <t>[лиофилизат для приготовления раствора для подкожного введения, 25 мг (флакон) х 1 + растворитель (шприц) 1.0 мл х 1 + игла инъекционная х 1 + адаптер для флакона х 1 + салфетка спиртовая х 2] х 4 (пачка картонная)</t>
  </si>
  <si>
    <t>№ ЛСР-006031/09</t>
  </si>
  <si>
    <t>Бельгия</t>
  </si>
  <si>
    <t>0873400003923000722</t>
  </si>
  <si>
    <t>1970515020224000072</t>
  </si>
  <si>
    <t>https://zakupki.gov.ru/epz/order/notice/ea20/view/common-info.html?regNumber=0873400003923000722</t>
  </si>
  <si>
    <t>0873400003923000722-0001</t>
  </si>
  <si>
    <t>Эверолимус, таблетки, 0,5 мг</t>
  </si>
  <si>
    <t>таблетки 0.5 мг (банка) 60 х 1 (пачка картонная)</t>
  </si>
  <si>
    <t>0873400003923000723</t>
  </si>
  <si>
    <t>1970515020224000041</t>
  </si>
  <si>
    <t>https://zakupki.gov.ru/epz/order/notice/ea20/view/common-info.html?regNumber=0873400003923000723</t>
  </si>
  <si>
    <t>0873400003923000723-0001</t>
  </si>
  <si>
    <t>Этанерцепт, лиофилизат для приготовления раствора для подкожного введения, 10 мг</t>
  </si>
  <si>
    <t>[лиофилизат для приготовления раствора для подкожного введения, 10 мг (флакон) 10.0 мг х 1 + растворитель (шприц) 1.0 мл х 1 + (игла инъекционная) х 1 + (адаптер для флакона) х 1 + (салфетка спиртовая) х 2] х 4 (пачка картонная)</t>
  </si>
  <si>
    <t>ЛП-002122</t>
  </si>
  <si>
    <t>0873400003923000724</t>
  </si>
  <si>
    <t>1970515020224000071</t>
  </si>
  <si>
    <t>https://zakupki.gov.ru/epz/order/notice/ea20/view/common-info.html?regNumber=0873400003923000724</t>
  </si>
  <si>
    <t>0873400003923000724-0001</t>
  </si>
  <si>
    <t>Микофенолата мофетил, капсулы и/или 
таблетки, покрытые пленочной оболочкой, 250 мг</t>
  </si>
  <si>
    <t>1.Фломирен;
2.Микофенолата мофетил;
3. МИКОФЕНОЛАТА МОФЕТИЛ-ТЛ.</t>
  </si>
  <si>
    <t>1. таблетки, покрытые пленочной оболочкой,
250 мг (контурная ячейковая упаковка) 10 х 10 (пачка картонная);
2. таблетки, покрытые пленочной оболочкой, 250 мг (контурная ячейковая упаковка) 25 х 4 (пачка картонная);
3. капсулы, 250 мг (контурная ячейковая упаковка) 10 х 10 (пачка картонная).</t>
  </si>
  <si>
    <t>1.ЛП-№(000234)-(РГ-RU);
2.ЛП-005113;
3.ЛП-001950.</t>
  </si>
  <si>
    <t>0873400003923000725</t>
  </si>
  <si>
    <t>1970515020224000045</t>
  </si>
  <si>
    <t>https://zakupki.gov.ru/epz/order/notice/ea20/view/common-info.html?regNumber=0873400003923000725</t>
  </si>
  <si>
    <t>0873400003923000725-0001</t>
  </si>
  <si>
    <t>1. Окревус®;
2. Окревус®</t>
  </si>
  <si>
    <t>1. концентрат для приготовления раствора для инфузий, 
30 мг/мл (флакон) 10 мл х 1 (пачка картонная);
2.  концентрат для приготовления раствора для инфузий, 
30 мг/мл (флакон) 10 мл х 1 (пачка картонная).</t>
  </si>
  <si>
    <t>1. №ЛП-004503 
2. № ЛП-№(003473)-(РГ-RU)</t>
  </si>
  <si>
    <t>0873400003923000726</t>
  </si>
  <si>
    <t>1970515020224000042</t>
  </si>
  <si>
    <t>https://zakupki.gov.ru/epz/order/notice/ea20/view/common-info.html?regNumber=0873400003923000726</t>
  </si>
  <si>
    <t>0873400003923000726-0001</t>
  </si>
  <si>
    <t>Циклоспорин, капсулы и/или капсулы 
мягкие, 100 мг</t>
  </si>
  <si>
    <t>1. Оргаспорин®;
2. Оргаспорин®.</t>
  </si>
  <si>
    <t>1. капсулы, 100 мг (пакет в банке) 50 х 1 (пачка картонная);
2. капсулы, 50 мг (пакет в банке) 50 х 1 (пачка картонная).</t>
  </si>
  <si>
    <t>1. ЛС-001676;
2. ЛС-001676.</t>
  </si>
  <si>
    <t>0873400003923000727</t>
  </si>
  <si>
    <t>https://zakupki.gov.ru/epz/order/notice/ea20/view/common-info.html?regNumber=0873400003923000727</t>
  </si>
  <si>
    <t>Вакцина для профилактики туберкулеза, лиофилизат для приготовления суспензии для внутрикожного введения</t>
  </si>
  <si>
    <t>0873400003923000728</t>
  </si>
  <si>
    <t>1970515020224000075</t>
  </si>
  <si>
    <t>https://zakupki.gov.ru/epz/order/notice/ea20/view/common-info.html?regNumber=0873400003923000728</t>
  </si>
  <si>
    <t>0873400003923000728-0001</t>
  </si>
  <si>
    <t>Октоког альфа, лиофилизат для приготовления раствора для внутривенного введения, 250 МЕ</t>
  </si>
  <si>
    <t>Адвейт®</t>
  </si>
  <si>
    <t>[лиофилизат для приготовления раствора для внутривенного введения, 250 МЕ (флакон) х 1 + растворитель (флакон) 5 мл х 1 + (устройство безыгольного разведения БАКСЖЕКТ II) х 1] х 1 (коробка картонная) + набор для введения [(игла-бабочка) х 1 + (одноразовый шприц) х 1 + (спиртовая салфетка) х 2 + (пластырь) х 2] х 1 (коробка картонная)</t>
  </si>
  <si>
    <t>ЛП-№(001976)-(РГ-RU)</t>
  </si>
  <si>
    <t>0873400003923000729</t>
  </si>
  <si>
    <t>1970515020224000059</t>
  </si>
  <si>
    <t>https://zakupki.gov.ru/epz/order/notice/ea20/view/common-info.html?regNumber=0873400003923000729</t>
  </si>
  <si>
    <t>0873400003923000729-0001</t>
  </si>
  <si>
    <t>Такролимус, капсулы, 5 мг</t>
  </si>
  <si>
    <t>Прилуксид</t>
  </si>
  <si>
    <t>капсулы, 5 мг (контурная ячейковая упаковка) 10 х 5 (пачка картонная)</t>
  </si>
  <si>
    <t>ЛП-№(001087)-(РГ-RU)</t>
  </si>
  <si>
    <t>0873400003923000730</t>
  </si>
  <si>
    <t>1970515020224000055</t>
  </si>
  <si>
    <t>https://zakupki.gov.ru/epz/order/notice/ea20/view/common-info.html?regNumber=0873400003923000730</t>
  </si>
  <si>
    <t>0873400003923000730-0001</t>
  </si>
  <si>
    <t>Циклоспорин, капсулы и/или капсулы 
мягкие, 50 мг</t>
  </si>
  <si>
    <t>капсулы, 50 мг (пакет в банке) 50 х 1 (пачка картонная)</t>
  </si>
  <si>
    <t>0873400003923000731</t>
  </si>
  <si>
    <t>1970515020224000063</t>
  </si>
  <si>
    <t>https://zakupki.gov.ru/epz/order/notice/ea20/view/common-info.html?regNumber=0873400003923000731</t>
  </si>
  <si>
    <t>0873400003923000731-0001</t>
  </si>
  <si>
    <t>Фактор свертывания крови VIII + Фактор Виллебранда, лиофилизат для приготовленияраствора для внутривенного введения, 1000 МЕ + 750 МЕ</t>
  </si>
  <si>
    <t>Иммунат</t>
  </si>
  <si>
    <t>[лиофилизат для приготовления раствора для внутривенного введения, 1000 МЕ+750 МЕ (флакон) х 1 + растворитель (флакон) 10 мл х 1 + набор для растворения и введения препарата (игла-фильтр для переноса (5 мкм), одноразовый шприц, игла-"бабочка", одноразовая игла для инъекций) х 1] х 1 (коробка картонная)</t>
  </si>
  <si>
    <t>ЛП-№(001861)-(РГ-RU)</t>
  </si>
  <si>
    <t>0873400003923000732</t>
  </si>
  <si>
    <t>https://zakupki.gov.ru/epz/order/notice/ea20/view/common-info.html?regNumber=0873400003923000732</t>
  </si>
  <si>
    <t>Вакцина для профилактики кори, лиофилизат для приготовления раствора для подкожного введения</t>
  </si>
  <si>
    <t>0873400003923000733</t>
  </si>
  <si>
    <t>https://zakupki.gov.ru/epz/order/notice/ea20/view/common-info.html?regNumber=0873400003923000733</t>
  </si>
  <si>
    <t>Вакцина для профилактики кори и паротита, лиофилизат для приготовления раствора для подкожного введения</t>
  </si>
  <si>
    <t>0873400003923000734</t>
  </si>
  <si>
    <t>https://zakupki.gov.ru/epz/order/notice/ea20/view/common-info.html?regNumber=0873400003923000734</t>
  </si>
  <si>
    <t>Анатоксин столбнячный, суспензия для подкожного введения</t>
  </si>
  <si>
    <t>0873400003923000735</t>
  </si>
  <si>
    <t>https://zakupki.gov.ru/epz/order/notice/ea20/view/common-info.html?regNumber=0873400003923000735</t>
  </si>
  <si>
    <t>Вакцина для профилактики паротита, лиофилизат для приготовления раствора для подкожного введения</t>
  </si>
  <si>
    <t>0873400003923000736</t>
  </si>
  <si>
    <t>https://zakupki.gov.ru/epz/order/notice/ea20/view/common-info.html?regNumber=0873400003923000736</t>
  </si>
  <si>
    <t>Вакцина для профилактики краснухи, лиофилизат для приготовления раствора для подкожного введения</t>
  </si>
  <si>
    <t>0873400003923000737</t>
  </si>
  <si>
    <t>https://zakupki.gov.ru/epz/order/notice/ea20/view/common-info.html?regNumber=0873400003923000737</t>
  </si>
  <si>
    <t>Вакцина для профилактики туберкулеза (для щадящей первичной иммунизации), лиофилизат для приготовления суспензии для внутрикожного 
введения</t>
  </si>
  <si>
    <t>0873400003923000738</t>
  </si>
  <si>
    <t>https://zakupki.gov.ru/epz/order/notice/ea20/view/common-info.html?regNumber=0873400003923000738</t>
  </si>
  <si>
    <t>Анатоксин дифтерийный (с уменьшенным содержанием антигена), суспензия для внутримышечного и 
подкожного введения и/или суспензия для инъекций</t>
  </si>
  <si>
    <t>0873400003923000739</t>
  </si>
  <si>
    <t>https://zakupki.gov.ru/epz/order/notice/ea20/view/common-info.html?regNumber=0873400003923000739</t>
  </si>
  <si>
    <t>Вакцина для профилактики дифтерии, коклюша и столбняка, суспензия для внутримышечного введения</t>
  </si>
  <si>
    <t>0873400003923000740</t>
  </si>
  <si>
    <t>https://zakupki.gov.ru/epz/order/notice/ea20/view/common-info.html?regNumber=0873400003923000740</t>
  </si>
  <si>
    <t>Анатоксин дифтерийно-столбнячный (с уменьшенным содержанием антигенов), суспензия для внутримышечного и подкожного введения и/или суспензия для внутримышечного введения и/или суспензия для инъекций</t>
  </si>
  <si>
    <t>0873400003923000741</t>
  </si>
  <si>
    <t>1970515020224000073</t>
  </si>
  <si>
    <t>https://zakupki.gov.ru/epz/order/notice/ea20/view/common-info.html?regNumber=0873400003923000741</t>
  </si>
  <si>
    <t>0873400003923000741-0001</t>
  </si>
  <si>
    <t>Эверолимус, таблетки, 0,75 мг</t>
  </si>
  <si>
    <t>таблетки 0.75 мг (банка) 60 х 1 (пачка картонная)</t>
  </si>
  <si>
    <t>0873400003923000742</t>
  </si>
  <si>
    <t>1970515020224000062</t>
  </si>
  <si>
    <t>https://zakupki.gov.ru/epz/order/notice/ea20/view/common-info.html?regNumber=0873400003923000742</t>
  </si>
  <si>
    <t>0873400003923000742_358372</t>
  </si>
  <si>
    <t>Спинраза</t>
  </si>
  <si>
    <t>раствор для интратекального введения, 2.4 мг/мл (флакон) 5 мл х 1 (пачка картонная)</t>
  </si>
  <si>
    <t>ЛП-005730</t>
  </si>
  <si>
    <t>0873400003924000001</t>
  </si>
  <si>
    <t>https://zakupki.gov.ru/epz/order/notice/ea20/view/common-info.html?regNumber=0873400003924000001</t>
  </si>
  <si>
    <t>Ламивудин, таблетки, покрытые пленочной 
оболочкой, 300 мг</t>
  </si>
  <si>
    <t>0873400003924000002</t>
  </si>
  <si>
    <t>1970515020224000078</t>
  </si>
  <si>
    <t>https://zakupki.gov.ru/epz/order/notice/ea20/view/common-info.html?regNumber=0873400003924000002</t>
  </si>
  <si>
    <t>0873400003924000002-0001</t>
  </si>
  <si>
    <t>Зидовудин, раствор для приема внутрь, 10 
мг/мл</t>
  </si>
  <si>
    <t>Зидовудин</t>
  </si>
  <si>
    <t>[раствор для приема внутрь, 10 мг/мл (флакон) 200 мл х 1 + шприц дозирующий х 1] х 1 (пачка картонная)</t>
  </si>
  <si>
    <t>ЛП-004317</t>
  </si>
  <si>
    <t>0873400003924000003</t>
  </si>
  <si>
    <t>1970515020224000080</t>
  </si>
  <si>
    <t>https://zakupki.gov.ru/epz/order/notice/ea20/view/common-info.html?regNumber=0873400003924000003</t>
  </si>
  <si>
    <t>0873400003924000003-0001</t>
  </si>
  <si>
    <t>Маравирок, таблетки, покрытые пленочной 
оболочкой, 150 мг</t>
  </si>
  <si>
    <t>Целзентри®</t>
  </si>
  <si>
    <t>таблетки, покрытые пленочной оболочкой, 150 мг (блистер) 10 х 6 (пачка картонная)</t>
  </si>
  <si>
    <t>ЛП-000565</t>
  </si>
  <si>
    <t>0873400003924000004</t>
  </si>
  <si>
    <t>https://zakupki.gov.ru/epz/order/notice/ea20/view/common-info.html?regNumber=0873400003924000004</t>
  </si>
  <si>
    <t>Тенофовир, таблетки, покрытые пленочной 
оболочкой, 300 мг и/или 245 мг</t>
  </si>
  <si>
    <t>0873400003924000005</t>
  </si>
  <si>
    <t>1970515020224000081</t>
  </si>
  <si>
    <t>https://zakupki.gov.ru/epz/order/notice/ea20/view/common-info.html?regNumber=0873400003924000005</t>
  </si>
  <si>
    <t>0873400003924000005-0001</t>
  </si>
  <si>
    <t>Эфавиренз, таблетки, покрытые пленочной 
оболочкой 400 мг</t>
  </si>
  <si>
    <t>Регаст</t>
  </si>
  <si>
    <t xml:space="preserve">таблетки, покрытые пленочной оболочкой, 400 мг (банка) 30 х 1 (пачка картонная) </t>
  </si>
  <si>
    <t>ЛП-002554</t>
  </si>
  <si>
    <t>0873400003924000006</t>
  </si>
  <si>
    <t>1970515020224000079</t>
  </si>
  <si>
    <t>https://zakupki.gov.ru/epz/order/notice/ea20/view/common-info.html?regNumber=0873400003924000006</t>
  </si>
  <si>
    <t>0873400003924000006-0001</t>
  </si>
  <si>
    <t>Ралтегравир, таблетки жевательные, 25 мг</t>
  </si>
  <si>
    <t>Исентресс®</t>
  </si>
  <si>
    <t>таблетки жевательные, 25 мг (флакон) 60 х 1 (пачка картонная)</t>
  </si>
  <si>
    <t>ЛП-002927</t>
  </si>
  <si>
    <t>0873400003924000007</t>
  </si>
  <si>
    <t>1970515020224000097</t>
  </si>
  <si>
    <t>https://zakupki.gov.ru/epz/order/notice/ea20/view/common-info.html?regNumber=0873400003924000007</t>
  </si>
  <si>
    <t>0873400003924000007-0001</t>
  </si>
  <si>
    <t>Ралтегравир, таблетки жевательные, 100 мг</t>
  </si>
  <si>
    <t>таблетки жевательные, 100 мг (флакон) 60 х 1 (пачка картонная)</t>
  </si>
  <si>
    <t>0873400003924000008</t>
  </si>
  <si>
    <t>https://zakupki.gov.ru/epz/order/notice/ea20/view/common-info.html?regNumber=0873400003924000008</t>
  </si>
  <si>
    <t>Этравирин, таблетки, 200 мг</t>
  </si>
  <si>
    <t>0873400003924000009</t>
  </si>
  <si>
    <t>https://zakupki.gov.ru/epz/order/notice/ea20/view/common-info.html?regNumber=0873400003924000009</t>
  </si>
  <si>
    <t>Атазанавир, капсулы, 300 мг</t>
  </si>
  <si>
    <t>0873400003924000010</t>
  </si>
  <si>
    <t>1970515020224000096</t>
  </si>
  <si>
    <t>https://zakupki.gov.ru/epz/order/notice/ea20/view/common-info.html?regNumber=0873400003924000010</t>
  </si>
  <si>
    <t>0873400003924000010-0001</t>
  </si>
  <si>
    <t>Абакавир+Ламивудин, таблетки, покрытые 
пленочной оболочкой, 600 мг + 300 мг</t>
  </si>
  <si>
    <t>1. Алагет;
2. Лавудин-АБ;
3. Абакавир+Ламивудин.</t>
  </si>
  <si>
    <t>1. таблетки, покрытые пленочной оболочкой, 600 мг + 300 мг (контурная ячейковая упаковка) 10 х 3 (пачка картонная);
2. таблетки, покрытые пленочной оболочкой, 600 мг + 300 мг (банка) 30 х 1 (пачка картонная);
3. таблетки, покрытые пленочной оболочкой, 600 мг + 300 мг (банка) 50 х 1 (пачка картонная).</t>
  </si>
  <si>
    <t>1. ЛП-№(000844)-(РГ-RU);
2. ЛП-004064;
3. ЛП-004209.</t>
  </si>
  <si>
    <t>1.30;
2.30;
3.50;</t>
  </si>
  <si>
    <t>0873400003924000011</t>
  </si>
  <si>
    <t>1970515020224000083</t>
  </si>
  <si>
    <t>https://zakupki.gov.ru/epz/order/notice/ea20/view/common-info.html?regNumber=0873400003924000011</t>
  </si>
  <si>
    <t>0873400003924000011-0001</t>
  </si>
  <si>
    <t>Тенофовир, таблетки, покрытые пленочной 
оболочкой, 150 мг и/или 122,5 мг</t>
  </si>
  <si>
    <t>Вирфотен</t>
  </si>
  <si>
    <t>таблетки, покрытые пленочной оболочкой, 150 мг (контурная ячейковая упаковка) 10 х 6 (пачка картонная)</t>
  </si>
  <si>
    <t>ЛП-002419</t>
  </si>
  <si>
    <t>0873400003924000012</t>
  </si>
  <si>
    <t>https://zakupki.gov.ru/epz/order/notice/ea20/view/common-info.html?regNumber=0873400003924000012</t>
  </si>
  <si>
    <t>Дарунавир, таблетки, покрытые пленочной 
оболочкой, 600 мг</t>
  </si>
  <si>
    <t>0873400003924000013</t>
  </si>
  <si>
    <t>1970515020224000084</t>
  </si>
  <si>
    <t>https://zakupki.gov.ru/epz/order/notice/ea20/view/common-info.html?regNumber=0873400003924000013</t>
  </si>
  <si>
    <t>0873400003924000013-0001</t>
  </si>
  <si>
    <t>Маравирок, таблетки, покрытые пленочной 
оболочкой, 300 мг</t>
  </si>
  <si>
    <t>таблетки, покрытые пленочной оболочкой, 300 мг (блистер) 10 х 6 (пачка картонная)</t>
  </si>
  <si>
    <t>0873400003924000014</t>
  </si>
  <si>
    <t>https://zakupki.gov.ru/epz/order/notice/ea20/view/common-info.html?regNumber=0873400003924000014</t>
  </si>
  <si>
    <t>0873400003924000015</t>
  </si>
  <si>
    <t>https://zakupki.gov.ru/epz/order/notice/ea20/view/common-info.html?regNumber=0873400003924000015</t>
  </si>
  <si>
    <t>Эфавиренз, таблетки, покрытые пленочной 
оболочкой 600 мг</t>
  </si>
  <si>
    <t>0873400003924000016</t>
  </si>
  <si>
    <t>https://zakupki.gov.ru/epz/order/notice/ea20/view/common-info.html?regNumber=0873400003924000016</t>
  </si>
  <si>
    <t>0873400003924000017</t>
  </si>
  <si>
    <t>1970515020224000113</t>
  </si>
  <si>
    <t>https://zakupki.gov.ru/epz/order/notice/ea20/view/common-info.html?regNumber=0873400003924000017</t>
  </si>
  <si>
    <t>0873400003924000017_358372</t>
  </si>
  <si>
    <t>0873400003924000018</t>
  </si>
  <si>
    <t>1970515020224000095</t>
  </si>
  <si>
    <t>https://zakupki.gov.ru/epz/order/notice/ea20/view/common-info.html?regNumber=0873400003924000018</t>
  </si>
  <si>
    <t>0873400003924000018_358372</t>
  </si>
  <si>
    <t>Рисдиплам, порошок для приготовления 
раствора для приема внутрь 0,75 мг/мл</t>
  </si>
  <si>
    <t>ЭВРИСДИ®</t>
  </si>
  <si>
    <t>[порошок для приготовления раствора для приема внутрь, 0.75 мг/мл (флакон) 2 г х 1 + адаптер х 1 + шприц 1 мл х 2 + шприц 6 мл х 2 + шприц 12 мл х 1] х 1 (пачка картонная)</t>
  </si>
  <si>
    <t>ЛП-006602</t>
  </si>
  <si>
    <t>0873400003924000019</t>
  </si>
  <si>
    <t>1970515020224000094</t>
  </si>
  <si>
    <t>https://zakupki.gov.ru/epz/order/notice/ea20/view/common-info.html?regNumber=0873400003924000019</t>
  </si>
  <si>
    <t>0873400003924000019-0001</t>
  </si>
  <si>
    <t>Лопинавир+Ритонавир, таблетки, покрытые 
пленочной оболочкой, 100 мг + 25 мг</t>
  </si>
  <si>
    <t>Калетра®</t>
  </si>
  <si>
    <t>таблетки, покрытые пленочной оболочкой, 100 мг + 25 мг (флакон) 60 х 1 (пачка картонная)</t>
  </si>
  <si>
    <t>ЛП-000116</t>
  </si>
  <si>
    <t>0873400003924000020</t>
  </si>
  <si>
    <t>https://zakupki.gov.ru/epz/order/notice/ea20/view/common-info.html?regNumber=0873400003924000020</t>
  </si>
  <si>
    <t>Лопинавир+Ритонавир, таблетки, покрытые 
пленочной оболочкой, 200 мг + 50 мг</t>
  </si>
  <si>
    <t>0873400003924000021</t>
  </si>
  <si>
    <t>https://zakupki.gov.ru/epz/order/notice/ea20/view/common-info.html?regNumber=0873400003924000021</t>
  </si>
  <si>
    <t>Фосампренавир, таблетки, покрытые 
пленочной оболочкой, 700 мг</t>
  </si>
  <si>
    <t>0873400003924000022</t>
  </si>
  <si>
    <t>1970515020224000091</t>
  </si>
  <si>
    <t>https://zakupki.gov.ru/epz/order/notice/ea20/view/common-info.html?regNumber=0873400003924000022</t>
  </si>
  <si>
    <t>0873400003924000022-0001</t>
  </si>
  <si>
    <t>ООО "ОМЕГА"</t>
  </si>
  <si>
    <t xml:space="preserve">Фосфазид, таблетки и/или таблетки, 
покрытые пленочной оболочкой, 200 мг </t>
  </si>
  <si>
    <t>Никавир®</t>
  </si>
  <si>
    <t>таблетки, 200 мг (контурная ячейковая упаковка (блистер)) 10 х 2 (пачка картонная)</t>
  </si>
  <si>
    <t>Р N003864/01</t>
  </si>
  <si>
    <t>0873400003924000023</t>
  </si>
  <si>
    <t>1970515020224000085</t>
  </si>
  <si>
    <t>https://zakupki.gov.ru/epz/order/notice/ea20/view/common-info.html?regNumber=0873400003924000023</t>
  </si>
  <si>
    <t>0873400003924000023-0001</t>
  </si>
  <si>
    <t>Абакавир, таблетки покрытые пленочной 
оболочкой, 150 мг</t>
  </si>
  <si>
    <t>Олитид</t>
  </si>
  <si>
    <t>таблетки, покрытые пленочной оболочкой, 150 мг (банка) 60 х 1 (пачка картонная)</t>
  </si>
  <si>
    <t>ЛП-№(000211)-(РГ-RU)</t>
  </si>
  <si>
    <t>0873400003924000024</t>
  </si>
  <si>
    <t>https://zakupki.gov.ru/epz/order/notice/ea20/view/common-info.html?regNumber=0873400003924000024</t>
  </si>
  <si>
    <t>0873400003924000024-0001</t>
  </si>
  <si>
    <t>ООО "ФармМентал групп"</t>
  </si>
  <si>
    <t>Фосфазид, таблетки и/или таблетки, 
покрытые пленочной оболочкой, 400 мг</t>
  </si>
  <si>
    <t>Фосфазид</t>
  </si>
  <si>
    <t>таблетки 400 мг (банка) 20 х 1 (пачка картонная)</t>
  </si>
  <si>
    <t>ЛП-006903</t>
  </si>
  <si>
    <t>0873400003924000025</t>
  </si>
  <si>
    <t>https://zakupki.gov.ru/epz/order/notice/ea20/view/common-info.html?regNumber=0873400003924000025</t>
  </si>
  <si>
    <t>Ламивудин, таблетки, покрытые пленочной 
оболочкой, 150 мг</t>
  </si>
  <si>
    <t>0873400003924000026</t>
  </si>
  <si>
    <t>https://zakupki.gov.ru/epz/order/notice/ea20/view/common-info.html?regNumber=0873400003924000026</t>
  </si>
  <si>
    <t>Дарунавир, таблетки, покрытые пленочной 
оболочкой, 800 мг</t>
  </si>
  <si>
    <t>0873400003924000027</t>
  </si>
  <si>
    <t>https://zakupki.gov.ru/epz/order/notice/ea20/view/common-info.html?regNumber=0873400003924000027</t>
  </si>
  <si>
    <t>Ритонавир, капсулы и/или таблетки, 
покрытые пленочной оболочкой, 100 мг</t>
  </si>
  <si>
    <t>0873400003924000028</t>
  </si>
  <si>
    <t>https://zakupki.gov.ru/epz/order/notice/ea20/view/common-info.html?regNumber=0873400003924000028</t>
  </si>
  <si>
    <t>Абакавир, раствор для приема внутрь, 20 
мг/мл</t>
  </si>
  <si>
    <t>0873400003924000029</t>
  </si>
  <si>
    <t>1970515020224000086</t>
  </si>
  <si>
    <t>https://zakupki.gov.ru/epz/order/notice/ea20/view/common-info.html?regNumber=0873400003924000029</t>
  </si>
  <si>
    <t>0873400003924000029-0001</t>
  </si>
  <si>
    <t>Дарунавир, таблетки, покрытые пленочной 
оболочкой, 400 мг</t>
  </si>
  <si>
    <t>Дарунавир</t>
  </si>
  <si>
    <t>таблетки, покрытые пленочной оболочкой, 
400 мг (контурная ячейковая упаковка) 10 х 6 (пачка картонная)</t>
  </si>
  <si>
    <t>ЛП-007612</t>
  </si>
  <si>
    <t>0873400003924000030</t>
  </si>
  <si>
    <t>1970515020224000087</t>
  </si>
  <si>
    <t>https://zakupki.gov.ru/epz/order/notice/ea20/view/common-info.html?regNumber=087340000392400030</t>
  </si>
  <si>
    <t>0873400003924000030-0001</t>
  </si>
  <si>
    <t>Лопинавир+Ритонавир, раствор для приема 
внутрь, 80 мг/мл + 20 мг/мл</t>
  </si>
  <si>
    <t>Лопинавир+Ритонавир</t>
  </si>
  <si>
    <t>[раствор для приема внутрь, 80 мг/мл + 20 мг/мл (флакон) 60 мл х 5 + (шприц дозирующий) х 5] х 1(пачка картонная)</t>
  </si>
  <si>
    <t>ЛП-005700</t>
  </si>
  <si>
    <t>0873400003924000031</t>
  </si>
  <si>
    <t>1970515020224000093</t>
  </si>
  <si>
    <t>https://zakupki.gov.ru/epz/order/notice/ea20/view/common-info.html?regNumber=0873400003924000031</t>
  </si>
  <si>
    <t>0873400003924000031-0001</t>
  </si>
  <si>
    <t>Саквинавир, таблетки, покрытые пленочной 
оболочкой, 500 мг</t>
  </si>
  <si>
    <t>Интерфаст</t>
  </si>
  <si>
    <t>таблетки, покрытые пленочной оболочкой, 500 мг (банка) 120 х 1 (пачка картонная)</t>
  </si>
  <si>
    <t>ЛП-002435</t>
  </si>
  <si>
    <t>0873400003924000032</t>
  </si>
  <si>
    <t>1970515020224000092</t>
  </si>
  <si>
    <t>https://zakupki.gov.ru/epz/order/notice/ea20/view/common-info.html?regNumber=0873400003924000032</t>
  </si>
  <si>
    <t>0873400003924000032-0001</t>
  </si>
  <si>
    <t>Абакавир, таблетки покрытые пленочной 
оболочкой, 300 мг</t>
  </si>
  <si>
    <t>таблетки, покрытые пленочной оболочкой, 300 мг (банка) 60 х 1 (пачка картонная)</t>
  </si>
  <si>
    <t>0873400003924000033</t>
  </si>
  <si>
    <t>1970515020224000088</t>
  </si>
  <si>
    <t>https://zakupki.gov.ru/epz/order/notice/ea20/view/common-info.html?regNumber=0873400003924000033</t>
  </si>
  <si>
    <t>0873400003924000033-0001</t>
  </si>
  <si>
    <t>Невирапин, таблетки и/или таблетки, 
покрытые пленочной оболочкой, 200 мг</t>
  </si>
  <si>
    <t>Невирпин®</t>
  </si>
  <si>
    <t>таблетки, покрытые пленочной оболочкой, 200 мг (контурная ячейковая упаковка) 10 х 6 (пачка картонная)</t>
  </si>
  <si>
    <t>ЛП-№(001585)-(РГ-RU)</t>
  </si>
  <si>
    <t>0873400003924000034</t>
  </si>
  <si>
    <t>https://zakupki.gov.ru/epz/order/notice/ea20/view/common-info.html?regNumber=0873400003924000034</t>
  </si>
  <si>
    <t>Абакавир, таблетки покрытые пленочной 
оболочкой, 600 мг</t>
  </si>
  <si>
    <t>0873400003924000035</t>
  </si>
  <si>
    <t>1970515020224000089</t>
  </si>
  <si>
    <t>https://zakupki.gov.ru/epz/order/notice/ea20/view/common-info.html?regNumber=0873400003924000035</t>
  </si>
  <si>
    <t>0873400003924000035-0001</t>
  </si>
  <si>
    <t>Эфавиренз, таблетки, покрытые пленочной 
оболочкой 100 мг</t>
  </si>
  <si>
    <t>0873400003924000036</t>
  </si>
  <si>
    <t>1970515020224000090</t>
  </si>
  <si>
    <t>https://zakupki.gov.ru/epz/order/notice/ea20/view/common-info.html?regNumber=0873400003924000036</t>
  </si>
  <si>
    <t>0873400003924000036-0001</t>
  </si>
  <si>
    <t>Невирапин, суспензия для приема внутрь, 10 
мг/мл</t>
  </si>
  <si>
    <t>Вирамун®</t>
  </si>
  <si>
    <t>[суспензия для приема внутрь, 50 мг/5 мл (флакон) 240 мл х 1 + (шприц мерный) х 1 + (крышка) х 1] х 1 (пачка картонная)</t>
  </si>
  <si>
    <t>П N011661/01</t>
  </si>
  <si>
    <t>0873400003924000037</t>
  </si>
  <si>
    <t>1970515020224000100</t>
  </si>
  <si>
    <t>https://zakupki.gov.ru/epz/order/notice/ea20/view/common-info.html?regNumber=0873400003924000037</t>
  </si>
  <si>
    <t>0873400003924000037-0001</t>
  </si>
  <si>
    <t>Вакцина для профилактики вирусного гепатита В (для детского населения (для детей до года)), суспензия для внутримышечного введения, 0,02 мг/мл</t>
  </si>
  <si>
    <t>1. Вакцина гепатита В рекомбинантная дрожжевая;
2. Регевак® В (Вакцина против гепатита В, рекомбинантная дрожжевая жидкая).</t>
  </si>
  <si>
    <t>1. суспензия для внутримышечного введения, 0.5 мл (ампула) 0.5 мл х 10 (пачка картонная);
2. суспензия для внутримышечного введения, 20 мкг/мл (ампула) 0.5 мл х 10 (пачка картонная)</t>
  </si>
  <si>
    <t>1. Р N000738/01;
2. ЛП-№(000539)-(РГ-RU).</t>
  </si>
  <si>
    <t>0873400003924000038</t>
  </si>
  <si>
    <t>1970515020224000098</t>
  </si>
  <si>
    <t>https://zakupki.gov.ru/epz/order/notice/ea20/view/common-info.html?regNumber=0873400003924000038</t>
  </si>
  <si>
    <t>0873400003924000038-0001</t>
  </si>
  <si>
    <t>Вакцина для профилактики вирусного гепатита В (для детского населения), суспензия для внутримышечного введения, 0,02 мг/мл</t>
  </si>
  <si>
    <t>0873400003924000039</t>
  </si>
  <si>
    <t>1970515020224000099</t>
  </si>
  <si>
    <t>https://zakupki.gov.ru/epz/order/notice/ea20/view/common-info.html?regNumber=0873400003924000039</t>
  </si>
  <si>
    <t>0873400003924000039-0001</t>
  </si>
  <si>
    <t>Вакцина для профилактики вирусного гепатита В (для взрослого населения), суспензия для 
внутримышечного введения, 0,02 мг/мл</t>
  </si>
  <si>
    <t>1. суспензия для внутримышечного введения, 1 мл (ампула) 1 мл х 10 (пачка картонная);
2. суспензия для внутримышечного введения, 20 мкг/мл (ампула) 1 мл х 10 (пачка картонная).</t>
  </si>
  <si>
    <t>0873400003924000040</t>
  </si>
  <si>
    <t>https://zakupki.gov.ru/epz/order/notice/ea20/view/common-info.html?regNumber=0873400003924000040</t>
  </si>
  <si>
    <t>Зидовудин, раствор для инфузий, 10 мг/мл</t>
  </si>
  <si>
    <t>0873400003924000041</t>
  </si>
  <si>
    <t>1970515020224000107</t>
  </si>
  <si>
    <t>https://zakupki.gov.ru/epz/order/notice/ea20/view/common-info.html?regNumber=0873400003924000041</t>
  </si>
  <si>
    <t>0873400003924000041-0001</t>
  </si>
  <si>
    <t>АО "Нацимбио"</t>
  </si>
  <si>
    <t>Вакцина для профилактики туберкулеза (для щадящей первичной иммунизации), лиофилизат для приготовления суспензии для внутрикожного введения</t>
  </si>
  <si>
    <t>1. Вакцина туберкулезная для щадящей первичной иммунизации (БЦЖ-М);
2. Вакцина туберкулезная для щадящей первичной иммунизации (БЦЖ-М).</t>
  </si>
  <si>
    <t>1. ЛС-001143;
2. Р N001972/01.</t>
  </si>
  <si>
    <t>0873400003924000042</t>
  </si>
  <si>
    <t>1970515020224000109</t>
  </si>
  <si>
    <t>https://zakupki.gov.ru/epz/order/notice/ea20/view/common-info.html?regNumber=0873400003924000042</t>
  </si>
  <si>
    <t>0873400003924000042-0001</t>
  </si>
  <si>
    <t>Вакцина против краснухи культуральная живая</t>
  </si>
  <si>
    <t>лиофилизат для приготовления раствора для подкожного введения, 0.5 мл/доза (ампула) 1 доза х 10 (пачка картонная)</t>
  </si>
  <si>
    <t>ЛП-№(001165)-(РГ-RU)</t>
  </si>
  <si>
    <t>0873400003924000043</t>
  </si>
  <si>
    <t>1970515020224000106</t>
  </si>
  <si>
    <t>https://zakupki.gov.ru/epz/order/notice/ea20/view/common-info.html?regNumber=0873400003924000043</t>
  </si>
  <si>
    <t>0873400003924000043-0001</t>
  </si>
  <si>
    <t>1. Вакцина туберкулезная (БЦЖ);
2. Вакцина туберкулезная (БЦЖ).</t>
  </si>
  <si>
    <t>1. [лиофилизат для приготовления суспензии для внутрикожного введения, 0.05 мг/доза (ампула) 10 доз х 1+ растворитель: натрия хлорид растворитель для приготовления лекарственных форм для инъекций 0.9 % (ампула) 1 мл х 1] х 5 (пачка картонная);
2. [лиофилизат для приготовления суспензии для внутрикожного введения, 0.05 мг/доза (ампула) 0.5 мг (10 доз) х 5 + растворитель (ампула) 1 мл х 5] х 1 (пачка картонная).</t>
  </si>
  <si>
    <t>1. ЛС-000574;
2. P N001969/01.</t>
  </si>
  <si>
    <t>0873400003924000044</t>
  </si>
  <si>
    <t>1970515020224000104</t>
  </si>
  <si>
    <t>https://zakupki.gov.ru/epz/order/notice/ea20/view/common-info.html?regNumber=0873400003924000044</t>
  </si>
  <si>
    <t>0873400003924000044-0001</t>
  </si>
  <si>
    <t>Анатоксин дифтерийный (с уменьшенным содержанием антигена), суспензия для внутримышечного и подкожного введения и/или суспензия для инъекций</t>
  </si>
  <si>
    <t>Анатоксин дифтерийный очищенный адсорбированный с уменьшенным содержанием антигена жидкий (АД-М-анатоксин)</t>
  </si>
  <si>
    <t>суспензия для внутримышечного и подкожного введения, анатоксин с тиомерсалом (ампула) 1 мл х 10 (коробка картонная)</t>
  </si>
  <si>
    <t>ЛС-000284</t>
  </si>
  <si>
    <t>0873400003924000045</t>
  </si>
  <si>
    <t>1970515020224000111</t>
  </si>
  <si>
    <t>https://zakupki.gov.ru/epz/order/notice/ea20/view/common-info.html?regNumber=0873400003924000045</t>
  </si>
  <si>
    <t>0873400003924000045-0001</t>
  </si>
  <si>
    <t>Вакцина паротитно-коревая культуральная живая</t>
  </si>
  <si>
    <t>лиофилизат для приготовления раствора для подкожного введения (ампула) 1 доза х 10 (пачка картонная)</t>
  </si>
  <si>
    <t>ЛП-№(001181)-(РГ-RU)</t>
  </si>
  <si>
    <t>0873400003924000046</t>
  </si>
  <si>
    <t>1970515020224000112</t>
  </si>
  <si>
    <t>https://zakupki.gov.ru/epz/order/notice/ea20/view/common-info.html?regNumber=0873400003924000046</t>
  </si>
  <si>
    <t>0873400003924000046-0001</t>
  </si>
  <si>
    <t>Вакцина коклюшно-дифтерийно-столбнячная адсорбированная (АКДС-вакцина)</t>
  </si>
  <si>
    <t>суспензия для внутримышечного введения 0.5 мл/ доза (с консервантом) (ампула) 1 мл х 10 (коробка картонная)</t>
  </si>
  <si>
    <t>ЛС-000659</t>
  </si>
  <si>
    <t>0873400003924000047</t>
  </si>
  <si>
    <t>https://zakupki.gov.ru/epz/order/notice/ea20/view/common-info.html?regNumber=0873400003924000047</t>
  </si>
  <si>
    <t>0873400003924000047-0001</t>
  </si>
  <si>
    <t>ООО "ЭПИДБИОМЕД-ИМПЭКС"</t>
  </si>
  <si>
    <t>Вакцина для профилактики полиомиелита (пероральная), раствор для приема внутрь</t>
  </si>
  <si>
    <t>БиВак полио (Вакцина полиомиелитная пероральная, двухвалентная, живая аттенуированная 1, 3 типов)</t>
  </si>
  <si>
    <t>раствор для приема внутрь 0.2 мл/доза (флакон) 2 мл (10 доз) х 10 (пачка картонная)</t>
  </si>
  <si>
    <t>ЛП-003511</t>
  </si>
  <si>
    <t>0873400003924000048</t>
  </si>
  <si>
    <t>https://zakupki.gov.ru/epz/order/notice/ea20/view/common-info.html?regNumber=0873400003924000048</t>
  </si>
  <si>
    <t>0873400003924000048-0001</t>
  </si>
  <si>
    <t>Доравирин, таблетки, покрытые пленочной 
оболочкой, 100 мг</t>
  </si>
  <si>
    <t>Пивелтра</t>
  </si>
  <si>
    <t>таблетки, покрытые пленочной оболочкой, 100 мг (флакон) 30 х 1 (пачка картонная)</t>
  </si>
  <si>
    <t>ЛП-005570</t>
  </si>
  <si>
    <t>0873400003924000049</t>
  </si>
  <si>
    <t>https://zakupki.gov.ru/epz/order/notice/ea20/view/common-info.html?regNumber=0873400003924000049</t>
  </si>
  <si>
    <t>0873400003924000049-0001</t>
  </si>
  <si>
    <t>Анатоксин столбнячный очищенный адсорбированный жидкий (АС-анатоксин)</t>
  </si>
  <si>
    <t>суспензия для подкожного введения, анатоксин с тиомерсалом (ампула) 1 мл х 10 (коробка картонная)</t>
  </si>
  <si>
    <t>ЛС-000434</t>
  </si>
  <si>
    <t>0873400003924000050</t>
  </si>
  <si>
    <t>https://zakupki.gov.ru/epz/order/notice/ea20/view/common-info.html?regNumber=0873400003924000050</t>
  </si>
  <si>
    <t>Ламивудин, раствор для приема внутрь, 10 
мг/мл</t>
  </si>
  <si>
    <t>0873400003924000051</t>
  </si>
  <si>
    <t>Зидовудин+Ламивудин, таблетки, покрытые 
пленочной оболочкой, 300 мг +150 мг</t>
  </si>
  <si>
    <t>0873400003924000052</t>
  </si>
  <si>
    <t>https://zakupki.gov.ru/epz/order/notice/ea20/view/common-info.html?regNumber=0873400003924000052</t>
  </si>
  <si>
    <t>0873400003924000052-0001</t>
  </si>
  <si>
    <t>Вакцина паротитная культуральная живая</t>
  </si>
  <si>
    <t>ЛП-№(001173)-(РГ-RU)</t>
  </si>
  <si>
    <t>0873400003924000053</t>
  </si>
  <si>
    <t>https://zakupki.gov.ru/epz/order/notice/ea20/view/common-info.html?regNumber=0873400003924000053</t>
  </si>
  <si>
    <t>0873400003924000053-0001</t>
  </si>
  <si>
    <t>ООО "Нанофарм"</t>
  </si>
  <si>
    <t>Анатоксин столбнячный + гемофилус инфлуензэ типа б полисахарид лиофилизат для приготовления раствора для внутримышечного введения</t>
  </si>
  <si>
    <t>Анатоксин столбнячный + гемофилус инфлуензэ типа б полисахарид</t>
  </si>
  <si>
    <t>[лиофилизат для приготовления раствора для внутримышечного введения, 0.5мл/доза (ампула) 1 доза х 5 + растворитель: вода для инъекций (ампула) 0.5 мл х 5] х1 (пачка картонная)</t>
  </si>
  <si>
    <t>ЛП-000499</t>
  </si>
  <si>
    <t>0873400003924000054</t>
  </si>
  <si>
    <t>https://zakupki.gov.ru/epz/order/notice/ea20/view/common-info.html?regNumber=0873400003924000054</t>
  </si>
  <si>
    <t>Зидовудин, таблетки, покрытые пленочной 
оболочкой, 300 мг</t>
  </si>
  <si>
    <t>0873400003924000055</t>
  </si>
  <si>
    <t>https://zakupki.gov.ru/epz/order/notice/ea20/view/common-info.html?regNumber=0873400003924000055</t>
  </si>
  <si>
    <t>0873400003924000055-0001</t>
  </si>
  <si>
    <t>39.63</t>
  </si>
  <si>
    <t>Анатоксин дифтерийно-столбнячный очищенный адсорбированный с уменьшенным содержанием антигенов жидкий (АДС-М-анатоксин)</t>
  </si>
  <si>
    <t>суспензия для внутримышечного и подкожного введения (анатоксин с тиомерсалом) (ампула) 1 мл х 10 (коробка картонная)</t>
  </si>
  <si>
    <t>ЛС-000283</t>
  </si>
  <si>
    <t>0873400003924000056</t>
  </si>
  <si>
    <t>545 "ЗК"</t>
  </si>
  <si>
    <t>1970515020224000082</t>
  </si>
  <si>
    <t>https://zakupki.gov.ru/epz/order/notice/ea20/view/common-info.html?regNumber=0873400003924000056</t>
  </si>
  <si>
    <t>0873400003924000056_358372</t>
  </si>
  <si>
    <t>0873400003924000057</t>
  </si>
  <si>
    <t>https://zakupki.gov.ru/epz/order/notice/ea20/view/common-info.html?regNumber=0873400003924000057</t>
  </si>
  <si>
    <t>0873400003924000058</t>
  </si>
  <si>
    <t>https://zakupki.gov.ru/epz/order/notice/ea20/view/common-info.html?regNumber=0873400003924000058</t>
  </si>
  <si>
    <t>0873400003924000059</t>
  </si>
  <si>
    <t>https://zakupki.gov.ru/epz/order/notice/ea20/view/common-info.html?regNumber=0873400003924000059</t>
  </si>
  <si>
    <t>Вакцина для профилактики кори, лиофилизат для 
приготовления раствора для подкожного 
введения</t>
  </si>
  <si>
    <t>65.16</t>
  </si>
  <si>
    <t>0873400003924000060</t>
  </si>
  <si>
    <t>https://zakupki.gov.ru/epz/order/notice/ea20/view/common-info.html?regNumber=0873400003924000060</t>
  </si>
  <si>
    <t>Вакцина для профилактики полиомиелита 
(инактивированная), суспензия для 
внутримышечного и подкожного введения, 
0,5 мл/доза и/или раствор для 
внутримышечного введения, 0,5 мл/доза</t>
  </si>
  <si>
    <t>0873400003924000061</t>
  </si>
  <si>
    <t>https://zakupki.gov.ru/epz/order/notice/ea20/view/common-info.html?regNumber=0873400003924000061</t>
  </si>
  <si>
    <t>Вакцина для профилактики пневмококковых инфекций, суспензия для внутримышечного введения, 0,5 мл/доза</t>
  </si>
  <si>
    <t>0873400003924000062</t>
  </si>
  <si>
    <t>https://zakupki.gov.ru/epz/order/notice/ea20/view/common-info.html?regNumber=0873400003924000062</t>
  </si>
  <si>
    <t>Вакцина против коклюша, дифтерии, столбняка и гепатита В адсорбированная жидкая, суспензия для внутримышечного введения</t>
  </si>
  <si>
    <t>0873400003924000063</t>
  </si>
  <si>
    <t>https://zakupki.gov.ru/epz/order/notice/ea20/view/common-info.html?regNumber=0873400003924000063</t>
  </si>
  <si>
    <t>Вакцина для профилактики кори, краснухи и паротита, лиофилизат для приготовления раствора для подкожного введения</t>
  </si>
  <si>
    <t>0873400003924000064</t>
  </si>
  <si>
    <t>https://zakupki.gov.ru/epz/order/notice/ea20/view/common-info.html?regNumber=0873400003924000064</t>
  </si>
  <si>
    <t>0873400003924000065</t>
  </si>
  <si>
    <t>https://zakupki.gov.ru/epz/order/notice/ea20/view/common-info.html?regNumber=0873400003924000065</t>
  </si>
  <si>
    <t>Ралтегравир, таблетки, покрытые пленочной 
оболочкой, 400 мг</t>
  </si>
  <si>
    <t>0873400003924000066</t>
  </si>
  <si>
    <t>https://zakupki.gov.ru/epz/order/notice/ea20/view/common-info.html?regNumber=0873400003924000066</t>
  </si>
  <si>
    <t>0873400003924000067</t>
  </si>
  <si>
    <t>https://zakupki.gov.ru/epz/order/notice/ea20/view/common-info.html?regNumber=0873400003924000067</t>
  </si>
  <si>
    <t>0873400003924000068</t>
  </si>
  <si>
    <t>https://zakupki.gov.ru/epz/order/notice/ea20/view/common-info.html?regNumber=0873400003924000068</t>
  </si>
  <si>
    <t>0873400003924000069</t>
  </si>
  <si>
    <t>https://zakupki.gov.ru/epz/order/notice/ea20/view/common-info.html?regNumber=0873400003924000069</t>
  </si>
  <si>
    <t>0873400003924000070</t>
  </si>
  <si>
    <t>https://zakupki.gov.ru/epz/order/notice/ea20/view/common-info.html?regNumber=0873400003924000070</t>
  </si>
  <si>
    <t>0873400003924000071</t>
  </si>
  <si>
    <t>https://zakupki.gov.ru/epz/order/notice/ea20/view/common-info.html?regNumber=0873400003924000071</t>
  </si>
  <si>
    <t>0873400003924000072</t>
  </si>
  <si>
    <t>https://zakupki.gov.ru/epz/order/notice/ea20/view/common-info.html?regNumber=0873400003924000072</t>
  </si>
  <si>
    <t>0873400003924000073</t>
  </si>
  <si>
    <t>https://zakupki.gov.ru/epz/order/notice/ea20/view/common-info.html?regNumber=0873400003924000073</t>
  </si>
  <si>
    <t>Фактор свертывания крови IX, лиофилизат для 
приготовления раствора для внутривенного 
введения и/или инфузий, 250 МЕ</t>
  </si>
  <si>
    <t>0873400003924000074</t>
  </si>
  <si>
    <t>https://zakupki.gov.ru/epz/order/notice/ea20/view/common-info.html?regNumber=0873400003924000074</t>
  </si>
  <si>
    <t>Фактор свертывания крови VIII, лиофилизат для 
приготовления раствора для внутривенного 
введения и/или инфузий, 500 МЕ</t>
  </si>
  <si>
    <t>0873400003924000075</t>
  </si>
  <si>
    <t>https://zakupki.gov.ru/epz/order/notice/ea20/view/common-info.html?regNumber=0873400003924000075</t>
  </si>
  <si>
    <t>Элсульфавирин, капсулы, 20 мг</t>
  </si>
  <si>
    <t>0873400003924000076</t>
  </si>
  <si>
    <t>https://zakupki.gov.ru/epz/order/notice/ea20/view/common-info.html?regNumber=0873400003924000076</t>
  </si>
  <si>
    <t>Фактор свертывания крови VIII + Фактор 
Виллебранда, лиофилизат для приготовления 
раствора для внутривенного введения, 900 
МЕ + 800 МЕ</t>
  </si>
  <si>
    <t>25.33</t>
  </si>
  <si>
    <t>0873400003924000077</t>
  </si>
  <si>
    <t>https://zakupki.gov.ru/epz/order/notice/ea20/view/common-info.html?regNumber=0873400003924000077</t>
  </si>
  <si>
    <t>Идурсульфаза, концентрат для 
приготовления раствора для инфузий, 2 мг/мл</t>
  </si>
  <si>
    <t>0873400003924000078</t>
  </si>
  <si>
    <t>https://zakupki.gov.ru/epz/order/notice/ea20/view/common-info.html?regNumber=0873400003924000078</t>
  </si>
  <si>
    <t>Аталурен, порошок для приема внутрь, 1000 мг</t>
  </si>
  <si>
    <t>0873400003924000079</t>
  </si>
  <si>
    <t>https://zakupki.gov.ru/epz/order/notice/ea20/view/common-info.html?regNumber=0873400003924000079</t>
  </si>
  <si>
    <t>0873400003924000080</t>
  </si>
  <si>
    <t>https://zakupki.gov.ru/epz/order/notice/ea20/view/common-info.html?regNumber=0873400003924000080</t>
  </si>
  <si>
    <t>Микофенолата мофетил, капсулы и/или 
таблетки, покрытые пленочной оболочкой, 
500 мг</t>
  </si>
  <si>
    <t>0873400003924000081</t>
  </si>
  <si>
    <t>https://zakupki.gov.ru/epz/order/notice/ea20/view/common-info.html?regNumber=0873400003924000081</t>
  </si>
  <si>
    <t xml:space="preserve">Эптаког альфа (активированный), лиофилизат для приготовления раствора для внутривенного 
введения, 1,2 мг (60 КЕД) </t>
  </si>
  <si>
    <t>0873400003924000082</t>
  </si>
  <si>
    <t>https://zakupki.gov.ru/epz/order/notice/ea20/view/common-info.html?regNumber=0873400003924000082</t>
  </si>
  <si>
    <t>Октоког альфа, лиофилизат для приготовления 
раствора для внутривенного введения, 500 МЕ</t>
  </si>
  <si>
    <t>0873400003924000083</t>
  </si>
  <si>
    <t>https://zakupki.gov.ru/epz/order/notice/ea20/view/common-info.html?regNumber=0873400003924000083</t>
  </si>
  <si>
    <t>Деламанид, таблетки, покрытые пленочной 
оболочкой 50 мг</t>
  </si>
  <si>
    <t>0873400003924000084</t>
  </si>
  <si>
    <t>https://zakupki.gov.ru/epz/order/notice/ea20/view/common-info.html?regNumber=0873400003924000084</t>
  </si>
  <si>
    <t>Протионамид, таблетки, покрытые оболочкой и/или таблетки, покрытые пленочной оболочкой, 250 мг</t>
  </si>
  <si>
    <t>0873400003924000085</t>
  </si>
  <si>
    <t>https://zakupki.gov.ru/epz/order/notice/ea20/view/common-info.html?regNumber=0873400003924000085</t>
  </si>
  <si>
    <t>Теризидон, капсулы, 150 мг</t>
  </si>
  <si>
    <t>0873400003924000086</t>
  </si>
  <si>
    <t>https://zakupki.gov.ru/epz/order/notice/ea20/view/common-info.html?regNumber=0873400003924000086</t>
  </si>
  <si>
    <t>Фактор свертывания крови VIII, лиофилизат для 
приготовления раствора для внутривенного 
введения и/или инфузий, 1000 МЕ</t>
  </si>
  <si>
    <t>0873400003924000087</t>
  </si>
  <si>
    <t>https://zakupki.gov.ru/epz/order/notice/ea20/view/common-info.html?regNumber=0873400003924000087</t>
  </si>
  <si>
    <t>Даратумумаб, концентрат для приготовления 
раствора для инфузий 20 мг/мл, 5,0 мл</t>
  </si>
  <si>
    <t>0873400003924000088</t>
  </si>
  <si>
    <t>https://zakupki.gov.ru/epz/order/notice/ea20/view/common-info.html?regNumber=0873400003924000088</t>
  </si>
  <si>
    <t>0873400003924000089</t>
  </si>
  <si>
    <t>https://zakupki.gov.ru/epz/order/notice/ea20/view/common-info.html?regNumber=0873400003924000089</t>
  </si>
  <si>
    <t xml:space="preserve">Бедаквилин, таблетки, 100 мг </t>
  </si>
  <si>
    <t>0873400003924000090</t>
  </si>
  <si>
    <t>https://zakupki.gov.ru/epz/order/notice/ea20/view/common-info.html?regNumber=0873400003924000090</t>
  </si>
  <si>
    <t xml:space="preserve"> Тиоуреидоиминометилпиридиния перхлорат, таблетки покрытые пленочной оболочкой, 400 мг в рамках реализации постановления Правительства Российской Федерации от 28.12.2016 № 1512</t>
  </si>
  <si>
    <t>0873400003924000091</t>
  </si>
  <si>
    <t>https://zakupki.gov.ru/epz/order/notice/ea20/view/common-info.html?regNumber=0873400003924000091</t>
  </si>
  <si>
    <t>Теризидон, капсулы, 250 мг</t>
  </si>
  <si>
    <t>0873400003924000092</t>
  </si>
  <si>
    <t>https://zakupki.gov.ru/epz/order/notice/ea20/view/common-info.html?regNumber=0873400003924000092</t>
  </si>
  <si>
    <t>Вакцина для профилактики вирусного гепатита В, дифтерии и столбняка, суспензия для 
внутримышечного введения</t>
  </si>
  <si>
    <t>0873400003924000093</t>
  </si>
  <si>
    <t>https://zakupki.gov.ru/epz/order/notice/ea20/view/common-info.html?regNumber=0873400003924000093</t>
  </si>
  <si>
    <t>Капреомицин, порошок для приготовления 
раствора для внутривенного и 
внутримышечного введения и/или порошок 
для приготовления раствора для инфузий и 
внутримышечного введения, 500 мг</t>
  </si>
  <si>
    <t>0873400003924000094</t>
  </si>
  <si>
    <t>https://zakupki.gov.ru/epz/order/notice/ea20/view/common-info.html?regNumber=0873400003924000094</t>
  </si>
  <si>
    <t>Теризидон, капсулы, 300 мг</t>
  </si>
  <si>
    <t>0873400003924000095</t>
  </si>
  <si>
    <t>https://zakupki.gov.ru/epz/order/notice/ea20/view/common-info.html?regNumber=0873400003924000095</t>
  </si>
  <si>
    <t>Капреомицин, порошок для приготовления 
раствора для внутривенного и 
внутримышечного введения и/или порошок 
для приготовления раствора для инфузий и 
внутримышечного введения, 750 мг</t>
  </si>
  <si>
    <t>0873400003924000096</t>
  </si>
  <si>
    <t>1512 вич
ЗК</t>
  </si>
  <si>
    <t>https://zakupki.gov.ru/epz/order/notice/ea20/view/common-info.html?regNumber=0873400003924000096</t>
  </si>
  <si>
    <t>Абакавир, раствор для приема внутрь, 20 мг/мл</t>
  </si>
  <si>
    <t>0873400003924000097</t>
  </si>
  <si>
    <t>https://zakupki.gov.ru/epz/order/notice/ea20/view/common-info.html?regNumber=0873400003924000097</t>
  </si>
  <si>
    <t>0873400003924000098</t>
  </si>
  <si>
    <t>1512 туб 
ЗК</t>
  </si>
  <si>
    <t>https://zakupki.gov.ru/epz/order/notice/ea20/view/common-info.html?regNumber=0873400003924000098</t>
  </si>
  <si>
    <t>0873400003924000099</t>
  </si>
  <si>
    <t>1970515020224000101</t>
  </si>
  <si>
    <t>https://zakupki.gov.ru/epz/order/notice/ea20/view/common-info.html?regNumber=0873400003924000099</t>
  </si>
  <si>
    <t>0873400003924000099-0001</t>
  </si>
  <si>
    <t>ООО "Виренд Интернейшнл"</t>
  </si>
  <si>
    <t>Абакавир+Ламивудин</t>
  </si>
  <si>
    <t>таблетки, покрытые пленочной оболочкой, 600 мг + 300 мг (банка) 50 х 1 (пачка картонная)</t>
  </si>
  <si>
    <t>ЛП-004209</t>
  </si>
  <si>
    <t>0873400003924000100</t>
  </si>
  <si>
    <t>https://zakupki.gov.ru/epz/order/notice/ea20/view/common-info.html?regNumber=0873400003924000100</t>
  </si>
  <si>
    <t>0873400003924000101</t>
  </si>
  <si>
    <t>1970515020224000102</t>
  </si>
  <si>
    <t>https://zakupki.gov.ru/epz/order/notice/ea20/view/common-info.html?regNumber=0873400003924000101</t>
  </si>
  <si>
    <t>0873400003924000101-0001</t>
  </si>
  <si>
    <t>1.Локсидон;
2.Теризидон.</t>
  </si>
  <si>
    <t>1. капсулы, 250 мг (банка) 100 х 1 (пачка картонная);
2. капсулы, 250 мг (блистер) 10 х 10 (пачка картонная).</t>
  </si>
  <si>
    <t>1. ЛП-002373;
2. ЛП-№(000999)-(РГ-RU).</t>
  </si>
  <si>
    <t>0873400003924000102</t>
  </si>
  <si>
    <t>1970515020224000103</t>
  </si>
  <si>
    <t>https://zakupki.gov.ru/epz/order/notice/ea20/view/common-info.html?regNumber=0873400003924000102</t>
  </si>
  <si>
    <t>0873400003924000102-0001</t>
  </si>
  <si>
    <t>Капреомицин</t>
  </si>
  <si>
    <t>порошок для приготовления раствора для внутривенного и внутримышечного введения 500 мг (флакон) х 1 (пачка картонная)</t>
  </si>
  <si>
    <t>ЛП-№(001437)-(РГ-RU)</t>
  </si>
  <si>
    <t>0873400003924000103</t>
  </si>
  <si>
    <t>https://zakupki.gov.ru/epz/order/notice/ea20/view/common-info.html?regNumber=0873400003924000103</t>
  </si>
  <si>
    <t>0873400003924000104</t>
  </si>
  <si>
    <t>https://zakupki.gov.ru/epz/order/notice/ea20/view/common-info.html?regNumber=0873400003924000104</t>
  </si>
  <si>
    <t>Протионамид, таблетки, покрытые 
оболочкой и/или таблетки, покрытые 
пленочной оболочкой, 250 мг</t>
  </si>
  <si>
    <t>0873400003924000105</t>
  </si>
  <si>
    <t>https://zakupki.gov.ru/epz/order/notice/ea20/view/common-info.html?regNumber=0873400003924000105</t>
  </si>
  <si>
    <t>0873400003924000106</t>
  </si>
  <si>
    <t>https://zakupki.gov.ru/epz/order/notice/ea20/view/common-info.html?regNumber=0873400003924000106</t>
  </si>
  <si>
    <t>0873400003924000107</t>
  </si>
  <si>
    <t>https://zakupki.gov.ru/epz/order/notice/ea20/view/common-info.html?regNumber=0873400003924000107</t>
  </si>
  <si>
    <t>0873400003924000107-0001</t>
  </si>
  <si>
    <t>Спарфлоксацин, таблетки, покрытые 
оболочкой и/или таблетки, покрытые, 
пленочной оболочкой, 200 мг</t>
  </si>
  <si>
    <t>Флоксимар</t>
  </si>
  <si>
    <t>таблетки, покрытые пленочной оболочкой, 200 мг (контурная ячейковая упаковка) 7 х 1 (пачка картонная)</t>
  </si>
  <si>
    <t>ЛП-005088</t>
  </si>
  <si>
    <t>0873400003924000108</t>
  </si>
  <si>
    <t>https://zakupki.gov.ru/epz/order/notice/ea20/view/common-info.html?regNumber=0873400003924000108</t>
  </si>
  <si>
    <t>0873400003924000108-0001</t>
  </si>
  <si>
    <t>Локсидон</t>
  </si>
  <si>
    <t>капсулы, 150 мг (банка) 100 х 1 (пачка картонная)</t>
  </si>
  <si>
    <t>ЛП-002373</t>
  </si>
  <si>
    <t>0873400003924000109</t>
  </si>
  <si>
    <t>https://zakupki.gov.ru/epz/order/notice/ea20/view/common-info.html?regNumber=0873400003924000109</t>
  </si>
  <si>
    <t>0873400003924000110</t>
  </si>
  <si>
    <t>https://zakupki.gov.ru/epz/order/notice/ea20/view/common-info.html?regNumber=0873400003924000110</t>
  </si>
  <si>
    <t>0873400003924000111</t>
  </si>
  <si>
    <t>https://zakupki.gov.ru/epz/order/notice/ea20/view/common-info.html?regNumber=0873400003924000111</t>
  </si>
  <si>
    <t>0873400003924000112</t>
  </si>
  <si>
    <t>https://zakupki.gov.ru/epz/order/notice/ea20/view/common-info.html?regNumber=0873400003924000112</t>
  </si>
  <si>
    <t>0873400003924000113</t>
  </si>
  <si>
    <t>https://zakupki.gov.ru/epz/order/notice/ea20/view/common-info.html?regNumber=0873400003924000113</t>
  </si>
  <si>
    <t>Капреомицин, порошок для приготовления 
раствора для внутривенного и 
внутримышечного введения и/или порошок 
для приготовления раствора для 
внутримышечного введения и/или порошок 
для приготовления раствора для инфузий и 
внутримышечного введения и/или 
лиофилизат для приготовления раствора для 
внутривенного и внутримышечного 
введения, 1000 мг</t>
  </si>
  <si>
    <t>0873400003924000114</t>
  </si>
  <si>
    <t>https://zakupki.gov.ru/epz/order/notice/ea20/view/common-info.html?regNumber=0873400003924000114</t>
  </si>
  <si>
    <t>0873400003924000115</t>
  </si>
  <si>
    <t>https://zakupki.gov.ru/epz/order/notice/ea20/view/common-info.html?regNumber=0873400003924000115</t>
  </si>
  <si>
    <t>0873400003924000116</t>
  </si>
  <si>
    <t>https://zakupki.gov.ru/epz/order/notice/ea20/view/common-info.html?regNumber=0873400003924000116</t>
  </si>
  <si>
    <t>0873400003924000117</t>
  </si>
  <si>
    <t>https://zakupki.gov.ru/epz/order/notice/ea20/view/common-info.html?regNumber=0873400003924000117</t>
  </si>
  <si>
    <t>0873400003924000117-0001</t>
  </si>
  <si>
    <t>Тиоуреидоиминометилпиридиния перхлорат, 
таблетки покрытые пленочной оболочкой, 
400 мг</t>
  </si>
  <si>
    <t>Перхлозон®</t>
  </si>
  <si>
    <t>таблетки, покрытые пленочной оболочкой, 400 мг (банка) 100 х 1 (пачка картонная)</t>
  </si>
  <si>
    <t>ЛП-001899</t>
  </si>
  <si>
    <t>0873400003924000118</t>
  </si>
  <si>
    <t>https://zakupki.gov.ru/epz/order/notice/ea20/view/common-info.html?regNumber=0873400003924000118</t>
  </si>
  <si>
    <t>0873400003924000118-0001</t>
  </si>
  <si>
    <t>порошок для приготовления раствора для внутривенного и внутримышечного введения, 750 мг (флакон) х 1 (пачка картонная)</t>
  </si>
  <si>
    <t>0873400003924000119</t>
  </si>
  <si>
    <t>https://zakupki.gov.ru/epz/order/notice/ea20/view/common-info.html?regNumber=0873400003924000119</t>
  </si>
  <si>
    <t>0873400003924000120</t>
  </si>
  <si>
    <t>https://zakupki.gov.ru/epz/order/notice/ea20/view/common-info.html?regNumber=0873400003924000120</t>
  </si>
  <si>
    <t>Ламивудин, раствор для приема внутрь, 10 мг/мл</t>
  </si>
  <si>
    <t>0873400003924000121</t>
  </si>
  <si>
    <t>1512 туб
ЗК</t>
  </si>
  <si>
    <t>https://zakupki.gov.ru/epz/order/notice/ea20/view/common-info.html?regNumber=0873400003924000121</t>
  </si>
  <si>
    <t>Капреомицин, порошок для приготовления раствора для внутривенного и внутримышечного введения и/или порошок для приготовления раствора для внутримышечного введения и/или порошок для приготовления раствора для инфузий и внутримышечного введения и/или лиофилизат для приготовления раствора для внутривенного и внутримышечного введения, 1000 мг</t>
  </si>
  <si>
    <t>0873400003924000122</t>
  </si>
  <si>
    <t>https://zakupki.gov.ru/epz/order/notice/ea20/view/common-info.html?regNumber=0873400003924000122</t>
  </si>
  <si>
    <t>0873400003924000123</t>
  </si>
  <si>
    <t>https://zakupki.gov.ru/epz/order/notice/ea20/view/common-info.html?regNumber=0873400003924000123</t>
  </si>
  <si>
    <t>0873400003924000125</t>
  </si>
  <si>
    <t>https://zakupki.gov.ru/epz/order/notice/ea20/view/common-info.html?regNumber=0873400003924000125</t>
  </si>
  <si>
    <t>0873400003924000126</t>
  </si>
  <si>
    <t>https://zakupki.gov.ru/epz/order/notice/ea20/view/common-info.html?regNumber=0873400003924000126</t>
  </si>
  <si>
    <t>0873400003924000127</t>
  </si>
  <si>
    <t>https://zakupki.gov.ru/epz/order/notice/ea20/view/common-info.html?regNumber=0873400003924000127</t>
  </si>
  <si>
    <t>0873400003924000128</t>
  </si>
  <si>
    <t>https://zakupki.gov.ru/epz/order/notice/ea20/view/common-info.html?regNumber=0873400003924000128</t>
  </si>
  <si>
    <t>0873400003924000129</t>
  </si>
  <si>
    <t>https://zakupki.gov.ru/epz/order/notice/ea20/view/common-info.html?regNumber=0873400003924000129</t>
  </si>
  <si>
    <t>Тенофовир+Элсульфавирин+Эмтрицитабин, 
таблетки, покрытые пленочной оболочкой, 
245 мг + 20 мг + 200 мг</t>
  </si>
  <si>
    <t>0873400003924000130</t>
  </si>
  <si>
    <t>https://zakupki.gov.ru/epz/order/notice/ea20/view/common-info.html?regNumber=0873400003924000130</t>
  </si>
  <si>
    <t>0873400003924000131</t>
  </si>
  <si>
    <t>https://zakupki.gov.ru/epz/order/notice/ea20/view/common-info.html?regNumber=0873400003924000131</t>
  </si>
  <si>
    <t>0873400003924000132</t>
  </si>
  <si>
    <t>https://zakupki.gov.ru/epz/order/notice/ea20/view/common-info.html?regNumber=0873400003924000132</t>
  </si>
  <si>
    <t>0873400003924000133</t>
  </si>
  <si>
    <t>https://zakupki.gov.ru/epz/order/notice/ea20/view/common-info.html?regNumber=0873400003924000133</t>
  </si>
  <si>
    <t>0873400003924000134</t>
  </si>
  <si>
    <t>https://zakupki.gov.ru/epz/order/notice/ea20/view/common-info.html?regNumber=0873400003924000134</t>
  </si>
  <si>
    <t>Эмицизумаб, раствор для подкожного 
введения, 150 мг/мл, 1,0 мл</t>
  </si>
  <si>
    <t>0873400003924000135</t>
  </si>
  <si>
    <t>https://zakupki.gov.ru/epz/order/notice/ea20/view/common-info.html?regNumber=0873400003924000135</t>
  </si>
  <si>
    <t>0873400003924000136</t>
  </si>
  <si>
    <t>https://zakupki.gov.ru/epz/order/notice/ea20/view/common-info.html?regNumber=0873400003924000136</t>
  </si>
  <si>
    <t>0873400003924000137</t>
  </si>
  <si>
    <t>https://zakupki.gov.ru/epz/order/notice/ea20/view/common-info.html?regNumber=0873400003924000137</t>
  </si>
  <si>
    <t>0873400003924000138</t>
  </si>
  <si>
    <t>https://zakupki.gov.ru/epz/order/notice/ea20/view/common-info.html?regNumber=0873400003924000138</t>
  </si>
  <si>
    <t>Интерферон бета-1b, лиофилизат для 
приготовления раствора для подкожного 
введения, 9,6 млн. МЕ и/или раствор 
для подкожного введения, 8 млн. МЕ/0,5 мл</t>
  </si>
  <si>
    <t>0873400003924000139</t>
  </si>
  <si>
    <t>1416
ЗК</t>
  </si>
  <si>
    <t>https://zakupki.gov.ru/epz/order/notice/ea20/view/common-info.html?regNumber=0873400003924000139</t>
  </si>
  <si>
    <t>0873400003924000140</t>
  </si>
  <si>
    <t>https://zakupki.gov.ru/epz/order/notice/ea20/view/common-info.html?regNumber=0873400003924000140</t>
  </si>
  <si>
    <t>Циклоспорин, раствор для приема внутрь 100 
мг/мл</t>
  </si>
  <si>
    <t>0873400003924000142</t>
  </si>
  <si>
    <t>1512 
ЗК</t>
  </si>
  <si>
    <t>https://zakupki.gov.ru/epz/order/notice/ea20/view/common-info.html?regNumber=0873400003924000142</t>
  </si>
  <si>
    <t>0873400003924000143</t>
  </si>
  <si>
    <t>https://zakupki.gov.ru/epz/order/notice/ea20/view/common-info.html?regNumber=0873400003924000143</t>
  </si>
  <si>
    <t>0873400003924000144</t>
  </si>
  <si>
    <t>https://zakupki.gov.ru/epz/order/notice/ea20/view/common-info.html?regNumber=0873400003924000144</t>
  </si>
  <si>
    <t>0873400003924000145</t>
  </si>
  <si>
    <t>https://zakupki.gov.ru/epz/order/notice/ea20/view/common-info.html?regNumber=0873400003924000145</t>
  </si>
  <si>
    <t>0873400003924000146</t>
  </si>
  <si>
    <t>https://zakupki.gov.ru/epz/order/notice/ea20/view/common-info.html?regNumber=0873400003924000146</t>
  </si>
  <si>
    <t>0873400003924000148</t>
  </si>
  <si>
    <t>0873400003924000149</t>
  </si>
  <si>
    <t>0873400003924000150</t>
  </si>
  <si>
    <t>0873400003924000151</t>
  </si>
  <si>
    <t>Моксифлоксацин, таблетки, покрытые 
пленочной оболочкой, 400 мг</t>
  </si>
  <si>
    <t>0873400003924000152</t>
  </si>
  <si>
    <t>0873400003924000153</t>
  </si>
  <si>
    <t>0873400003924000154</t>
  </si>
  <si>
    <t>0873400003924000155</t>
  </si>
  <si>
    <t>0873400003924000156</t>
  </si>
  <si>
    <t>0873400003924000157</t>
  </si>
  <si>
    <t>0873400003924000158</t>
  </si>
  <si>
    <t>0873400003924000159</t>
  </si>
  <si>
    <t>Циклосерин, капсулы, 250 мг</t>
  </si>
  <si>
    <t>0873400003924000160</t>
  </si>
  <si>
    <t>Линезолид, таблетки, покрытые пленочной 
оболочкой, 200 мг</t>
  </si>
  <si>
    <t>0873400003924000161</t>
  </si>
  <si>
    <t>0873400003924000162</t>
  </si>
  <si>
    <t>Эфмороктоког альфа, лиофилизат для 
приготовления раствора для внутривенного 
введения, 3000 МЕ</t>
  </si>
  <si>
    <t>0873400003924000163</t>
  </si>
  <si>
    <t>0873400003924000164</t>
  </si>
  <si>
    <t>Эфмороктоког альфа, лиофилизат для 
приготовления раствора для внутривенного 
введения, 2000 МЕ</t>
  </si>
  <si>
    <t>0873400003924000165</t>
  </si>
  <si>
    <t xml:space="preserve">Зидовудин, раствор для инфузий, 10 мг/мл </t>
  </si>
  <si>
    <t>0873400003924000166</t>
  </si>
  <si>
    <t>0873400003924000167</t>
  </si>
  <si>
    <t>0873400003924000168</t>
  </si>
  <si>
    <t>0873400003924000169</t>
  </si>
  <si>
    <t>545
ЗК</t>
  </si>
  <si>
    <t>Ивакафтор+Лумакафтор, гранулы, 188 мг + 150 мг</t>
  </si>
  <si>
    <t>0873400003924000170</t>
  </si>
  <si>
    <t>0873400003924000171</t>
  </si>
  <si>
    <t>Кризотиниб, капсулы, 200 мг</t>
  </si>
  <si>
    <t>0873400003924000172</t>
  </si>
  <si>
    <t>0873400003924000173</t>
  </si>
  <si>
    <t>Левофлоксацин, раствор для инфузий, 5 мг/мл</t>
  </si>
  <si>
    <t>0873400003924000174</t>
  </si>
  <si>
    <t>Линезолид, таблетки, покрытые пленочной оболочкой, 300 мг</t>
  </si>
  <si>
    <t>0873400003924000175</t>
  </si>
  <si>
    <t xml:space="preserve">Ламивудин, раствор для приема внутрь, 10 мг/мл </t>
  </si>
  <si>
    <t>0873400003924000176</t>
  </si>
  <si>
    <t>Циклосерин, капсулы, 125 мг</t>
  </si>
  <si>
    <t>0873400003924000177</t>
  </si>
  <si>
    <t>1512 ЗК</t>
  </si>
  <si>
    <t>0873400003924000178</t>
  </si>
  <si>
    <t>Антиингибиторный коагулянтный комплекс, 
лиофилизат для приготовления раствора для 
инфузий, 500 ЕД</t>
  </si>
  <si>
    <t>0873400003924000179</t>
  </si>
  <si>
    <t>Левофлоксацин, капсулы и/или таблетки, покрытые пленочной оболочкой, 500 мг</t>
  </si>
  <si>
    <t>0873400003924000180</t>
  </si>
  <si>
    <t>Левофлоксацин, капсулы и/или таблетки, покрытые пленочной оболочкой, 250 мг</t>
  </si>
  <si>
    <t>146 655,60</t>
  </si>
  <si>
    <t>0873400003924000181</t>
  </si>
  <si>
    <t>Эфмороктоког альфа, лиофилизат для 
приготовления раствора для внутривенного 
введения, 500 МЕ</t>
  </si>
  <si>
    <t>0873400003924000182</t>
  </si>
  <si>
    <t>0873400003924000183</t>
  </si>
  <si>
    <t>Эфмороктоког альфа, лиофилизат для 
приготовления раствора для внутривенного 
введения, 1500 МЕ</t>
  </si>
  <si>
    <t>0873400003924000184</t>
  </si>
  <si>
    <t>Эфмороктоког альфа, лиофилизат для 
приготовления раствора для внутривенного 
введения, 1000 МЕ</t>
  </si>
  <si>
    <t>0873400003924000185</t>
  </si>
  <si>
    <t>0873400003924000186</t>
  </si>
  <si>
    <t>Линезолид, таблетки, покрытые пленочной 
оболочкой, 400 мг</t>
  </si>
  <si>
    <t>0873400003924000187</t>
  </si>
  <si>
    <t>0873400003924000188</t>
  </si>
  <si>
    <t>Антиингибиторный коагулянтный комплекс, 
лиофилизат для приготовления раствора для 
инфузий, 1000 ЕД</t>
  </si>
  <si>
    <t>0873400003924000189</t>
  </si>
  <si>
    <t>Левофлоксацин, капсулы и/или таблетки, 
покрытые пленочной оболочкой, 750 мг</t>
  </si>
  <si>
    <t>0873400003924000190</t>
  </si>
  <si>
    <t>Левофлоксацин, капсулы и/или таблетки, 
покрытые пленочной оболочкой, 500 мг</t>
  </si>
  <si>
    <t>0873400003924000191</t>
  </si>
  <si>
    <t>Левофлоксацин, капсулы и/или таблетки, 
покрытые пленочной оболочкой, 250 мг</t>
  </si>
  <si>
    <t>0873400003924000192</t>
  </si>
  <si>
    <t>Моксифлоксацин, раствор для инфузий, 1,6 
мг/мл</t>
  </si>
  <si>
    <t>0873400003924000193</t>
  </si>
  <si>
    <t>0873400003924000194</t>
  </si>
  <si>
    <t>Симоктоког альфа (фактор свертывания 
крови VIII человеческий рекомбинантный), 
лиофилизат для приготовления раствора для 
внутривенного введения, 2000 МЕ</t>
  </si>
  <si>
    <t>0873400003924000195</t>
  </si>
  <si>
    <t>Симоктоког альфа (фактор свертывания 
крови VIII человеческий рекомбинантный), 
лиофилизат для приготовления раствора для 
внутривенного введения, 500 МЕ</t>
  </si>
  <si>
    <t>0873400003924000196</t>
  </si>
  <si>
    <t xml:space="preserve">Динутуксимаб бета, концентрат для приготовления раствора для инфузий, 4,5 мг/мл </t>
  </si>
  <si>
    <t>0873400003924000197</t>
  </si>
  <si>
    <t xml:space="preserve">Амикацин, раствор для внутривенного и внутримышечного введения, 250 мг/мл, 4 мл и/или порошок для приготовления раствора для внутривенного и внутримышечного введения, 1000 мг </t>
  </si>
  <si>
    <t>0873400003924000198</t>
  </si>
  <si>
    <t>0873400003924000199</t>
  </si>
  <si>
    <t>Зидовудин+Ламивудин, таблетки, покрытые пленочной оболочкой, 300 мг +150 мг</t>
  </si>
  <si>
    <t>0873400003924000200</t>
  </si>
  <si>
    <t xml:space="preserve"> Велаглюцераза альфа, лиофилизат для приготовления раствора для инфузий, 400 ЕД</t>
  </si>
  <si>
    <t>0873400003924000201</t>
  </si>
  <si>
    <t>Амикацин, раствор для внутривенного и внутримышечного введения, 250 мг/мл, 4 мл и/или порошок для приготовления раствора для внутривенного и внутримышечного введения, 1000 мг</t>
  </si>
  <si>
    <t>0873400003924000202</t>
  </si>
  <si>
    <t xml:space="preserve">Галсульфаза, концентрат для приготовления раствора для инфузий, 1 мг/мл </t>
  </si>
  <si>
    <t>0873400003924000203</t>
  </si>
  <si>
    <t>Линезолид, таблетки, покрытые пленочной оболочкой, 200 мг</t>
  </si>
  <si>
    <t>0873400003924000204</t>
  </si>
  <si>
    <t>0873400003924000205</t>
  </si>
  <si>
    <t>Линезолид, таблетки, покрытые пленочной оболочкой, 600 мг</t>
  </si>
  <si>
    <t>0873400003924000206</t>
  </si>
  <si>
    <t>8 651 280,00</t>
  </si>
  <si>
    <t>0873400003924000207</t>
  </si>
  <si>
    <t>Тенофовир, таблетки, покрытые пленочной оболочкой, 300 мг и/или 245 мг</t>
  </si>
  <si>
    <t>0873400003924000208</t>
  </si>
  <si>
    <t>0873400003924000209</t>
  </si>
  <si>
    <t>Эмицизумаб, раствор для подкожного введения 30 мг/мл</t>
  </si>
  <si>
    <t>1512 вич 
ЗК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</si>
</sst>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3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left" vertical="center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left" vertical="center"/>
    </xf>
    <xf numFmtId="14" fontId="2" fillId="0" borderId="6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textRotation="90" wrapText="1"/>
    </xf>
    <xf numFmtId="49" fontId="2" fillId="0" borderId="8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 applyProtection="1">
      <alignment horizontal="center" vertical="center"/>
      <protection locked="0"/>
    </xf>
    <xf numFmtId="4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 applyProtection="1">
      <alignment horizontal="center" vertical="center"/>
      <protection locked="0"/>
    </xf>
    <xf numFmtId="14" fontId="1" fillId="0" borderId="9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165" fontId="1" fillId="0" borderId="9" xfId="0" applyNumberFormat="1" applyFont="1" applyFill="1" applyBorder="1" applyAlignment="1">
      <alignment horizontal="center" vertical="center"/>
    </xf>
    <xf numFmtId="16" fontId="1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zakupki.gov.ru/epz/order/notice/ea20/view/common-info.html?regNumber=0873400003923000657" TargetMode="External"/><Relationship Id="rId299" Type="http://schemas.openxmlformats.org/officeDocument/2006/relationships/hyperlink" Target="https://zakupki.gov.ru/epz/order/notice/ea20/view/common-info.html?regNumber=0873400003924000109" TargetMode="External"/><Relationship Id="rId21" Type="http://schemas.openxmlformats.org/officeDocument/2006/relationships/hyperlink" Target="https://zakupki.gov.ru/epz/order/notice/ea20/view/common-info.html?regNumber=0873400003923000475" TargetMode="External"/><Relationship Id="rId63" Type="http://schemas.openxmlformats.org/officeDocument/2006/relationships/hyperlink" Target="https://zakupki.gov.ru/epz/order/notice/ea20/view/common-info.html?regNumber=0873400003923000571" TargetMode="External"/><Relationship Id="rId159" Type="http://schemas.openxmlformats.org/officeDocument/2006/relationships/hyperlink" Target="https://zakupki.gov.ru/epz/order/notice/ea20/view/common-info.html?regNumber=0873400003923000705" TargetMode="External"/><Relationship Id="rId324" Type="http://schemas.openxmlformats.org/officeDocument/2006/relationships/hyperlink" Target="https://zakupki.gov.ru/epz/order/notice/ea20/view/common-info.html?regNumber=0873400003924000135" TargetMode="External"/><Relationship Id="rId170" Type="http://schemas.openxmlformats.org/officeDocument/2006/relationships/hyperlink" Target="https://zakupki.gov.ru/epz/order/notice/ea20/view/common-info.html?regNumber=0873400003923000721" TargetMode="External"/><Relationship Id="rId226" Type="http://schemas.openxmlformats.org/officeDocument/2006/relationships/hyperlink" Target="https://zakupki.gov.ru/epz/order/notice/ea20/view/common-info.html?regNumber=0873400003924000056" TargetMode="External"/><Relationship Id="rId268" Type="http://schemas.openxmlformats.org/officeDocument/2006/relationships/hyperlink" Target="https://zakupki.gov.ru/epz/order/notice/ea20/view/common-info.html?regNumber=0873400003924000078" TargetMode="External"/><Relationship Id="rId32" Type="http://schemas.openxmlformats.org/officeDocument/2006/relationships/hyperlink" Target="https://zakupki.gov.ru/epz/order/notice/ea20/view/common-info.html?regNumber=0873400003923000514" TargetMode="External"/><Relationship Id="rId74" Type="http://schemas.openxmlformats.org/officeDocument/2006/relationships/hyperlink" Target="https://zakupki.gov.ru/epz/order/notice/ea20/view/common-info.html?regNumber=0873400003922000003" TargetMode="External"/><Relationship Id="rId128" Type="http://schemas.openxmlformats.org/officeDocument/2006/relationships/hyperlink" Target="https://zakupki.gov.ru/epz/order/notice/ea20/view/common-info.html?regNumber=0873400003923000672" TargetMode="External"/><Relationship Id="rId5" Type="http://schemas.openxmlformats.org/officeDocument/2006/relationships/hyperlink" Target="https://zakupki.gov.ru/epz/order/notice/ea20/view/common-info.html?regNumber=0873400003923000436" TargetMode="External"/><Relationship Id="rId181" Type="http://schemas.openxmlformats.org/officeDocument/2006/relationships/hyperlink" Target="https://zakupki.gov.ru/epz/order/notice/ea20/view/common-info.html?regNumber=0873400003923000732" TargetMode="External"/><Relationship Id="rId237" Type="http://schemas.openxmlformats.org/officeDocument/2006/relationships/hyperlink" Target="https://zakupki.gov.ru/epz/order/notice/ea20/view/common-info.html?regNumber=0873400003924000046" TargetMode="External"/><Relationship Id="rId279" Type="http://schemas.openxmlformats.org/officeDocument/2006/relationships/hyperlink" Target="https://zakupki.gov.ru/epz/order/notice/ea20/view/common-info.html?regNumber=0873400003924000089" TargetMode="External"/><Relationship Id="rId43" Type="http://schemas.openxmlformats.org/officeDocument/2006/relationships/hyperlink" Target="https://zakupki.gov.ru/epz/order/notice/ea20/view/common-info.html?regNumber=0873400003923000534" TargetMode="External"/><Relationship Id="rId139" Type="http://schemas.openxmlformats.org/officeDocument/2006/relationships/hyperlink" Target="https://zakupki.gov.ru/epz/order/notice/ea20/view/common-info.html?regNumber=0873400003923000685" TargetMode="External"/><Relationship Id="rId290" Type="http://schemas.openxmlformats.org/officeDocument/2006/relationships/hyperlink" Target="https://zakupki.gov.ru/epz/order/notice/ea20/view/common-info.html?regNumber=0873400003924000100" TargetMode="External"/><Relationship Id="rId304" Type="http://schemas.openxmlformats.org/officeDocument/2006/relationships/hyperlink" Target="https://zakupki.gov.ru/epz/order/notice/ea20/view/common-info.html?regNumber=0873400003924000114" TargetMode="External"/><Relationship Id="rId85" Type="http://schemas.openxmlformats.org/officeDocument/2006/relationships/hyperlink" Target="https://zakupki.gov.ru/epz/order/notice/ea20/view/common-info.html?regNumber=0873400003923000616" TargetMode="External"/><Relationship Id="rId150" Type="http://schemas.openxmlformats.org/officeDocument/2006/relationships/hyperlink" Target="https://zakupki.gov.ru/epz/order/notice/ea20/view/common-info.html?regNumber=0873400003923000696" TargetMode="External"/><Relationship Id="rId192" Type="http://schemas.openxmlformats.org/officeDocument/2006/relationships/hyperlink" Target="https://zakupki.gov.ru/epz/order/notice/ea20/view/common-info.html?regNumber=0873400003924000002" TargetMode="External"/><Relationship Id="rId206" Type="http://schemas.openxmlformats.org/officeDocument/2006/relationships/hyperlink" Target="https://zakupki.gov.ru/epz/order/notice/ea20/view/common-info.html?regNumber=0873400003924000016" TargetMode="External"/><Relationship Id="rId248" Type="http://schemas.openxmlformats.org/officeDocument/2006/relationships/hyperlink" Target="https://zakupki.gov.ru/epz/order/notice/ea20/view/common-info.html?regNumber=0873400003924000058" TargetMode="External"/><Relationship Id="rId12" Type="http://schemas.openxmlformats.org/officeDocument/2006/relationships/hyperlink" Target="https://zakupki.gov.ru/epz/order/notice/ea20/view/common-info.html?regNumber=0873400003923000455" TargetMode="External"/><Relationship Id="rId108" Type="http://schemas.openxmlformats.org/officeDocument/2006/relationships/hyperlink" Target="https://zakupki.gov.ru/epz/order/notice/ea20/view/common-info.html?regNumber=0873400003923000644" TargetMode="External"/><Relationship Id="rId315" Type="http://schemas.openxmlformats.org/officeDocument/2006/relationships/hyperlink" Target="https://zakupki.gov.ru/epz/order/notice/ea20/view/common-info.html?regNumber=0873400003924000126" TargetMode="External"/><Relationship Id="rId54" Type="http://schemas.openxmlformats.org/officeDocument/2006/relationships/hyperlink" Target="https://zakupki.gov.ru/epz/order/notice/ea20/view/common-info.html?regNumber=0873400003923000555" TargetMode="External"/><Relationship Id="rId96" Type="http://schemas.openxmlformats.org/officeDocument/2006/relationships/hyperlink" Target="https://zakupki.gov.ru/epz/order/notice/ea20/view/common-info.html?regNumber=0873400003923000632" TargetMode="External"/><Relationship Id="rId161" Type="http://schemas.openxmlformats.org/officeDocument/2006/relationships/hyperlink" Target="https://zakupki.gov.ru/epz/order/notice/ea20/view/common-info.html?regNumber=0873400003923000708" TargetMode="External"/><Relationship Id="rId217" Type="http://schemas.openxmlformats.org/officeDocument/2006/relationships/hyperlink" Target="https://zakupki.gov.ru/epz/order/notice/ea20/view/common-info.html?regNumber=0873400003924000027" TargetMode="External"/><Relationship Id="rId259" Type="http://schemas.openxmlformats.org/officeDocument/2006/relationships/hyperlink" Target="https://zakupki.gov.ru/epz/order/notice/ea20/view/common-info.html?regNumber=0873400003924000069" TargetMode="External"/><Relationship Id="rId23" Type="http://schemas.openxmlformats.org/officeDocument/2006/relationships/hyperlink" Target="https://zakupki.gov.ru/epz/order/notice/ea20/view/common-info.html?regNumber=0873400003923000485" TargetMode="External"/><Relationship Id="rId119" Type="http://schemas.openxmlformats.org/officeDocument/2006/relationships/hyperlink" Target="https://zakupki.gov.ru/epz/order/notice/ea20/view/common-info.html?regNumber=0873400003923000663" TargetMode="External"/><Relationship Id="rId270" Type="http://schemas.openxmlformats.org/officeDocument/2006/relationships/hyperlink" Target="https://zakupki.gov.ru/epz/order/notice/ea20/view/common-info.html?regNumber=0873400003924000080" TargetMode="External"/><Relationship Id="rId326" Type="http://schemas.openxmlformats.org/officeDocument/2006/relationships/hyperlink" Target="https://zakupki.gov.ru/epz/order/notice/ea20/view/common-info.html?regNumber=0873400003924000137" TargetMode="External"/><Relationship Id="rId65" Type="http://schemas.openxmlformats.org/officeDocument/2006/relationships/hyperlink" Target="https://zakupki.gov.ru/epz/order/notice/ea20/view/common-info.html?regNumber=0873400003923000573" TargetMode="External"/><Relationship Id="rId130" Type="http://schemas.openxmlformats.org/officeDocument/2006/relationships/hyperlink" Target="https://zakupki.gov.ru/epz/order/notice/ea20/view/common-info.html?regNumber=0873400003923000675" TargetMode="External"/><Relationship Id="rId172" Type="http://schemas.openxmlformats.org/officeDocument/2006/relationships/hyperlink" Target="https://zakupki.gov.ru/epz/order/notice/ea20/view/common-info.html?regNumber=0873400003923000723" TargetMode="External"/><Relationship Id="rId228" Type="http://schemas.openxmlformats.org/officeDocument/2006/relationships/hyperlink" Target="https://zakupki.gov.ru/epz/order/notice/ea20/view/common-info.html?regNumber=0873400003924000037" TargetMode="External"/><Relationship Id="rId281" Type="http://schemas.openxmlformats.org/officeDocument/2006/relationships/hyperlink" Target="https://zakupki.gov.ru/epz/order/notice/ea20/view/common-info.html?regNumber=0873400003924000091" TargetMode="External"/><Relationship Id="rId34" Type="http://schemas.openxmlformats.org/officeDocument/2006/relationships/hyperlink" Target="https://zakupki.gov.ru/epz/order/notice/ea20/view/common-info.html?regNumber=0873400003923000517" TargetMode="External"/><Relationship Id="rId76" Type="http://schemas.openxmlformats.org/officeDocument/2006/relationships/hyperlink" Target="https://zakupki.gov.ru/epz/order/notice/ea20/view/common-info.html?regNumber=0873400003922000368" TargetMode="External"/><Relationship Id="rId141" Type="http://schemas.openxmlformats.org/officeDocument/2006/relationships/hyperlink" Target="https://zakupki.gov.ru/epz/order/notice/ea20/view/common-info.html?regNumber=0873400003923000687" TargetMode="External"/><Relationship Id="rId7" Type="http://schemas.openxmlformats.org/officeDocument/2006/relationships/hyperlink" Target="https://zakupki.gov.ru/epz/order/notice/ea20/view/common-info.html?regNumber=0873400003923000445" TargetMode="External"/><Relationship Id="rId183" Type="http://schemas.openxmlformats.org/officeDocument/2006/relationships/hyperlink" Target="https://zakupki.gov.ru/epz/order/notice/ea20/view/common-info.html?regNumber=0873400003923000734" TargetMode="External"/><Relationship Id="rId239" Type="http://schemas.openxmlformats.org/officeDocument/2006/relationships/hyperlink" Target="https://zakupki.gov.ru/epz/order/notice/ea20/view/common-info.html?regNumber=0873400003924000048" TargetMode="External"/><Relationship Id="rId250" Type="http://schemas.openxmlformats.org/officeDocument/2006/relationships/hyperlink" Target="https://zakupki.gov.ru/epz/order/notice/ea20/view/common-info.html?regNumber=0873400003924000060" TargetMode="External"/><Relationship Id="rId292" Type="http://schemas.openxmlformats.org/officeDocument/2006/relationships/hyperlink" Target="https://zakupki.gov.ru/epz/order/notice/ea20/view/common-info.html?regNumber=0873400003924000102" TargetMode="External"/><Relationship Id="rId306" Type="http://schemas.openxmlformats.org/officeDocument/2006/relationships/hyperlink" Target="https://zakupki.gov.ru/epz/order/notice/ea20/view/common-info.html?regNumber=0873400003924000116" TargetMode="External"/><Relationship Id="rId24" Type="http://schemas.openxmlformats.org/officeDocument/2006/relationships/hyperlink" Target="https://zakupki.gov.ru/epz/order/notice/ea20/view/common-info.html?regNumber=0873400003923000486" TargetMode="External"/><Relationship Id="rId45" Type="http://schemas.openxmlformats.org/officeDocument/2006/relationships/hyperlink" Target="https://zakupki.gov.ru/epz/order/notice/ea20/view/common-info.html?regNumber=0873400003923000537" TargetMode="External"/><Relationship Id="rId66" Type="http://schemas.openxmlformats.org/officeDocument/2006/relationships/hyperlink" Target="https://zakupki.gov.ru/epz/order/notice/ea20/view/common-info.html?regNumber=0873400003923000577" TargetMode="External"/><Relationship Id="rId87" Type="http://schemas.openxmlformats.org/officeDocument/2006/relationships/hyperlink" Target="https://zakupki.gov.ru/epz/order/notice/ea20/view/common-info.html?regNumber=0873400003923000618" TargetMode="External"/><Relationship Id="rId110" Type="http://schemas.openxmlformats.org/officeDocument/2006/relationships/hyperlink" Target="https://zakupki.gov.ru/epz/order/notice/ea20/view/common-info.html?regNumber=0873400003923000646" TargetMode="External"/><Relationship Id="rId131" Type="http://schemas.openxmlformats.org/officeDocument/2006/relationships/hyperlink" Target="https://zakupki.gov.ru/epz/order/notice/ea20/view/common-info.html?regNumber=0873400003923000676" TargetMode="External"/><Relationship Id="rId327" Type="http://schemas.openxmlformats.org/officeDocument/2006/relationships/hyperlink" Target="https://zakupki.gov.ru/epz/order/notice/ea20/view/common-info.html?regNumber=0873400003924000138" TargetMode="External"/><Relationship Id="rId152" Type="http://schemas.openxmlformats.org/officeDocument/2006/relationships/hyperlink" Target="https://zakupki.gov.ru/epz/order/notice/ea20/view/common-info.html?regNumber=0873400003923000698" TargetMode="External"/><Relationship Id="rId173" Type="http://schemas.openxmlformats.org/officeDocument/2006/relationships/hyperlink" Target="https://zakupki.gov.ru/epz/order/notice/ea20/view/common-info.html?regNumber=0873400003923000724" TargetMode="External"/><Relationship Id="rId194" Type="http://schemas.openxmlformats.org/officeDocument/2006/relationships/hyperlink" Target="https://zakupki.gov.ru/epz/order/notice/ea20/view/common-info.html?regNumber=0873400003924000004" TargetMode="External"/><Relationship Id="rId208" Type="http://schemas.openxmlformats.org/officeDocument/2006/relationships/hyperlink" Target="https://zakupki.gov.ru/epz/order/notice/ea20/view/common-info.html?regNumber=0873400003924000018" TargetMode="External"/><Relationship Id="rId229" Type="http://schemas.openxmlformats.org/officeDocument/2006/relationships/hyperlink" Target="https://zakupki.gov.ru/epz/order/notice/ea20/view/common-info.html?regNumber=0873400003924000038" TargetMode="External"/><Relationship Id="rId240" Type="http://schemas.openxmlformats.org/officeDocument/2006/relationships/hyperlink" Target="https://zakupki.gov.ru/epz/order/notice/ea20/view/common-info.html?regNumber=0873400003924000049" TargetMode="External"/><Relationship Id="rId261" Type="http://schemas.openxmlformats.org/officeDocument/2006/relationships/hyperlink" Target="https://zakupki.gov.ru/epz/order/notice/ea20/view/common-info.html?regNumber=0873400003924000071" TargetMode="External"/><Relationship Id="rId14" Type="http://schemas.openxmlformats.org/officeDocument/2006/relationships/hyperlink" Target="https://zakupki.gov.ru/epz/order/notice/ea20/view/common-info.html?regNumber=08734000039230004560" TargetMode="External"/><Relationship Id="rId35" Type="http://schemas.openxmlformats.org/officeDocument/2006/relationships/hyperlink" Target="https://zakupki.gov.ru/epz/order/notice/ea20/view/common-info.html?regNumber=0873400003923000519" TargetMode="External"/><Relationship Id="rId56" Type="http://schemas.openxmlformats.org/officeDocument/2006/relationships/hyperlink" Target="https://zakupki.gov.ru/epz/order/notice/ea20/view/common-info.html?regNumber=0873400003923000558" TargetMode="External"/><Relationship Id="rId77" Type="http://schemas.openxmlformats.org/officeDocument/2006/relationships/hyperlink" Target="https://zakupki.gov.ru/epz/order/notice/ea20/view/common-info.html?regNumber=0873400003923000593" TargetMode="External"/><Relationship Id="rId100" Type="http://schemas.openxmlformats.org/officeDocument/2006/relationships/hyperlink" Target="https://zakupki.gov.ru/epz/order/notice/ea20/view/common-info.html?regNumber=0873400003923000636" TargetMode="External"/><Relationship Id="rId282" Type="http://schemas.openxmlformats.org/officeDocument/2006/relationships/hyperlink" Target="https://zakupki.gov.ru/epz/order/notice/ea20/view/common-info.html?regNumber=0873400003924000092" TargetMode="External"/><Relationship Id="rId317" Type="http://schemas.openxmlformats.org/officeDocument/2006/relationships/hyperlink" Target="https://zakupki.gov.ru/epz/order/notice/ea20/view/common-info.html?regNumber=0873400003924000128" TargetMode="External"/><Relationship Id="rId8" Type="http://schemas.openxmlformats.org/officeDocument/2006/relationships/hyperlink" Target="https://zakupki.gov.ru/epz/order/notice/ea20/view/common-info.html?regNumber=0873400003923000446" TargetMode="External"/><Relationship Id="rId98" Type="http://schemas.openxmlformats.org/officeDocument/2006/relationships/hyperlink" Target="https://zakupki.gov.ru/epz/order/notice/ea20/view/common-info.html?regNumber=0873400003923000634" TargetMode="External"/><Relationship Id="rId121" Type="http://schemas.openxmlformats.org/officeDocument/2006/relationships/hyperlink" Target="https://zakupki.gov.ru/epz/order/notice/ea20/view/common-info.html?regNumber=0873400003923000665" TargetMode="External"/><Relationship Id="rId142" Type="http://schemas.openxmlformats.org/officeDocument/2006/relationships/hyperlink" Target="https://zakupki.gov.ru/epz/order/notice/ea20/view/common-info.html?regNumber=0873400003923000688" TargetMode="External"/><Relationship Id="rId163" Type="http://schemas.openxmlformats.org/officeDocument/2006/relationships/hyperlink" Target="https://zakupki.gov.ru/epz/order/notice/ea20/view/common-info.html?regNumber=0873400003923000710" TargetMode="External"/><Relationship Id="rId184" Type="http://schemas.openxmlformats.org/officeDocument/2006/relationships/hyperlink" Target="https://zakupki.gov.ru/epz/order/notice/ea20/view/common-info.html?regNumber=0873400003923000735" TargetMode="External"/><Relationship Id="rId219" Type="http://schemas.openxmlformats.org/officeDocument/2006/relationships/hyperlink" Target="https://zakupki.gov.ru/epz/order/notice/ea20/view/common-info.html?regNumber=0873400003924000029" TargetMode="External"/><Relationship Id="rId230" Type="http://schemas.openxmlformats.org/officeDocument/2006/relationships/hyperlink" Target="https://zakupki.gov.ru/epz/order/notice/ea20/view/common-info.html?regNumber=0873400003924000039" TargetMode="External"/><Relationship Id="rId251" Type="http://schemas.openxmlformats.org/officeDocument/2006/relationships/hyperlink" Target="https://zakupki.gov.ru/epz/order/notice/ea20/view/common-info.html?regNumber=0873400003924000061" TargetMode="External"/><Relationship Id="rId25" Type="http://schemas.openxmlformats.org/officeDocument/2006/relationships/hyperlink" Target="https://zakupki.gov.ru/epz/order/notice/ea20/view/common-info.html?regNumber=0873400003923000487" TargetMode="External"/><Relationship Id="rId46" Type="http://schemas.openxmlformats.org/officeDocument/2006/relationships/hyperlink" Target="https://zakupki.gov.ru/epz/order/notice/ea20/view/common-info.html?regNumber=0873400003923000538" TargetMode="External"/><Relationship Id="rId67" Type="http://schemas.openxmlformats.org/officeDocument/2006/relationships/hyperlink" Target="https://zakupki.gov.ru/epz/order/notice/ea20/view/common-info.html?regNumber=0873400003923000582" TargetMode="External"/><Relationship Id="rId272" Type="http://schemas.openxmlformats.org/officeDocument/2006/relationships/hyperlink" Target="https://zakupki.gov.ru/epz/order/notice/ea20/view/common-info.html?regNumber=0873400003924000082" TargetMode="External"/><Relationship Id="rId293" Type="http://schemas.openxmlformats.org/officeDocument/2006/relationships/hyperlink" Target="https://zakupki.gov.ru/epz/order/notice/ea20/view/common-info.html?regNumber=0873400003924000103" TargetMode="External"/><Relationship Id="rId307" Type="http://schemas.openxmlformats.org/officeDocument/2006/relationships/hyperlink" Target="https://zakupki.gov.ru/epz/order/notice/ea20/view/common-info.html?regNumber=0873400003924000117" TargetMode="External"/><Relationship Id="rId328" Type="http://schemas.openxmlformats.org/officeDocument/2006/relationships/hyperlink" Target="https://zakupki.gov.ru/epz/order/notice/ea20/view/common-info.html?regNumber=0873400003924000139" TargetMode="External"/><Relationship Id="rId88" Type="http://schemas.openxmlformats.org/officeDocument/2006/relationships/hyperlink" Target="https://zakupki.gov.ru/epz/order/notice/ea20/view/common-info.html?regNumber=0873400003923000619" TargetMode="External"/><Relationship Id="rId111" Type="http://schemas.openxmlformats.org/officeDocument/2006/relationships/hyperlink" Target="https://zakupki.gov.ru/epz/order/notice/ea20/view/common-info.html?regNumber=0873400003923000674" TargetMode="External"/><Relationship Id="rId132" Type="http://schemas.openxmlformats.org/officeDocument/2006/relationships/hyperlink" Target="https://zakupki.gov.ru/epz/order/notice/ea20/view/common-info.html?regNumber=0873400003923000677" TargetMode="External"/><Relationship Id="rId153" Type="http://schemas.openxmlformats.org/officeDocument/2006/relationships/hyperlink" Target="https://zakupki.gov.ru/epz/order/notice/ea20/view/common-info.html?regNumber=0873400003923000699" TargetMode="External"/><Relationship Id="rId174" Type="http://schemas.openxmlformats.org/officeDocument/2006/relationships/hyperlink" Target="https://zakupki.gov.ru/epz/order/notice/ea20/view/common-info.html?regNumber=0873400003923000725" TargetMode="External"/><Relationship Id="rId195" Type="http://schemas.openxmlformats.org/officeDocument/2006/relationships/hyperlink" Target="https://zakupki.gov.ru/epz/order/notice/ea20/view/common-info.html?regNumber=0873400003924000005" TargetMode="External"/><Relationship Id="rId209" Type="http://schemas.openxmlformats.org/officeDocument/2006/relationships/hyperlink" Target="https://zakupki.gov.ru/epz/order/notice/ea20/view/common-info.html?regNumber=0873400003924000019" TargetMode="External"/><Relationship Id="rId220" Type="http://schemas.openxmlformats.org/officeDocument/2006/relationships/hyperlink" Target="https://zakupki.gov.ru/epz/order/notice/ea20/view/common-info.html?regNumber=087340000392400030" TargetMode="External"/><Relationship Id="rId241" Type="http://schemas.openxmlformats.org/officeDocument/2006/relationships/hyperlink" Target="https://zakupki.gov.ru/epz/order/notice/ea20/view/common-info.html?regNumber=0873400003924000050" TargetMode="External"/><Relationship Id="rId15" Type="http://schemas.openxmlformats.org/officeDocument/2006/relationships/hyperlink" Target="https://zakupki.gov.ru/epz/order/notice/ea20/view/common-info.html?regNumber=0873400003923000463" TargetMode="External"/><Relationship Id="rId36" Type="http://schemas.openxmlformats.org/officeDocument/2006/relationships/hyperlink" Target="https://zakupki.gov.ru/epz/order/notice/ea20/view/common-info.html?regNumber=0873400003923000521" TargetMode="External"/><Relationship Id="rId57" Type="http://schemas.openxmlformats.org/officeDocument/2006/relationships/hyperlink" Target="https://zakupki.gov.ru/epz/order/notice/ea20/view/common-info.html?regNumber=0873400003923000556" TargetMode="External"/><Relationship Id="rId262" Type="http://schemas.openxmlformats.org/officeDocument/2006/relationships/hyperlink" Target="https://zakupki.gov.ru/epz/order/notice/ea20/view/common-info.html?regNumber=0873400003924000072" TargetMode="External"/><Relationship Id="rId283" Type="http://schemas.openxmlformats.org/officeDocument/2006/relationships/hyperlink" Target="https://zakupki.gov.ru/epz/order/notice/ea20/view/common-info.html?regNumber=0873400003924000093" TargetMode="External"/><Relationship Id="rId318" Type="http://schemas.openxmlformats.org/officeDocument/2006/relationships/hyperlink" Target="https://zakupki.gov.ru/epz/order/notice/ea20/view/common-info.html?regNumber=0873400003924000129" TargetMode="External"/><Relationship Id="rId78" Type="http://schemas.openxmlformats.org/officeDocument/2006/relationships/hyperlink" Target="https://zakupki.gov.ru/epz/order/notice/ea20/view/common-info.html?regNumber=0873400003923000596" TargetMode="External"/><Relationship Id="rId99" Type="http://schemas.openxmlformats.org/officeDocument/2006/relationships/hyperlink" Target="https://zakupki.gov.ru/epz/order/notice/ea20/view/common-info.html?regNumber=0873400003923000635" TargetMode="External"/><Relationship Id="rId101" Type="http://schemas.openxmlformats.org/officeDocument/2006/relationships/hyperlink" Target="https://zakupki.gov.ru/epz/order/notice/ea20/view/common-info.html?regNumber=0873400003923000637" TargetMode="External"/><Relationship Id="rId122" Type="http://schemas.openxmlformats.org/officeDocument/2006/relationships/hyperlink" Target="https://zakupki.gov.ru/epz/order/notice/ea20/view/common-info.html?regNumber=0873400003923000666" TargetMode="External"/><Relationship Id="rId143" Type="http://schemas.openxmlformats.org/officeDocument/2006/relationships/hyperlink" Target="https://zakupki.gov.ru/epz/order/notice/ea20/view/common-info.html?regNumber=0873400003923000689" TargetMode="External"/><Relationship Id="rId164" Type="http://schemas.openxmlformats.org/officeDocument/2006/relationships/hyperlink" Target="https://zakupki.gov.ru/epz/order/notice/ea20/view/common-info.html?regNumber=0873400003923000711" TargetMode="External"/><Relationship Id="rId185" Type="http://schemas.openxmlformats.org/officeDocument/2006/relationships/hyperlink" Target="https://zakupki.gov.ru/epz/order/notice/ea20/view/common-info.html?regNumber=0873400003923000736" TargetMode="External"/><Relationship Id="rId9" Type="http://schemas.openxmlformats.org/officeDocument/2006/relationships/hyperlink" Target="https://zakupki.gov.ru/epz/order/notice/ea20/view/common-info.html?regNumber=0873400003923000447" TargetMode="External"/><Relationship Id="rId210" Type="http://schemas.openxmlformats.org/officeDocument/2006/relationships/hyperlink" Target="https://zakupki.gov.ru/epz/order/notice/ea20/view/common-info.html?regNumber=0873400003924000020" TargetMode="External"/><Relationship Id="rId26" Type="http://schemas.openxmlformats.org/officeDocument/2006/relationships/hyperlink" Target="https://zakupki.gov.ru/epz/order/notice/ea20/view/common-info.html?regNumber=0873400003923000490" TargetMode="External"/><Relationship Id="rId231" Type="http://schemas.openxmlformats.org/officeDocument/2006/relationships/hyperlink" Target="https://zakupki.gov.ru/epz/order/notice/ea20/view/common-info.html?regNumber=0873400003924000040" TargetMode="External"/><Relationship Id="rId252" Type="http://schemas.openxmlformats.org/officeDocument/2006/relationships/hyperlink" Target="https://zakupki.gov.ru/epz/order/notice/ea20/view/common-info.html?regNumber=0873400003924000062" TargetMode="External"/><Relationship Id="rId273" Type="http://schemas.openxmlformats.org/officeDocument/2006/relationships/hyperlink" Target="https://zakupki.gov.ru/epz/order/notice/ea20/view/common-info.html?regNumber=0873400003924000083" TargetMode="External"/><Relationship Id="rId294" Type="http://schemas.openxmlformats.org/officeDocument/2006/relationships/hyperlink" Target="https://zakupki.gov.ru/epz/order/notice/ea20/view/common-info.html?regNumber=0873400003924000104" TargetMode="External"/><Relationship Id="rId308" Type="http://schemas.openxmlformats.org/officeDocument/2006/relationships/hyperlink" Target="https://zakupki.gov.ru/epz/order/notice/ea20/view/common-info.html?regNumber=0873400003924000118" TargetMode="External"/><Relationship Id="rId329" Type="http://schemas.openxmlformats.org/officeDocument/2006/relationships/hyperlink" Target="https://zakupki.gov.ru/epz/order/notice/ea20/view/common-info.html?regNumber=0873400003924000140" TargetMode="External"/><Relationship Id="rId47" Type="http://schemas.openxmlformats.org/officeDocument/2006/relationships/hyperlink" Target="https://zakupki.gov.ru/epz/order/notice/ea20/view/common-info.html?regNumber=0873400003923000539" TargetMode="External"/><Relationship Id="rId68" Type="http://schemas.openxmlformats.org/officeDocument/2006/relationships/hyperlink" Target="https://zakupki.gov.ru/epz/order/notice/ea20/view/common-info.html?regNumber=0873400003923000583" TargetMode="External"/><Relationship Id="rId89" Type="http://schemas.openxmlformats.org/officeDocument/2006/relationships/hyperlink" Target="https://zakupki.gov.ru/epz/order/notice/ea20/view/common-info.html?regNumber=0873400003923000620" TargetMode="External"/><Relationship Id="rId112" Type="http://schemas.openxmlformats.org/officeDocument/2006/relationships/hyperlink" Target="https://zakupki.gov.ru/epz/order/notice/ea20/view/common-info.html?regNumber=0873400003923000647" TargetMode="External"/><Relationship Id="rId133" Type="http://schemas.openxmlformats.org/officeDocument/2006/relationships/hyperlink" Target="https://zakupki.gov.ru/epz/order/notice/ea20/view/common-info.html?regNumber=0873400003923000678" TargetMode="External"/><Relationship Id="rId154" Type="http://schemas.openxmlformats.org/officeDocument/2006/relationships/hyperlink" Target="https://zakupki.gov.ru/epz/order/notice/ea20/view/common-info.html?regNumber=0873400003923000700" TargetMode="External"/><Relationship Id="rId175" Type="http://schemas.openxmlformats.org/officeDocument/2006/relationships/hyperlink" Target="https://zakupki.gov.ru/epz/order/notice/ea20/view/common-info.html?regNumber=0873400003923000726" TargetMode="External"/><Relationship Id="rId196" Type="http://schemas.openxmlformats.org/officeDocument/2006/relationships/hyperlink" Target="https://zakupki.gov.ru/epz/order/notice/ea20/view/common-info.html?regNumber=0873400003924000006" TargetMode="External"/><Relationship Id="rId200" Type="http://schemas.openxmlformats.org/officeDocument/2006/relationships/hyperlink" Target="https://zakupki.gov.ru/epz/order/notice/ea20/view/common-info.html?regNumber=0873400003924000010" TargetMode="External"/><Relationship Id="rId16" Type="http://schemas.openxmlformats.org/officeDocument/2006/relationships/hyperlink" Target="https://zakupki.gov.ru/epz/order/notice/ea20/view/common-info.html?regNumber=0873400003923000467" TargetMode="External"/><Relationship Id="rId221" Type="http://schemas.openxmlformats.org/officeDocument/2006/relationships/hyperlink" Target="https://zakupki.gov.ru/epz/order/notice/ea20/view/common-info.html?regNumber=0873400003924000031" TargetMode="External"/><Relationship Id="rId242" Type="http://schemas.openxmlformats.org/officeDocument/2006/relationships/hyperlink" Target="https://zakupki.gov.ru/epz/order/notice/ea20/view/common-info.html?regNumber=0873400003924000050" TargetMode="External"/><Relationship Id="rId263" Type="http://schemas.openxmlformats.org/officeDocument/2006/relationships/hyperlink" Target="https://zakupki.gov.ru/epz/order/notice/ea20/view/common-info.html?regNumber=0873400003924000073" TargetMode="External"/><Relationship Id="rId284" Type="http://schemas.openxmlformats.org/officeDocument/2006/relationships/hyperlink" Target="https://zakupki.gov.ru/epz/order/notice/ea20/view/common-info.html?regNumber=0873400003924000094" TargetMode="External"/><Relationship Id="rId319" Type="http://schemas.openxmlformats.org/officeDocument/2006/relationships/hyperlink" Target="https://zakupki.gov.ru/epz/order/notice/ea20/view/common-info.html?regNumber=0873400003924000130" TargetMode="External"/><Relationship Id="rId37" Type="http://schemas.openxmlformats.org/officeDocument/2006/relationships/hyperlink" Target="https://zakupki.gov.ru/epz/order/notice/ea20/view/common-info.html?regNumber=0873400003923000522" TargetMode="External"/><Relationship Id="rId58" Type="http://schemas.openxmlformats.org/officeDocument/2006/relationships/hyperlink" Target="https://zakupki.gov.ru/epz/order/notice/ea20/view/common-info.html?regNumber=0873400003923000559" TargetMode="External"/><Relationship Id="rId79" Type="http://schemas.openxmlformats.org/officeDocument/2006/relationships/hyperlink" Target="https://zakupki.gov.ru/epz/order/notice/ea20/view/common-info.html?regNumber=0873400003923000607" TargetMode="External"/><Relationship Id="rId102" Type="http://schemas.openxmlformats.org/officeDocument/2006/relationships/hyperlink" Target="https://zakupki.gov.ru/epz/order/notice/ea20/view/common-info.html?regNumber=0873400003923000638" TargetMode="External"/><Relationship Id="rId123" Type="http://schemas.openxmlformats.org/officeDocument/2006/relationships/hyperlink" Target="https://zakupki.gov.ru/epz/order/notice/ea20/view/common-info.html?regNumber=0873400003923000667" TargetMode="External"/><Relationship Id="rId144" Type="http://schemas.openxmlformats.org/officeDocument/2006/relationships/hyperlink" Target="https://zakupki.gov.ru/epz/order/notice/ea20/view/common-info.html?regNumber=0873400003923000690" TargetMode="External"/><Relationship Id="rId330" Type="http://schemas.openxmlformats.org/officeDocument/2006/relationships/hyperlink" Target="https://zakupki.gov.ru/epz/order/notice/ea20/view/common-info.html?regNumber=0873400003924000142" TargetMode="External"/><Relationship Id="rId90" Type="http://schemas.openxmlformats.org/officeDocument/2006/relationships/hyperlink" Target="https://zakupki.gov.ru/epz/order/notice/ea20/view/common-info.html?regNumber=0873400003923000621" TargetMode="External"/><Relationship Id="rId165" Type="http://schemas.openxmlformats.org/officeDocument/2006/relationships/hyperlink" Target="https://zakupki.gov.ru/epz/order/notice/ea20/view/common-info.html?regNumber=0873400003923000712" TargetMode="External"/><Relationship Id="rId186" Type="http://schemas.openxmlformats.org/officeDocument/2006/relationships/hyperlink" Target="https://zakupki.gov.ru/epz/order/notice/ea20/view/common-info.html?regNumber=0873400003923000737" TargetMode="External"/><Relationship Id="rId211" Type="http://schemas.openxmlformats.org/officeDocument/2006/relationships/hyperlink" Target="https://zakupki.gov.ru/epz/order/notice/ea20/view/common-info.html?regNumber=0873400003924000021" TargetMode="External"/><Relationship Id="rId232" Type="http://schemas.openxmlformats.org/officeDocument/2006/relationships/hyperlink" Target="https://zakupki.gov.ru/epz/order/notice/ea20/view/common-info.html?regNumber=0873400003924000041" TargetMode="External"/><Relationship Id="rId253" Type="http://schemas.openxmlformats.org/officeDocument/2006/relationships/hyperlink" Target="https://zakupki.gov.ru/epz/order/notice/ea20/view/common-info.html?regNumber=0873400003924000063" TargetMode="External"/><Relationship Id="rId274" Type="http://schemas.openxmlformats.org/officeDocument/2006/relationships/hyperlink" Target="https://zakupki.gov.ru/epz/order/notice/ea20/view/common-info.html?regNumber=0873400003924000084" TargetMode="External"/><Relationship Id="rId295" Type="http://schemas.openxmlformats.org/officeDocument/2006/relationships/hyperlink" Target="https://zakupki.gov.ru/epz/order/notice/ea20/view/common-info.html?regNumber=0873400003924000105" TargetMode="External"/><Relationship Id="rId309" Type="http://schemas.openxmlformats.org/officeDocument/2006/relationships/hyperlink" Target="https://zakupki.gov.ru/epz/order/notice/ea20/view/common-info.html?regNumber=0873400003924000119" TargetMode="External"/><Relationship Id="rId27" Type="http://schemas.openxmlformats.org/officeDocument/2006/relationships/hyperlink" Target="https://zakupki.gov.ru/epz/order/notice/ea20/view/common-info.html?regNumber=0873400003923000492" TargetMode="External"/><Relationship Id="rId48" Type="http://schemas.openxmlformats.org/officeDocument/2006/relationships/hyperlink" Target="https://zakupki.gov.ru/epz/order/notice/ea20/view/common-info.html?regNumber=0873400003923000540" TargetMode="External"/><Relationship Id="rId69" Type="http://schemas.openxmlformats.org/officeDocument/2006/relationships/hyperlink" Target="https://zakupki.gov.ru/epz/order/notice/ea20/view/common-info.html?regNumber=0873400003923000585" TargetMode="External"/><Relationship Id="rId113" Type="http://schemas.openxmlformats.org/officeDocument/2006/relationships/hyperlink" Target="https://zakupki.gov.ru/epz/order/notice/ea20/view/common-info.html?regNumber=0873400003923000648" TargetMode="External"/><Relationship Id="rId134" Type="http://schemas.openxmlformats.org/officeDocument/2006/relationships/hyperlink" Target="https://zakupki.gov.ru/epz/order/notice/ea20/view/common-info.html?regNumber=0873400003923000679" TargetMode="External"/><Relationship Id="rId320" Type="http://schemas.openxmlformats.org/officeDocument/2006/relationships/hyperlink" Target="https://zakupki.gov.ru/epz/order/notice/ea20/view/common-info.html?regNumber=0873400003924000131" TargetMode="External"/><Relationship Id="rId80" Type="http://schemas.openxmlformats.org/officeDocument/2006/relationships/hyperlink" Target="https://zakupki.gov.ru/epz/order/notice/ea20/view/common-info.html?regNumber=0873400003923000609" TargetMode="External"/><Relationship Id="rId155" Type="http://schemas.openxmlformats.org/officeDocument/2006/relationships/hyperlink" Target="https://zakupki.gov.ru/epz/order/notice/ea20/view/common-info.html?regNumber=0873400003923000701" TargetMode="External"/><Relationship Id="rId176" Type="http://schemas.openxmlformats.org/officeDocument/2006/relationships/hyperlink" Target="https://zakupki.gov.ru/epz/order/notice/ea20/view/common-info.html?regNumber=0873400003923000727" TargetMode="External"/><Relationship Id="rId197" Type="http://schemas.openxmlformats.org/officeDocument/2006/relationships/hyperlink" Target="https://zakupki.gov.ru/epz/order/notice/ea20/view/common-info.html?regNumber=0873400003924000007" TargetMode="External"/><Relationship Id="rId201" Type="http://schemas.openxmlformats.org/officeDocument/2006/relationships/hyperlink" Target="https://zakupki.gov.ru/epz/order/notice/ea20/view/common-info.html?regNumber=0873400003924000011" TargetMode="External"/><Relationship Id="rId222" Type="http://schemas.openxmlformats.org/officeDocument/2006/relationships/hyperlink" Target="https://zakupki.gov.ru/epz/order/notice/ea20/view/common-info.html?regNumber=0873400003924000032" TargetMode="External"/><Relationship Id="rId243" Type="http://schemas.openxmlformats.org/officeDocument/2006/relationships/hyperlink" Target="https://zakupki.gov.ru/epz/order/notice/ea20/view/common-info.html?regNumber=0873400003924000052" TargetMode="External"/><Relationship Id="rId264" Type="http://schemas.openxmlformats.org/officeDocument/2006/relationships/hyperlink" Target="https://zakupki.gov.ru/epz/order/notice/ea20/view/common-info.html?regNumber=0873400003924000074" TargetMode="External"/><Relationship Id="rId285" Type="http://schemas.openxmlformats.org/officeDocument/2006/relationships/hyperlink" Target="https://zakupki.gov.ru/epz/order/notice/ea20/view/common-info.html?regNumber=0873400003924000095" TargetMode="External"/><Relationship Id="rId17" Type="http://schemas.openxmlformats.org/officeDocument/2006/relationships/hyperlink" Target="https://zakupki.gov.ru/epz/order/notice/ea20/view/common-info.html?regNumber=0873400003923000468" TargetMode="External"/><Relationship Id="rId38" Type="http://schemas.openxmlformats.org/officeDocument/2006/relationships/hyperlink" Target="https://zakupki.gov.ru/epz/order/notice/ea20/view/common-info.html?regNumber=0873400003923000526" TargetMode="External"/><Relationship Id="rId59" Type="http://schemas.openxmlformats.org/officeDocument/2006/relationships/hyperlink" Target="https://zakupki.gov.ru/epz/order/notice/ea20/view/common-info.html?regNumber=0873400003923000560" TargetMode="External"/><Relationship Id="rId103" Type="http://schemas.openxmlformats.org/officeDocument/2006/relationships/hyperlink" Target="https://zakupki.gov.ru/epz/order/notice/ea20/view/common-info.html?regNumber=0873400003923000641" TargetMode="External"/><Relationship Id="rId124" Type="http://schemas.openxmlformats.org/officeDocument/2006/relationships/hyperlink" Target="https://zakupki.gov.ru/epz/order/notice/ea20/view/common-info.html?regNumber=0873400003923000668" TargetMode="External"/><Relationship Id="rId310" Type="http://schemas.openxmlformats.org/officeDocument/2006/relationships/hyperlink" Target="https://zakupki.gov.ru/epz/order/notice/ea20/view/common-info.html?regNumber=0873400003924000120" TargetMode="External"/><Relationship Id="rId70" Type="http://schemas.openxmlformats.org/officeDocument/2006/relationships/hyperlink" Target="https://zakupki.gov.ru/epz/order/notice/ea20/view/common-info.html?regNumber=0873400003923000586" TargetMode="External"/><Relationship Id="rId91" Type="http://schemas.openxmlformats.org/officeDocument/2006/relationships/hyperlink" Target="https://zakupki.gov.ru/epz/order/notice/ea20/view/common-info.html?regNumber=0873400003923000627" TargetMode="External"/><Relationship Id="rId145" Type="http://schemas.openxmlformats.org/officeDocument/2006/relationships/hyperlink" Target="https://zakupki.gov.ru/epz/order/notice/ea20/view/common-info.html?regNumber=0873400003923000691" TargetMode="External"/><Relationship Id="rId166" Type="http://schemas.openxmlformats.org/officeDocument/2006/relationships/hyperlink" Target="https://zakupki.gov.ru/epz/order/notice/ea20/view/common-info.html?regNumber=0873400003923000713" TargetMode="External"/><Relationship Id="rId187" Type="http://schemas.openxmlformats.org/officeDocument/2006/relationships/hyperlink" Target="https://zakupki.gov.ru/epz/order/notice/ea20/view/common-info.html?regNumber=0873400003923000738" TargetMode="External"/><Relationship Id="rId331" Type="http://schemas.openxmlformats.org/officeDocument/2006/relationships/hyperlink" Target="https://zakupki.gov.ru/epz/order/notice/ea20/view/common-info.html?regNumber=0873400003924000143" TargetMode="External"/><Relationship Id="rId1" Type="http://schemas.openxmlformats.org/officeDocument/2006/relationships/hyperlink" Target="https://zakupki.gov.ru/epz/order/notice/ea20/view/common-info.html?regNumber=0873400003922000293" TargetMode="External"/><Relationship Id="rId212" Type="http://schemas.openxmlformats.org/officeDocument/2006/relationships/hyperlink" Target="https://zakupki.gov.ru/epz/order/notice/ea20/view/common-info.html?regNumber=0873400003924000022" TargetMode="External"/><Relationship Id="rId233" Type="http://schemas.openxmlformats.org/officeDocument/2006/relationships/hyperlink" Target="https://zakupki.gov.ru/epz/order/notice/ea20/view/common-info.html?regNumber=0873400003924000042" TargetMode="External"/><Relationship Id="rId254" Type="http://schemas.openxmlformats.org/officeDocument/2006/relationships/hyperlink" Target="https://zakupki.gov.ru/epz/order/notice/ea20/view/common-info.html?regNumber=0873400003924000064" TargetMode="External"/><Relationship Id="rId28" Type="http://schemas.openxmlformats.org/officeDocument/2006/relationships/hyperlink" Target="https://zakupki.gov.ru/epz/order/notice/ea20/view/common-info.html?regNumber=0873400003923000494" TargetMode="External"/><Relationship Id="rId49" Type="http://schemas.openxmlformats.org/officeDocument/2006/relationships/hyperlink" Target="https://zakupki.gov.ru/epz/order/notice/ea20/view/common-info.html?regNumber=0873400003923000541" TargetMode="External"/><Relationship Id="rId114" Type="http://schemas.openxmlformats.org/officeDocument/2006/relationships/hyperlink" Target="https://zakupki.gov.ru/epz/order/notice/ea20/view/common-info.html?regNumber=0873400003923000651" TargetMode="External"/><Relationship Id="rId275" Type="http://schemas.openxmlformats.org/officeDocument/2006/relationships/hyperlink" Target="https://zakupki.gov.ru/epz/order/notice/ea20/view/common-info.html?regNumber=0873400003924000085" TargetMode="External"/><Relationship Id="rId296" Type="http://schemas.openxmlformats.org/officeDocument/2006/relationships/hyperlink" Target="https://zakupki.gov.ru/epz/order/notice/ea20/view/common-info.html?regNumber=0873400003924000106" TargetMode="External"/><Relationship Id="rId300" Type="http://schemas.openxmlformats.org/officeDocument/2006/relationships/hyperlink" Target="https://zakupki.gov.ru/epz/order/notice/ea20/view/common-info.html?regNumber=0873400003924000110" TargetMode="External"/><Relationship Id="rId60" Type="http://schemas.openxmlformats.org/officeDocument/2006/relationships/hyperlink" Target="https://zakupki.gov.ru/epz/order/notice/ea20/view/common-info.html?regNumber=0873400003923000563" TargetMode="External"/><Relationship Id="rId81" Type="http://schemas.openxmlformats.org/officeDocument/2006/relationships/hyperlink" Target="https://zakupki.gov.ru/epz/order/notice/ea20/view/common-info.html?regNumber=0873400003922000004" TargetMode="External"/><Relationship Id="rId135" Type="http://schemas.openxmlformats.org/officeDocument/2006/relationships/hyperlink" Target="https://zakupki.gov.ru/epz/order/notice/ea20/view/common-info.html?regNumber=0873400003923000681" TargetMode="External"/><Relationship Id="rId156" Type="http://schemas.openxmlformats.org/officeDocument/2006/relationships/hyperlink" Target="https://zakupki.gov.ru/epz/order/notice/ea20/view/common-info.html?regNumber=0873400003923000702" TargetMode="External"/><Relationship Id="rId177" Type="http://schemas.openxmlformats.org/officeDocument/2006/relationships/hyperlink" Target="https://zakupki.gov.ru/epz/order/notice/ea20/view/common-info.html?regNumber=0873400003923000728" TargetMode="External"/><Relationship Id="rId198" Type="http://schemas.openxmlformats.org/officeDocument/2006/relationships/hyperlink" Target="https://zakupki.gov.ru/epz/order/notice/ea20/view/common-info.html?regNumber=0873400003924000008" TargetMode="External"/><Relationship Id="rId321" Type="http://schemas.openxmlformats.org/officeDocument/2006/relationships/hyperlink" Target="https://zakupki.gov.ru/epz/order/notice/ea20/view/common-info.html?regNumber=0873400003924000132" TargetMode="External"/><Relationship Id="rId202" Type="http://schemas.openxmlformats.org/officeDocument/2006/relationships/hyperlink" Target="https://zakupki.gov.ru/epz/order/notice/ea20/view/common-info.html?regNumber=0873400003924000012" TargetMode="External"/><Relationship Id="rId223" Type="http://schemas.openxmlformats.org/officeDocument/2006/relationships/hyperlink" Target="https://zakupki.gov.ru/epz/order/notice/ea20/view/common-info.html?regNumber=0873400003924000033" TargetMode="External"/><Relationship Id="rId244" Type="http://schemas.openxmlformats.org/officeDocument/2006/relationships/hyperlink" Target="https://zakupki.gov.ru/epz/order/notice/ea20/view/common-info.html?regNumber=0873400003924000053" TargetMode="External"/><Relationship Id="rId18" Type="http://schemas.openxmlformats.org/officeDocument/2006/relationships/hyperlink" Target="https://zakupki.gov.ru/epz/order/notice/ea20/view/common-info.html?regNumber=0873400003923000470" TargetMode="External"/><Relationship Id="rId39" Type="http://schemas.openxmlformats.org/officeDocument/2006/relationships/hyperlink" Target="https://zakupki.gov.ru/epz/order/notice/ea20/view/common-info.html?regNumber=0873400003923000527" TargetMode="External"/><Relationship Id="rId265" Type="http://schemas.openxmlformats.org/officeDocument/2006/relationships/hyperlink" Target="https://zakupki.gov.ru/epz/order/notice/ea20/view/common-info.html?regNumber=0873400003924000075" TargetMode="External"/><Relationship Id="rId286" Type="http://schemas.openxmlformats.org/officeDocument/2006/relationships/hyperlink" Target="https://zakupki.gov.ru/epz/order/notice/ea20/view/common-info.html?regNumber=0873400003924000096" TargetMode="External"/><Relationship Id="rId50" Type="http://schemas.openxmlformats.org/officeDocument/2006/relationships/hyperlink" Target="https://zakupki.gov.ru/epz/order/notice/ea20/view/common-info.html?regNumber=0873400003923000542" TargetMode="External"/><Relationship Id="rId104" Type="http://schemas.openxmlformats.org/officeDocument/2006/relationships/hyperlink" Target="https://zakupki.gov.ru/epz/order/notice/ea20/view/common-info.html?regNumber=0873400003923000640" TargetMode="External"/><Relationship Id="rId125" Type="http://schemas.openxmlformats.org/officeDocument/2006/relationships/hyperlink" Target="https://zakupki.gov.ru/epz/order/notice/ea20/view/common-info.html?regNumber=0873400003923000669" TargetMode="External"/><Relationship Id="rId146" Type="http://schemas.openxmlformats.org/officeDocument/2006/relationships/hyperlink" Target="https://zakupki.gov.ru/epz/order/notice/ea20/view/common-info.html?regNumber=0873400003923000692" TargetMode="External"/><Relationship Id="rId167" Type="http://schemas.openxmlformats.org/officeDocument/2006/relationships/hyperlink" Target="https://zakupki.gov.ru/epz/order/notice/ea20/view/common-info.html?regNumber=0873400003923000714" TargetMode="External"/><Relationship Id="rId188" Type="http://schemas.openxmlformats.org/officeDocument/2006/relationships/hyperlink" Target="https://zakupki.gov.ru/epz/order/notice/ea20/view/common-info.html?regNumber=0873400003923000739" TargetMode="External"/><Relationship Id="rId311" Type="http://schemas.openxmlformats.org/officeDocument/2006/relationships/hyperlink" Target="https://zakupki.gov.ru/epz/order/notice/ea20/view/common-info.html?regNumber=0873400003924000121" TargetMode="External"/><Relationship Id="rId332" Type="http://schemas.openxmlformats.org/officeDocument/2006/relationships/hyperlink" Target="https://zakupki.gov.ru/epz/order/notice/ea20/view/common-info.html?regNumber=0873400003924000144" TargetMode="External"/><Relationship Id="rId71" Type="http://schemas.openxmlformats.org/officeDocument/2006/relationships/hyperlink" Target="https://zakupki.gov.ru/epz/order/notice/ea20/view/common-info.html?regNumber=0873400003923000587" TargetMode="External"/><Relationship Id="rId92" Type="http://schemas.openxmlformats.org/officeDocument/2006/relationships/hyperlink" Target="https://zakupki.gov.ru/epz/order/notice/ea20/view/common-info.html?regNumber=0873400003923000628" TargetMode="External"/><Relationship Id="rId213" Type="http://schemas.openxmlformats.org/officeDocument/2006/relationships/hyperlink" Target="https://zakupki.gov.ru/epz/order/notice/ea20/view/common-info.html?regNumber=0873400003924000023" TargetMode="External"/><Relationship Id="rId234" Type="http://schemas.openxmlformats.org/officeDocument/2006/relationships/hyperlink" Target="https://zakupki.gov.ru/epz/order/notice/ea20/view/common-info.html?regNumber=0873400003924000043" TargetMode="External"/><Relationship Id="rId2" Type="http://schemas.openxmlformats.org/officeDocument/2006/relationships/hyperlink" Target="https://zakupki.gov.ru/epz/order/notice/ea20/view/common-info.html?regNumber=0873400003922000321" TargetMode="External"/><Relationship Id="rId29" Type="http://schemas.openxmlformats.org/officeDocument/2006/relationships/hyperlink" Target="https://zakupki.gov.ru/epz/order/notice/ea20/view/common-info.html?regNumber=0873400003923000499" TargetMode="External"/><Relationship Id="rId255" Type="http://schemas.openxmlformats.org/officeDocument/2006/relationships/hyperlink" Target="https://zakupki.gov.ru/epz/order/notice/ea20/view/common-info.html?regNumber=0873400003924000065" TargetMode="External"/><Relationship Id="rId276" Type="http://schemas.openxmlformats.org/officeDocument/2006/relationships/hyperlink" Target="https://zakupki.gov.ru/epz/order/notice/ea20/view/common-info.html?regNumber=0873400003924000086" TargetMode="External"/><Relationship Id="rId297" Type="http://schemas.openxmlformats.org/officeDocument/2006/relationships/hyperlink" Target="https://zakupki.gov.ru/epz/order/notice/ea20/view/common-info.html?regNumber=0873400003924000107" TargetMode="External"/><Relationship Id="rId40" Type="http://schemas.openxmlformats.org/officeDocument/2006/relationships/hyperlink" Target="https://zakupki.gov.ru/epz/order/notice/ea20/view/common-info.html?regNumber=0873400003923000528" TargetMode="External"/><Relationship Id="rId115" Type="http://schemas.openxmlformats.org/officeDocument/2006/relationships/hyperlink" Target="https://zakupki.gov.ru/epz/order/notice/ea20/view/common-info.html?regNumber=0873400003923000652" TargetMode="External"/><Relationship Id="rId136" Type="http://schemas.openxmlformats.org/officeDocument/2006/relationships/hyperlink" Target="https://zakupki.gov.ru/epz/order/notice/ea20/view/common-info.html?regNumber=0873400003923000682" TargetMode="External"/><Relationship Id="rId157" Type="http://schemas.openxmlformats.org/officeDocument/2006/relationships/hyperlink" Target="https://zakupki.gov.ru/epz/order/notice/ea20/view/common-info.html?regNumber=0873400003923000703" TargetMode="External"/><Relationship Id="rId178" Type="http://schemas.openxmlformats.org/officeDocument/2006/relationships/hyperlink" Target="https://zakupki.gov.ru/epz/order/notice/ea20/view/common-info.html?regNumber=0873400003923000729" TargetMode="External"/><Relationship Id="rId301" Type="http://schemas.openxmlformats.org/officeDocument/2006/relationships/hyperlink" Target="https://zakupki.gov.ru/epz/order/notice/ea20/view/common-info.html?regNumber=0873400003924000111" TargetMode="External"/><Relationship Id="rId322" Type="http://schemas.openxmlformats.org/officeDocument/2006/relationships/hyperlink" Target="https://zakupki.gov.ru/epz/order/notice/ea20/view/common-info.html?regNumber=0873400003924000133" TargetMode="External"/><Relationship Id="rId61" Type="http://schemas.openxmlformats.org/officeDocument/2006/relationships/hyperlink" Target="https://zakupki.gov.ru/epz/order/notice/ea20/view/common-info.html?regNumber=0873400003923000570" TargetMode="External"/><Relationship Id="rId82" Type="http://schemas.openxmlformats.org/officeDocument/2006/relationships/hyperlink" Target="https://zakupki.gov.ru/epz/order/notice/ea20/view/common-info.html?regNumber=0873400003923000613" TargetMode="External"/><Relationship Id="rId199" Type="http://schemas.openxmlformats.org/officeDocument/2006/relationships/hyperlink" Target="https://zakupki.gov.ru/epz/order/notice/ea20/view/common-info.html?regNumber=0873400003924000009" TargetMode="External"/><Relationship Id="rId203" Type="http://schemas.openxmlformats.org/officeDocument/2006/relationships/hyperlink" Target="https://zakupki.gov.ru/epz/order/notice/ea20/view/common-info.html?regNumber=0873400003924000013" TargetMode="External"/><Relationship Id="rId19" Type="http://schemas.openxmlformats.org/officeDocument/2006/relationships/hyperlink" Target="https://zakupki.gov.ru/epz/order/notice/ea20/view/common-info.html?regNumber=0873400003923000472" TargetMode="External"/><Relationship Id="rId224" Type="http://schemas.openxmlformats.org/officeDocument/2006/relationships/hyperlink" Target="https://zakupki.gov.ru/epz/order/notice/ea20/view/common-info.html?regNumber=0873400003924000034" TargetMode="External"/><Relationship Id="rId245" Type="http://schemas.openxmlformats.org/officeDocument/2006/relationships/hyperlink" Target="https://zakupki.gov.ru/epz/order/notice/ea20/view/common-info.html?regNumber=0873400003924000054" TargetMode="External"/><Relationship Id="rId266" Type="http://schemas.openxmlformats.org/officeDocument/2006/relationships/hyperlink" Target="https://zakupki.gov.ru/epz/order/notice/ea20/view/common-info.html?regNumber=0873400003924000076" TargetMode="External"/><Relationship Id="rId287" Type="http://schemas.openxmlformats.org/officeDocument/2006/relationships/hyperlink" Target="https://zakupki.gov.ru/epz/order/notice/ea20/view/common-info.html?regNumber=0873400003924000097" TargetMode="External"/><Relationship Id="rId30" Type="http://schemas.openxmlformats.org/officeDocument/2006/relationships/hyperlink" Target="https://zakupki.gov.ru/epz/order/notice/ea20/view/common-info.html?regNumber=0873400003923000511" TargetMode="External"/><Relationship Id="rId105" Type="http://schemas.openxmlformats.org/officeDocument/2006/relationships/hyperlink" Target="https://zakupki.gov.ru/epz/order/notice/ea20/view/common-info.html?regNumber=0873400003923000639" TargetMode="External"/><Relationship Id="rId126" Type="http://schemas.openxmlformats.org/officeDocument/2006/relationships/hyperlink" Target="https://zakupki.gov.ru/epz/order/notice/ea20/view/common-info.html?regNumber=0873400003923000670" TargetMode="External"/><Relationship Id="rId147" Type="http://schemas.openxmlformats.org/officeDocument/2006/relationships/hyperlink" Target="https://zakupki.gov.ru/epz/order/notice/ea20/view/common-info.html?regNumber=0873400003923000693" TargetMode="External"/><Relationship Id="rId168" Type="http://schemas.openxmlformats.org/officeDocument/2006/relationships/hyperlink" Target="https://zakupki.gov.ru/epz/order/notice/ea20/view/common-info.html?regNumber=0873400003923000715" TargetMode="External"/><Relationship Id="rId312" Type="http://schemas.openxmlformats.org/officeDocument/2006/relationships/hyperlink" Target="https://zakupki.gov.ru/epz/order/notice/ea20/view/common-info.html?regNumber=0873400003924000122" TargetMode="External"/><Relationship Id="rId333" Type="http://schemas.openxmlformats.org/officeDocument/2006/relationships/hyperlink" Target="https://zakupki.gov.ru/epz/order/notice/ea20/view/common-info.html?regNumber=0873400003924000145" TargetMode="External"/><Relationship Id="rId51" Type="http://schemas.openxmlformats.org/officeDocument/2006/relationships/hyperlink" Target="https://zakupki.gov.ru/epz/order/notice/ea20/view/common-info.html?regNumber=0873400003923000543" TargetMode="External"/><Relationship Id="rId72" Type="http://schemas.openxmlformats.org/officeDocument/2006/relationships/hyperlink" Target="https://zakupki.gov.ru/epz/order/notice/ea20/view/common-info.html?regNumber=0873400003923000590" TargetMode="External"/><Relationship Id="rId93" Type="http://schemas.openxmlformats.org/officeDocument/2006/relationships/hyperlink" Target="https://zakupki.gov.ru/epz/order/notice/ea20/view/common-info.html?regNumber=0873400003923000629" TargetMode="External"/><Relationship Id="rId189" Type="http://schemas.openxmlformats.org/officeDocument/2006/relationships/hyperlink" Target="https://zakupki.gov.ru/epz/order/notice/ea20/view/common-info.html?regNumber=0873400003923000740" TargetMode="External"/><Relationship Id="rId3" Type="http://schemas.openxmlformats.org/officeDocument/2006/relationships/hyperlink" Target="https://zakupki.gov.ru/epz/order/notice/ea20/view/common-info.html?regNumber=0873400003923000230" TargetMode="External"/><Relationship Id="rId214" Type="http://schemas.openxmlformats.org/officeDocument/2006/relationships/hyperlink" Target="https://zakupki.gov.ru/epz/order/notice/ea20/view/common-info.html?regNumber=0873400003924000024" TargetMode="External"/><Relationship Id="rId235" Type="http://schemas.openxmlformats.org/officeDocument/2006/relationships/hyperlink" Target="https://zakupki.gov.ru/epz/order/notice/ea20/view/common-info.html?regNumber=0873400003924000044" TargetMode="External"/><Relationship Id="rId256" Type="http://schemas.openxmlformats.org/officeDocument/2006/relationships/hyperlink" Target="https://zakupki.gov.ru/epz/order/notice/ea20/view/common-info.html?regNumber=0873400003924000066" TargetMode="External"/><Relationship Id="rId277" Type="http://schemas.openxmlformats.org/officeDocument/2006/relationships/hyperlink" Target="https://zakupki.gov.ru/epz/order/notice/ea20/view/common-info.html?regNumber=0873400003924000087" TargetMode="External"/><Relationship Id="rId298" Type="http://schemas.openxmlformats.org/officeDocument/2006/relationships/hyperlink" Target="https://zakupki.gov.ru/epz/order/notice/ea20/view/common-info.html?regNumber=0873400003924000108" TargetMode="External"/><Relationship Id="rId116" Type="http://schemas.openxmlformats.org/officeDocument/2006/relationships/hyperlink" Target="https://zakupki.gov.ru/epz/order/notice/ea20/view/common-info.html?regNumber=0873400003923000656" TargetMode="External"/><Relationship Id="rId137" Type="http://schemas.openxmlformats.org/officeDocument/2006/relationships/hyperlink" Target="https://zakupki.gov.ru/epz/order/notice/ea20/view/common-info.html?regNumber=0873400003923000683" TargetMode="External"/><Relationship Id="rId158" Type="http://schemas.openxmlformats.org/officeDocument/2006/relationships/hyperlink" Target="https://zakupki.gov.ru/epz/order/notice/ea20/view/common-info.html?regNumber=0873400003923000704" TargetMode="External"/><Relationship Id="rId302" Type="http://schemas.openxmlformats.org/officeDocument/2006/relationships/hyperlink" Target="https://zakupki.gov.ru/epz/order/notice/ea20/view/common-info.html?regNumber=0873400003924000112" TargetMode="External"/><Relationship Id="rId323" Type="http://schemas.openxmlformats.org/officeDocument/2006/relationships/hyperlink" Target="https://zakupki.gov.ru/epz/order/notice/ea20/view/common-info.html?regNumber=0873400003924000134" TargetMode="External"/><Relationship Id="rId20" Type="http://schemas.openxmlformats.org/officeDocument/2006/relationships/hyperlink" Target="https://zakupki.gov.ru/epz/order/notice/ea20/view/common-info.html?regNumber=0873400003923000474" TargetMode="External"/><Relationship Id="rId41" Type="http://schemas.openxmlformats.org/officeDocument/2006/relationships/hyperlink" Target="https://zakupki.gov.ru/epz/order/notice/ea20/view/common-info.html?regNumber=0873400003923000529" TargetMode="External"/><Relationship Id="rId62" Type="http://schemas.openxmlformats.org/officeDocument/2006/relationships/hyperlink" Target="https://zakupki.gov.ru/epz/order/notice/ea20/view/common-info.html?regNumber=0873400003923000569" TargetMode="External"/><Relationship Id="rId83" Type="http://schemas.openxmlformats.org/officeDocument/2006/relationships/hyperlink" Target="https://zakupki.gov.ru/epz/order/notice/ea20/view/common-info.html?regNumber=0873400003923000614" TargetMode="External"/><Relationship Id="rId179" Type="http://schemas.openxmlformats.org/officeDocument/2006/relationships/hyperlink" Target="https://zakupki.gov.ru/epz/order/notice/ea20/view/common-info.html?regNumber=0873400003923000730" TargetMode="External"/><Relationship Id="rId190" Type="http://schemas.openxmlformats.org/officeDocument/2006/relationships/hyperlink" Target="https://zakupki.gov.ru/epz/order/notice/ea20/view/common-info.html?regNumber=0873400003923000741" TargetMode="External"/><Relationship Id="rId204" Type="http://schemas.openxmlformats.org/officeDocument/2006/relationships/hyperlink" Target="https://zakupki.gov.ru/epz/order/notice/ea20/view/common-info.html?regNumber=0873400003924000014" TargetMode="External"/><Relationship Id="rId225" Type="http://schemas.openxmlformats.org/officeDocument/2006/relationships/hyperlink" Target="https://zakupki.gov.ru/epz/order/notice/ea20/view/common-info.html?regNumber=0873400003924000035" TargetMode="External"/><Relationship Id="rId246" Type="http://schemas.openxmlformats.org/officeDocument/2006/relationships/hyperlink" Target="https://zakupki.gov.ru/epz/order/notice/ea20/view/common-info.html?regNumber=0873400003924000055" TargetMode="External"/><Relationship Id="rId267" Type="http://schemas.openxmlformats.org/officeDocument/2006/relationships/hyperlink" Target="https://zakupki.gov.ru/epz/order/notice/ea20/view/common-info.html?regNumber=0873400003924000077" TargetMode="External"/><Relationship Id="rId288" Type="http://schemas.openxmlformats.org/officeDocument/2006/relationships/hyperlink" Target="https://zakupki.gov.ru/epz/order/notice/ea20/view/common-info.html?regNumber=0873400003924000098" TargetMode="External"/><Relationship Id="rId106" Type="http://schemas.openxmlformats.org/officeDocument/2006/relationships/hyperlink" Target="https://zakupki.gov.ru/epz/order/notice/ea20/view/common-info.html?regNumber=0873400003923000642" TargetMode="External"/><Relationship Id="rId127" Type="http://schemas.openxmlformats.org/officeDocument/2006/relationships/hyperlink" Target="https://zakupki.gov.ru/epz/order/notice/ea20/view/common-info.html?regNumber=0873400003923000671" TargetMode="External"/><Relationship Id="rId313" Type="http://schemas.openxmlformats.org/officeDocument/2006/relationships/hyperlink" Target="https://zakupki.gov.ru/epz/order/notice/ea20/view/common-info.html?regNumber=0873400003924000123" TargetMode="External"/><Relationship Id="rId10" Type="http://schemas.openxmlformats.org/officeDocument/2006/relationships/hyperlink" Target="https://zakupki.gov.ru/epz/order/notice/ea20/view/common-info.html?regNumber=0873400003923000450" TargetMode="External"/><Relationship Id="rId31" Type="http://schemas.openxmlformats.org/officeDocument/2006/relationships/hyperlink" Target="https://zakupki.gov.ru/epz/order/notice/ea20/view/common-info.html?regNumber=0873400003923000512" TargetMode="External"/><Relationship Id="rId52" Type="http://schemas.openxmlformats.org/officeDocument/2006/relationships/hyperlink" Target="https://zakupki.gov.ru/epz/order/notice/ea20/view/common-info.html?regNumber=0873400003923000544" TargetMode="External"/><Relationship Id="rId73" Type="http://schemas.openxmlformats.org/officeDocument/2006/relationships/hyperlink" Target="https://zakupki.gov.ru/epz/order/notice/ea20/view/common-info.html?regNumber=0873400003923000592" TargetMode="External"/><Relationship Id="rId94" Type="http://schemas.openxmlformats.org/officeDocument/2006/relationships/hyperlink" Target="https://zakupki.gov.ru/epz/order/notice/ea20/view/common-info.html?regNumber=0873400003923000630" TargetMode="External"/><Relationship Id="rId148" Type="http://schemas.openxmlformats.org/officeDocument/2006/relationships/hyperlink" Target="https://zakupki.gov.ru/epz/order/notice/ea20/view/common-info.html?regNumber=0873400003923000694" TargetMode="External"/><Relationship Id="rId169" Type="http://schemas.openxmlformats.org/officeDocument/2006/relationships/hyperlink" Target="https://zakupki.gov.ru/epz/order/notice/ea20/view/common-info.html?regNumber=0873400003923000717" TargetMode="External"/><Relationship Id="rId334" Type="http://schemas.openxmlformats.org/officeDocument/2006/relationships/hyperlink" Target="https://zakupki.gov.ru/epz/order/notice/ea20/view/common-info.html?regNumber=0873400003924000146" TargetMode="External"/><Relationship Id="rId4" Type="http://schemas.openxmlformats.org/officeDocument/2006/relationships/hyperlink" Target="https://zakupki.gov.ru/epz/order/notice/ea20/view/common-info.html?regNumber=0873400003923000432" TargetMode="External"/><Relationship Id="rId180" Type="http://schemas.openxmlformats.org/officeDocument/2006/relationships/hyperlink" Target="https://zakupki.gov.ru/epz/order/notice/ea20/view/common-info.html?regNumber=0873400003923000731" TargetMode="External"/><Relationship Id="rId215" Type="http://schemas.openxmlformats.org/officeDocument/2006/relationships/hyperlink" Target="https://zakupki.gov.ru/epz/order/notice/ea20/view/common-info.html?regNumber=0873400003924000025" TargetMode="External"/><Relationship Id="rId236" Type="http://schemas.openxmlformats.org/officeDocument/2006/relationships/hyperlink" Target="https://zakupki.gov.ru/epz/order/notice/ea20/view/common-info.html?regNumber=0873400003924000045" TargetMode="External"/><Relationship Id="rId257" Type="http://schemas.openxmlformats.org/officeDocument/2006/relationships/hyperlink" Target="https://zakupki.gov.ru/epz/order/notice/ea20/view/common-info.html?regNumber=0873400003924000067" TargetMode="External"/><Relationship Id="rId278" Type="http://schemas.openxmlformats.org/officeDocument/2006/relationships/hyperlink" Target="https://zakupki.gov.ru/epz/order/notice/ea20/view/common-info.html?regNumber=0873400003924000088" TargetMode="External"/><Relationship Id="rId303" Type="http://schemas.openxmlformats.org/officeDocument/2006/relationships/hyperlink" Target="https://zakupki.gov.ru/epz/order/notice/ea20/view/common-info.html?regNumber=0873400003924000113" TargetMode="External"/><Relationship Id="rId42" Type="http://schemas.openxmlformats.org/officeDocument/2006/relationships/hyperlink" Target="https://zakupki.gov.ru/epz/order/notice/ea20/view/common-info.html?regNumber=0873400003923000531" TargetMode="External"/><Relationship Id="rId84" Type="http://schemas.openxmlformats.org/officeDocument/2006/relationships/hyperlink" Target="https://zakupki.gov.ru/epz/order/notice/ea20/view/common-info.html?regNumber=0873400003923000615" TargetMode="External"/><Relationship Id="rId138" Type="http://schemas.openxmlformats.org/officeDocument/2006/relationships/hyperlink" Target="https://zakupki.gov.ru/epz/order/notice/ea20/view/common-info.html?regNumber=0873400003923000684" TargetMode="External"/><Relationship Id="rId191" Type="http://schemas.openxmlformats.org/officeDocument/2006/relationships/hyperlink" Target="https://zakupki.gov.ru/epz/order/notice/ea20/view/common-info.html?regNumber=0873400003923000742" TargetMode="External"/><Relationship Id="rId205" Type="http://schemas.openxmlformats.org/officeDocument/2006/relationships/hyperlink" Target="https://zakupki.gov.ru/epz/order/notice/ea20/view/common-info.html?regNumber=0873400003924000015" TargetMode="External"/><Relationship Id="rId247" Type="http://schemas.openxmlformats.org/officeDocument/2006/relationships/hyperlink" Target="https://zakupki.gov.ru/epz/order/notice/ea20/view/common-info.html?regNumber=0873400003924000057" TargetMode="External"/><Relationship Id="rId107" Type="http://schemas.openxmlformats.org/officeDocument/2006/relationships/hyperlink" Target="https://zakupki.gov.ru/epz/order/notice/ea20/view/common-info.html?regNumber=0873400003923000643" TargetMode="External"/><Relationship Id="rId289" Type="http://schemas.openxmlformats.org/officeDocument/2006/relationships/hyperlink" Target="https://zakupki.gov.ru/epz/order/notice/ea20/view/common-info.html?regNumber=0873400003924000099" TargetMode="External"/><Relationship Id="rId11" Type="http://schemas.openxmlformats.org/officeDocument/2006/relationships/hyperlink" Target="https://zakupki.gov.ru/epz/order/notice/ea20/view/common-info.html?regNumber=0873400003923000452" TargetMode="External"/><Relationship Id="rId53" Type="http://schemas.openxmlformats.org/officeDocument/2006/relationships/hyperlink" Target="https://zakupki.gov.ru/epz/order/notice/ea20/view/common-info.html?regNumber=0873400003923000551" TargetMode="External"/><Relationship Id="rId149" Type="http://schemas.openxmlformats.org/officeDocument/2006/relationships/hyperlink" Target="https://zakupki.gov.ru/epz/order/notice/ea20/view/common-info.html?regNumber=0873400003923000695" TargetMode="External"/><Relationship Id="rId314" Type="http://schemas.openxmlformats.org/officeDocument/2006/relationships/hyperlink" Target="https://zakupki.gov.ru/epz/order/notice/ea20/view/common-info.html?regNumber=0873400003924000125" TargetMode="External"/><Relationship Id="rId95" Type="http://schemas.openxmlformats.org/officeDocument/2006/relationships/hyperlink" Target="https://zakupki.gov.ru/epz/order/notice/ea20/view/common-info.html?regNumber=0873400003923000631" TargetMode="External"/><Relationship Id="rId160" Type="http://schemas.openxmlformats.org/officeDocument/2006/relationships/hyperlink" Target="https://zakupki.gov.ru/epz/order/notice/ea20/view/common-info.html?regNumber=0873400003923000707" TargetMode="External"/><Relationship Id="rId216" Type="http://schemas.openxmlformats.org/officeDocument/2006/relationships/hyperlink" Target="https://zakupki.gov.ru/epz/order/notice/ea20/view/common-info.html?regNumber=0873400003924000026" TargetMode="External"/><Relationship Id="rId258" Type="http://schemas.openxmlformats.org/officeDocument/2006/relationships/hyperlink" Target="https://zakupki.gov.ru/epz/order/notice/ea20/view/common-info.html?regNumber=0873400003924000068" TargetMode="External"/><Relationship Id="rId22" Type="http://schemas.openxmlformats.org/officeDocument/2006/relationships/hyperlink" Target="https://zakupki.gov.ru/epz/order/notice/ea20/view/common-info.html?regNumber=0873400003923000484" TargetMode="External"/><Relationship Id="rId64" Type="http://schemas.openxmlformats.org/officeDocument/2006/relationships/hyperlink" Target="https://zakupki.gov.ru/epz/order/notice/ea20/view/common-info.html?regNumber=0873400003923000572" TargetMode="External"/><Relationship Id="rId118" Type="http://schemas.openxmlformats.org/officeDocument/2006/relationships/hyperlink" Target="https://zakupki.gov.ru/epz/order/notice/ea20/view/common-info.html?regNumber=0873400003923000658" TargetMode="External"/><Relationship Id="rId325" Type="http://schemas.openxmlformats.org/officeDocument/2006/relationships/hyperlink" Target="https://zakupki.gov.ru/epz/order/notice/ea20/view/common-info.html?regNumber=0873400003924000136" TargetMode="External"/><Relationship Id="rId171" Type="http://schemas.openxmlformats.org/officeDocument/2006/relationships/hyperlink" Target="https://zakupki.gov.ru/epz/order/notice/ea20/view/common-info.html?regNumber=0873400003923000722" TargetMode="External"/><Relationship Id="rId227" Type="http://schemas.openxmlformats.org/officeDocument/2006/relationships/hyperlink" Target="https://zakupki.gov.ru/epz/order/notice/ea20/view/common-info.html?regNumber=0873400003924000036" TargetMode="External"/><Relationship Id="rId269" Type="http://schemas.openxmlformats.org/officeDocument/2006/relationships/hyperlink" Target="https://zakupki.gov.ru/epz/order/notice/ea20/view/common-info.html?regNumber=0873400003924000079" TargetMode="External"/><Relationship Id="rId33" Type="http://schemas.openxmlformats.org/officeDocument/2006/relationships/hyperlink" Target="https://zakupki.gov.ru/epz/order/notice/ea20/view/common-info.html?regNumber=0873400003923000515" TargetMode="External"/><Relationship Id="rId129" Type="http://schemas.openxmlformats.org/officeDocument/2006/relationships/hyperlink" Target="https://zakupki.gov.ru/epz/order/notice/ea20/view/common-info.html?regNumber=0873400003923000673" TargetMode="External"/><Relationship Id="rId280" Type="http://schemas.openxmlformats.org/officeDocument/2006/relationships/hyperlink" Target="https://zakupki.gov.ru/epz/order/notice/ea20/view/common-info.html?regNumber=0873400003924000090" TargetMode="External"/><Relationship Id="rId75" Type="http://schemas.openxmlformats.org/officeDocument/2006/relationships/hyperlink" Target="https://zakupki.gov.ru/epz/order/notice/ea20/view/common-info.html?regNumber=0873400003922000002" TargetMode="External"/><Relationship Id="rId140" Type="http://schemas.openxmlformats.org/officeDocument/2006/relationships/hyperlink" Target="https://zakupki.gov.ru/epz/order/notice/ea20/view/common-info.html?regNumber=0873400003923000686" TargetMode="External"/><Relationship Id="rId182" Type="http://schemas.openxmlformats.org/officeDocument/2006/relationships/hyperlink" Target="https://zakupki.gov.ru/epz/order/notice/ea20/view/common-info.html?regNumber=0873400003923000733" TargetMode="External"/><Relationship Id="rId6" Type="http://schemas.openxmlformats.org/officeDocument/2006/relationships/hyperlink" Target="https://zakupki.gov.ru/epz/order/notice/ea20/view/common-info.html?regNumber=0873400003923000442" TargetMode="External"/><Relationship Id="rId238" Type="http://schemas.openxmlformats.org/officeDocument/2006/relationships/hyperlink" Target="https://zakupki.gov.ru/epz/order/notice/ea20/view/common-info.html?regNumber=0873400003924000047" TargetMode="External"/><Relationship Id="rId291" Type="http://schemas.openxmlformats.org/officeDocument/2006/relationships/hyperlink" Target="https://zakupki.gov.ru/epz/order/notice/ea20/view/common-info.html?regNumber=0873400003924000101" TargetMode="External"/><Relationship Id="rId305" Type="http://schemas.openxmlformats.org/officeDocument/2006/relationships/hyperlink" Target="https://zakupki.gov.ru/epz/order/notice/ea20/view/common-info.html?regNumber=0873400003924000115" TargetMode="External"/><Relationship Id="rId44" Type="http://schemas.openxmlformats.org/officeDocument/2006/relationships/hyperlink" Target="https://zakupki.gov.ru/epz/order/notice/ea20/view/common-info.html?regNumber=0873400003923000536" TargetMode="External"/><Relationship Id="rId86" Type="http://schemas.openxmlformats.org/officeDocument/2006/relationships/hyperlink" Target="https://zakupki.gov.ru/epz/order/notice/ea20/view/common-info.html?regNumber=0873400003923000617" TargetMode="External"/><Relationship Id="rId151" Type="http://schemas.openxmlformats.org/officeDocument/2006/relationships/hyperlink" Target="https://zakupki.gov.ru/epz/order/notice/ea20/view/common-info.html?regNumber=0873400003923000697" TargetMode="External"/><Relationship Id="rId193" Type="http://schemas.openxmlformats.org/officeDocument/2006/relationships/hyperlink" Target="https://zakupki.gov.ru/epz/order/notice/ea20/view/common-info.html?regNumber=0873400003924000003" TargetMode="External"/><Relationship Id="rId207" Type="http://schemas.openxmlformats.org/officeDocument/2006/relationships/hyperlink" Target="https://zakupki.gov.ru/epz/order/notice/ea20/view/common-info.html?regNumber=0873400003924000017" TargetMode="External"/><Relationship Id="rId249" Type="http://schemas.openxmlformats.org/officeDocument/2006/relationships/hyperlink" Target="https://zakupki.gov.ru/epz/order/notice/ea20/view/common-info.html?regNumber=0873400003924000059" TargetMode="External"/><Relationship Id="rId13" Type="http://schemas.openxmlformats.org/officeDocument/2006/relationships/hyperlink" Target="https://zakupki.gov.ru/epz/order/notice/ea20/view/common-info.html?regNumber=0873400003923000456" TargetMode="External"/><Relationship Id="rId109" Type="http://schemas.openxmlformats.org/officeDocument/2006/relationships/hyperlink" Target="https://zakupki.gov.ru/epz/order/notice/ea20/view/common-info.html?regNumber=0873400003923000645" TargetMode="External"/><Relationship Id="rId260" Type="http://schemas.openxmlformats.org/officeDocument/2006/relationships/hyperlink" Target="https://zakupki.gov.ru/epz/order/notice/ea20/view/common-info.html?regNumber=0873400003924000070" TargetMode="External"/><Relationship Id="rId316" Type="http://schemas.openxmlformats.org/officeDocument/2006/relationships/hyperlink" Target="https://zakupki.gov.ru/epz/order/notice/ea20/view/common-info.html?regNumber=0873400003924000127" TargetMode="External"/><Relationship Id="rId55" Type="http://schemas.openxmlformats.org/officeDocument/2006/relationships/hyperlink" Target="https://zakupki.gov.ru/epz/order/notice/ea20/view/event-journal.html?regNumber=0873400003923000557" TargetMode="External"/><Relationship Id="rId97" Type="http://schemas.openxmlformats.org/officeDocument/2006/relationships/hyperlink" Target="https://zakupki.gov.ru/epz/order/notice/ea20/view/common-info.html?regNumber=0873400003923000633" TargetMode="External"/><Relationship Id="rId120" Type="http://schemas.openxmlformats.org/officeDocument/2006/relationships/hyperlink" Target="https://zakupki.gov.ru/epz/order/notice/ea20/view/common-info.html?regNumber=0873400003923000664" TargetMode="External"/><Relationship Id="rId162" Type="http://schemas.openxmlformats.org/officeDocument/2006/relationships/hyperlink" Target="https://zakupki.gov.ru/epz/order/notice/ea20/view/common-info.html?regNumber=0873400003923000709" TargetMode="External"/><Relationship Id="rId218" Type="http://schemas.openxmlformats.org/officeDocument/2006/relationships/hyperlink" Target="https://zakupki.gov.ru/epz/order/notice/ea20/view/common-info.html?regNumber=0873400003924000028" TargetMode="External"/><Relationship Id="rId271" Type="http://schemas.openxmlformats.org/officeDocument/2006/relationships/hyperlink" Target="https://zakupki.gov.ru/epz/order/notice/ea20/view/common-info.html?regNumber=0873400003924000081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zakupki.gov.ru/epz/order/notice/ea20/view/common-info.html?regNumber=0873400003923000572" TargetMode="External"/><Relationship Id="rId117" Type="http://schemas.openxmlformats.org/officeDocument/2006/relationships/hyperlink" Target="https://zakupki.gov.ru/epz/order/notice/ea20/view/common-info.html?regNumber=0873400003924000088" TargetMode="External"/><Relationship Id="rId21" Type="http://schemas.openxmlformats.org/officeDocument/2006/relationships/hyperlink" Target="https://zakupki.gov.ru/epz/order/notice/ea20/view/common-info.html?regNumber=0873400003923000560" TargetMode="External"/><Relationship Id="rId42" Type="http://schemas.openxmlformats.org/officeDocument/2006/relationships/hyperlink" Target="https://zakupki.gov.ru/epz/order/notice/ea20/view/common-info.html?regNumber=0873400003923000627" TargetMode="External"/><Relationship Id="rId47" Type="http://schemas.openxmlformats.org/officeDocument/2006/relationships/hyperlink" Target="https://zakupki.gov.ru/epz/order/notice/ea20/view/common-info.html?regNumber=0873400003923000632" TargetMode="External"/><Relationship Id="rId63" Type="http://schemas.openxmlformats.org/officeDocument/2006/relationships/hyperlink" Target="https://zakupki.gov.ru/epz/order/notice/ea20/view/common-info.html?regNumber=0873400003923000658" TargetMode="External"/><Relationship Id="rId68" Type="http://schemas.openxmlformats.org/officeDocument/2006/relationships/hyperlink" Target="https://zakupki.gov.ru/epz/order/notice/ea20/view/common-info.html?regNumber=0873400003923000674" TargetMode="External"/><Relationship Id="rId84" Type="http://schemas.openxmlformats.org/officeDocument/2006/relationships/hyperlink" Target="https://zakupki.gov.ru/epz/order/notice/ea20/view/common-info.html?regNumber=0873400003923000687" TargetMode="External"/><Relationship Id="rId89" Type="http://schemas.openxmlformats.org/officeDocument/2006/relationships/hyperlink" Target="https://zakupki.gov.ru/epz/order/notice/ea20/view/common-info.html?regNumber=0873400003923000707" TargetMode="External"/><Relationship Id="rId112" Type="http://schemas.openxmlformats.org/officeDocument/2006/relationships/hyperlink" Target="https://zakupki.gov.ru/epz/order/notice/ea20/view/common-info.html?regNumber=0873400003924000080" TargetMode="External"/><Relationship Id="rId16" Type="http://schemas.openxmlformats.org/officeDocument/2006/relationships/hyperlink" Target="https://zakupki.gov.ru/epz/order/notice/ea20/view/common-info.html?regNumber=0873400003923000555" TargetMode="External"/><Relationship Id="rId107" Type="http://schemas.openxmlformats.org/officeDocument/2006/relationships/hyperlink" Target="https://zakupki.gov.ru/epz/order/notice/ea20/view/common-info.html?regNumber=0873400003924000073" TargetMode="External"/><Relationship Id="rId11" Type="http://schemas.openxmlformats.org/officeDocument/2006/relationships/hyperlink" Target="https://zakupki.gov.ru/epz/order/notice/ea20/view/common-info.html?regNumber=0873400003923000540" TargetMode="External"/><Relationship Id="rId32" Type="http://schemas.openxmlformats.org/officeDocument/2006/relationships/hyperlink" Target="https://zakupki.gov.ru/epz/order/notice/ea20/view/common-info.html?regNumber=0873400003923000587" TargetMode="External"/><Relationship Id="rId37" Type="http://schemas.openxmlformats.org/officeDocument/2006/relationships/hyperlink" Target="https://zakupki.gov.ru/epz/order/notice/ea20/view/common-info.html?regNumber=0873400003923000616" TargetMode="External"/><Relationship Id="rId53" Type="http://schemas.openxmlformats.org/officeDocument/2006/relationships/hyperlink" Target="https://zakupki.gov.ru/epz/order/notice/ea20/view/common-info.html?regNumber=0873400003923000638" TargetMode="External"/><Relationship Id="rId58" Type="http://schemas.openxmlformats.org/officeDocument/2006/relationships/hyperlink" Target="https://zakupki.gov.ru/epz/order/notice/ea20/view/common-info.html?regNumber=0873400003923000643" TargetMode="External"/><Relationship Id="rId74" Type="http://schemas.openxmlformats.org/officeDocument/2006/relationships/hyperlink" Target="https://zakupki.gov.ru/epz/order/notice/ea20/view/common-info.html?regNumber=0873400003923000673" TargetMode="External"/><Relationship Id="rId79" Type="http://schemas.openxmlformats.org/officeDocument/2006/relationships/hyperlink" Target="https://zakupki.gov.ru/epz/order/notice/ea20/view/common-info.html?regNumber=0873400003923000681" TargetMode="External"/><Relationship Id="rId102" Type="http://schemas.openxmlformats.org/officeDocument/2006/relationships/hyperlink" Target="https://zakupki.gov.ru/epz/order/notice/ea20/view/common-info.html?regNumber=0873400003923000728" TargetMode="External"/><Relationship Id="rId5" Type="http://schemas.openxmlformats.org/officeDocument/2006/relationships/hyperlink" Target="https://zakupki.gov.ru/epz/order/notice/ea20/view/common-info.html?regNumber=0873400003922000368" TargetMode="External"/><Relationship Id="rId90" Type="http://schemas.openxmlformats.org/officeDocument/2006/relationships/hyperlink" Target="https://zakupki.gov.ru/epz/order/notice/ea20/view/common-info.html?regNumber=0873400003923000708" TargetMode="External"/><Relationship Id="rId95" Type="http://schemas.openxmlformats.org/officeDocument/2006/relationships/hyperlink" Target="https://zakupki.gov.ru/epz/order/notice/ea20/view/common-info.html?regNumber=0873400003923000717" TargetMode="External"/><Relationship Id="rId22" Type="http://schemas.openxmlformats.org/officeDocument/2006/relationships/hyperlink" Target="https://zakupki.gov.ru/epz/order/notice/ea20/view/common-info.html?regNumber=0873400003923000563" TargetMode="External"/><Relationship Id="rId27" Type="http://schemas.openxmlformats.org/officeDocument/2006/relationships/hyperlink" Target="https://zakupki.gov.ru/epz/order/notice/ea20/view/common-info.html?regNumber=0873400003923000573" TargetMode="External"/><Relationship Id="rId43" Type="http://schemas.openxmlformats.org/officeDocument/2006/relationships/hyperlink" Target="https://zakupki.gov.ru/epz/order/notice/ea20/view/common-info.html?regNumber=0873400003923000628" TargetMode="External"/><Relationship Id="rId48" Type="http://schemas.openxmlformats.org/officeDocument/2006/relationships/hyperlink" Target="https://zakupki.gov.ru/epz/order/notice/ea20/view/common-info.html?regNumber=0873400003923000633" TargetMode="External"/><Relationship Id="rId64" Type="http://schemas.openxmlformats.org/officeDocument/2006/relationships/hyperlink" Target="https://zakupki.gov.ru/epz/order/notice/ea20/view/common-info.html?regNumber=0873400003923000663" TargetMode="External"/><Relationship Id="rId69" Type="http://schemas.openxmlformats.org/officeDocument/2006/relationships/hyperlink" Target="https://zakupki.gov.ru/epz/order/notice/ea20/view/common-info.html?regNumber=0873400003923000668" TargetMode="External"/><Relationship Id="rId113" Type="http://schemas.openxmlformats.org/officeDocument/2006/relationships/hyperlink" Target="https://zakupki.gov.ru/epz/order/notice/ea20/view/common-info.html?regNumber=0873400003924000081" TargetMode="External"/><Relationship Id="rId118" Type="http://schemas.openxmlformats.org/officeDocument/2006/relationships/hyperlink" Target="https://zakupki.gov.ru/epz/order/notice/ea20/view/common-info.html?regNumber=0873400003924000134" TargetMode="External"/><Relationship Id="rId80" Type="http://schemas.openxmlformats.org/officeDocument/2006/relationships/hyperlink" Target="https://zakupki.gov.ru/epz/order/notice/ea20/view/common-info.html?regNumber=0873400003923000682" TargetMode="External"/><Relationship Id="rId85" Type="http://schemas.openxmlformats.org/officeDocument/2006/relationships/hyperlink" Target="https://zakupki.gov.ru/epz/order/notice/ea20/view/common-info.html?regNumber=0873400003923000688" TargetMode="External"/><Relationship Id="rId12" Type="http://schemas.openxmlformats.org/officeDocument/2006/relationships/hyperlink" Target="https://zakupki.gov.ru/epz/order/notice/ea20/view/common-info.html?regNumber=0873400003923000541" TargetMode="External"/><Relationship Id="rId17" Type="http://schemas.openxmlformats.org/officeDocument/2006/relationships/hyperlink" Target="https://zakupki.gov.ru/epz/order/notice/ea20/view/event-journal.html?regNumber=0873400003923000557" TargetMode="External"/><Relationship Id="rId33" Type="http://schemas.openxmlformats.org/officeDocument/2006/relationships/hyperlink" Target="https://zakupki.gov.ru/epz/order/notice/ea20/view/common-info.html?regNumber=0873400003923000593" TargetMode="External"/><Relationship Id="rId38" Type="http://schemas.openxmlformats.org/officeDocument/2006/relationships/hyperlink" Target="https://zakupki.gov.ru/epz/order/notice/ea20/view/common-info.html?regNumber=0873400003923000617" TargetMode="External"/><Relationship Id="rId59" Type="http://schemas.openxmlformats.org/officeDocument/2006/relationships/hyperlink" Target="https://zakupki.gov.ru/epz/order/notice/ea20/view/common-info.html?regNumber=0873400003923000644" TargetMode="External"/><Relationship Id="rId103" Type="http://schemas.openxmlformats.org/officeDocument/2006/relationships/hyperlink" Target="https://zakupki.gov.ru/epz/order/notice/ea20/view/common-info.html?regNumber=0873400003923000729" TargetMode="External"/><Relationship Id="rId108" Type="http://schemas.openxmlformats.org/officeDocument/2006/relationships/hyperlink" Target="https://zakupki.gov.ru/epz/order/notice/ea20/view/common-info.html?regNumber=0873400003924000074" TargetMode="External"/><Relationship Id="rId54" Type="http://schemas.openxmlformats.org/officeDocument/2006/relationships/hyperlink" Target="https://zakupki.gov.ru/epz/order/notice/ea20/view/common-info.html?regNumber=0873400003923000641" TargetMode="External"/><Relationship Id="rId70" Type="http://schemas.openxmlformats.org/officeDocument/2006/relationships/hyperlink" Target="https://zakupki.gov.ru/epz/order/notice/ea20/view/common-info.html?regNumber=0873400003923000669" TargetMode="External"/><Relationship Id="rId75" Type="http://schemas.openxmlformats.org/officeDocument/2006/relationships/hyperlink" Target="https://zakupki.gov.ru/epz/order/notice/ea20/view/common-info.html?regNumber=0873400003923000675" TargetMode="External"/><Relationship Id="rId91" Type="http://schemas.openxmlformats.org/officeDocument/2006/relationships/hyperlink" Target="https://zakupki.gov.ru/epz/order/notice/ea20/view/common-info.html?regNumber=0873400003923000709" TargetMode="External"/><Relationship Id="rId96" Type="http://schemas.openxmlformats.org/officeDocument/2006/relationships/hyperlink" Target="https://zakupki.gov.ru/epz/order/notice/ea20/view/common-info.html?regNumber=0873400003923000721" TargetMode="External"/><Relationship Id="rId1" Type="http://schemas.openxmlformats.org/officeDocument/2006/relationships/hyperlink" Target="https://zakupki.gov.ru/epz/order/notice/ea20/view/common-info.html?regNumber=0873400003922000293" TargetMode="External"/><Relationship Id="rId6" Type="http://schemas.openxmlformats.org/officeDocument/2006/relationships/hyperlink" Target="https://zakupki.gov.ru/epz/order/notice/ea20/view/common-info.html?regNumber=0873400003922000004" TargetMode="External"/><Relationship Id="rId23" Type="http://schemas.openxmlformats.org/officeDocument/2006/relationships/hyperlink" Target="https://zakupki.gov.ru/epz/order/notice/ea20/view/common-info.html?regNumber=0873400003923000570" TargetMode="External"/><Relationship Id="rId28" Type="http://schemas.openxmlformats.org/officeDocument/2006/relationships/hyperlink" Target="https://zakupki.gov.ru/epz/order/notice/ea20/view/common-info.html?regNumber=0873400003923000582" TargetMode="External"/><Relationship Id="rId49" Type="http://schemas.openxmlformats.org/officeDocument/2006/relationships/hyperlink" Target="https://zakupki.gov.ru/epz/order/notice/ea20/view/common-info.html?regNumber=0873400003923000634" TargetMode="External"/><Relationship Id="rId114" Type="http://schemas.openxmlformats.org/officeDocument/2006/relationships/hyperlink" Target="https://zakupki.gov.ru/epz/order/notice/ea20/view/common-info.html?regNumber=0873400003924000082" TargetMode="External"/><Relationship Id="rId119" Type="http://schemas.openxmlformats.org/officeDocument/2006/relationships/hyperlink" Target="https://zakupki.gov.ru/epz/order/notice/ea20/view/common-info.html?regNumber=0873400003924000138" TargetMode="External"/><Relationship Id="rId44" Type="http://schemas.openxmlformats.org/officeDocument/2006/relationships/hyperlink" Target="https://zakupki.gov.ru/epz/order/notice/ea20/view/common-info.html?regNumber=0873400003923000629" TargetMode="External"/><Relationship Id="rId60" Type="http://schemas.openxmlformats.org/officeDocument/2006/relationships/hyperlink" Target="https://zakupki.gov.ru/epz/order/notice/ea20/view/common-info.html?regNumber=0873400003923000645" TargetMode="External"/><Relationship Id="rId65" Type="http://schemas.openxmlformats.org/officeDocument/2006/relationships/hyperlink" Target="https://zakupki.gov.ru/epz/order/notice/ea20/view/common-info.html?regNumber=0873400003923000664" TargetMode="External"/><Relationship Id="rId81" Type="http://schemas.openxmlformats.org/officeDocument/2006/relationships/hyperlink" Target="https://zakupki.gov.ru/epz/order/notice/ea20/view/common-info.html?regNumber=0873400003923000683" TargetMode="External"/><Relationship Id="rId86" Type="http://schemas.openxmlformats.org/officeDocument/2006/relationships/hyperlink" Target="https://zakupki.gov.ru/epz/order/notice/ea20/view/common-info.html?regNumber=0873400003923000689" TargetMode="External"/><Relationship Id="rId4" Type="http://schemas.openxmlformats.org/officeDocument/2006/relationships/hyperlink" Target="https://zakupki.gov.ru/epz/order/notice/ea20/view/common-info.html?regNumber=0873400003922000002" TargetMode="External"/><Relationship Id="rId9" Type="http://schemas.openxmlformats.org/officeDocument/2006/relationships/hyperlink" Target="https://zakupki.gov.ru/epz/order/notice/ea20/view/common-info.html?regNumber=0873400003923000538" TargetMode="External"/><Relationship Id="rId13" Type="http://schemas.openxmlformats.org/officeDocument/2006/relationships/hyperlink" Target="https://zakupki.gov.ru/epz/order/notice/ea20/view/common-info.html?regNumber=0873400003923000542" TargetMode="External"/><Relationship Id="rId18" Type="http://schemas.openxmlformats.org/officeDocument/2006/relationships/hyperlink" Target="https://zakupki.gov.ru/epz/order/notice/ea20/view/common-info.html?regNumber=0873400003923000558" TargetMode="External"/><Relationship Id="rId39" Type="http://schemas.openxmlformats.org/officeDocument/2006/relationships/hyperlink" Target="https://zakupki.gov.ru/epz/order/notice/ea20/view/common-info.html?regNumber=0873400003923000618" TargetMode="External"/><Relationship Id="rId109" Type="http://schemas.openxmlformats.org/officeDocument/2006/relationships/hyperlink" Target="https://zakupki.gov.ru/epz/order/notice/ea20/view/common-info.html?regNumber=0873400003924000076" TargetMode="External"/><Relationship Id="rId34" Type="http://schemas.openxmlformats.org/officeDocument/2006/relationships/hyperlink" Target="https://zakupki.gov.ru/epz/order/notice/ea20/view/common-info.html?regNumber=0873400003923000596" TargetMode="External"/><Relationship Id="rId50" Type="http://schemas.openxmlformats.org/officeDocument/2006/relationships/hyperlink" Target="https://zakupki.gov.ru/epz/order/notice/ea20/view/common-info.html?regNumber=0873400003923000635" TargetMode="External"/><Relationship Id="rId55" Type="http://schemas.openxmlformats.org/officeDocument/2006/relationships/hyperlink" Target="https://zakupki.gov.ru/epz/order/notice/ea20/view/common-info.html?regNumber=0873400003923000640" TargetMode="External"/><Relationship Id="rId76" Type="http://schemas.openxmlformats.org/officeDocument/2006/relationships/hyperlink" Target="https://zakupki.gov.ru/epz/order/notice/ea20/view/common-info.html?regNumber=0873400003923000676" TargetMode="External"/><Relationship Id="rId97" Type="http://schemas.openxmlformats.org/officeDocument/2006/relationships/hyperlink" Target="https://zakupki.gov.ru/epz/order/notice/ea20/view/common-info.html?regNumber=0873400003923000722" TargetMode="External"/><Relationship Id="rId104" Type="http://schemas.openxmlformats.org/officeDocument/2006/relationships/hyperlink" Target="https://zakupki.gov.ru/epz/order/notice/ea20/view/common-info.html?regNumber=0873400003923000730" TargetMode="External"/><Relationship Id="rId120" Type="http://schemas.openxmlformats.org/officeDocument/2006/relationships/hyperlink" Target="https://zakupki.gov.ru/epz/order/notice/ea20/view/common-info.html?regNumber=0873400003924000139" TargetMode="External"/><Relationship Id="rId7" Type="http://schemas.openxmlformats.org/officeDocument/2006/relationships/hyperlink" Target="https://zakupki.gov.ru/epz/order/notice/ea20/view/common-info.html?regNumber=0873400003923000536" TargetMode="External"/><Relationship Id="rId71" Type="http://schemas.openxmlformats.org/officeDocument/2006/relationships/hyperlink" Target="https://zakupki.gov.ru/epz/order/notice/ea20/view/common-info.html?regNumber=0873400003923000670" TargetMode="External"/><Relationship Id="rId92" Type="http://schemas.openxmlformats.org/officeDocument/2006/relationships/hyperlink" Target="https://zakupki.gov.ru/epz/order/notice/ea20/view/common-info.html?regNumber=0873400003923000710" TargetMode="External"/><Relationship Id="rId2" Type="http://schemas.openxmlformats.org/officeDocument/2006/relationships/hyperlink" Target="https://zakupki.gov.ru/epz/order/notice/ea20/view/common-info.html?regNumber=0873400003922000321" TargetMode="External"/><Relationship Id="rId29" Type="http://schemas.openxmlformats.org/officeDocument/2006/relationships/hyperlink" Target="https://zakupki.gov.ru/epz/order/notice/ea20/view/common-info.html?regNumber=0873400003923000583" TargetMode="External"/><Relationship Id="rId24" Type="http://schemas.openxmlformats.org/officeDocument/2006/relationships/hyperlink" Target="https://zakupki.gov.ru/epz/order/notice/ea20/view/common-info.html?regNumber=0873400003923000569" TargetMode="External"/><Relationship Id="rId40" Type="http://schemas.openxmlformats.org/officeDocument/2006/relationships/hyperlink" Target="https://zakupki.gov.ru/epz/order/notice/ea20/view/common-info.html?regNumber=0873400003923000619" TargetMode="External"/><Relationship Id="rId45" Type="http://schemas.openxmlformats.org/officeDocument/2006/relationships/hyperlink" Target="https://zakupki.gov.ru/epz/order/notice/ea20/view/common-info.html?regNumber=0873400003923000630" TargetMode="External"/><Relationship Id="rId66" Type="http://schemas.openxmlformats.org/officeDocument/2006/relationships/hyperlink" Target="https://zakupki.gov.ru/epz/order/notice/ea20/view/common-info.html?regNumber=0873400003923000665" TargetMode="External"/><Relationship Id="rId87" Type="http://schemas.openxmlformats.org/officeDocument/2006/relationships/hyperlink" Target="https://zakupki.gov.ru/epz/order/notice/ea20/view/common-info.html?regNumber=0873400003923000696" TargetMode="External"/><Relationship Id="rId110" Type="http://schemas.openxmlformats.org/officeDocument/2006/relationships/hyperlink" Target="https://zakupki.gov.ru/epz/order/notice/ea20/view/common-info.html?regNumber=0873400003924000077" TargetMode="External"/><Relationship Id="rId115" Type="http://schemas.openxmlformats.org/officeDocument/2006/relationships/hyperlink" Target="https://zakupki.gov.ru/epz/order/notice/ea20/view/common-info.html?regNumber=0873400003924000086" TargetMode="External"/><Relationship Id="rId61" Type="http://schemas.openxmlformats.org/officeDocument/2006/relationships/hyperlink" Target="https://zakupki.gov.ru/epz/order/notice/ea20/view/common-info.html?regNumber=0873400003923000648" TargetMode="External"/><Relationship Id="rId82" Type="http://schemas.openxmlformats.org/officeDocument/2006/relationships/hyperlink" Target="https://zakupki.gov.ru/epz/order/notice/ea20/view/common-info.html?regNumber=0873400003923000684" TargetMode="External"/><Relationship Id="rId19" Type="http://schemas.openxmlformats.org/officeDocument/2006/relationships/hyperlink" Target="https://zakupki.gov.ru/epz/order/notice/ea20/view/common-info.html?regNumber=0873400003923000556" TargetMode="External"/><Relationship Id="rId14" Type="http://schemas.openxmlformats.org/officeDocument/2006/relationships/hyperlink" Target="https://zakupki.gov.ru/epz/order/notice/ea20/view/common-info.html?regNumber=0873400003923000543" TargetMode="External"/><Relationship Id="rId30" Type="http://schemas.openxmlformats.org/officeDocument/2006/relationships/hyperlink" Target="https://zakupki.gov.ru/epz/order/notice/ea20/view/common-info.html?regNumber=0873400003923000585" TargetMode="External"/><Relationship Id="rId35" Type="http://schemas.openxmlformats.org/officeDocument/2006/relationships/hyperlink" Target="https://zakupki.gov.ru/epz/order/notice/ea20/view/common-info.html?regNumber=0873400003923000613" TargetMode="External"/><Relationship Id="rId56" Type="http://schemas.openxmlformats.org/officeDocument/2006/relationships/hyperlink" Target="https://zakupki.gov.ru/epz/order/notice/ea20/view/common-info.html?regNumber=0873400003923000639" TargetMode="External"/><Relationship Id="rId77" Type="http://schemas.openxmlformats.org/officeDocument/2006/relationships/hyperlink" Target="https://zakupki.gov.ru/epz/order/notice/ea20/view/common-info.html?regNumber=0873400003923000677" TargetMode="External"/><Relationship Id="rId100" Type="http://schemas.openxmlformats.org/officeDocument/2006/relationships/hyperlink" Target="https://zakupki.gov.ru/epz/order/notice/ea20/view/common-info.html?regNumber=0873400003923000725" TargetMode="External"/><Relationship Id="rId105" Type="http://schemas.openxmlformats.org/officeDocument/2006/relationships/hyperlink" Target="https://zakupki.gov.ru/epz/order/notice/ea20/view/common-info.html?regNumber=0873400003923000731" TargetMode="External"/><Relationship Id="rId8" Type="http://schemas.openxmlformats.org/officeDocument/2006/relationships/hyperlink" Target="https://zakupki.gov.ru/epz/order/notice/ea20/view/common-info.html?regNumber=0873400003923000537" TargetMode="External"/><Relationship Id="rId51" Type="http://schemas.openxmlformats.org/officeDocument/2006/relationships/hyperlink" Target="https://zakupki.gov.ru/epz/order/notice/ea20/view/common-info.html?regNumber=0873400003923000636" TargetMode="External"/><Relationship Id="rId72" Type="http://schemas.openxmlformats.org/officeDocument/2006/relationships/hyperlink" Target="https://zakupki.gov.ru/epz/order/notice/ea20/view/common-info.html?regNumber=0873400003923000671" TargetMode="External"/><Relationship Id="rId93" Type="http://schemas.openxmlformats.org/officeDocument/2006/relationships/hyperlink" Target="https://zakupki.gov.ru/epz/order/notice/ea20/view/common-info.html?regNumber=0873400003923000714" TargetMode="External"/><Relationship Id="rId98" Type="http://schemas.openxmlformats.org/officeDocument/2006/relationships/hyperlink" Target="https://zakupki.gov.ru/epz/order/notice/ea20/view/common-info.html?regNumber=0873400003923000723" TargetMode="External"/><Relationship Id="rId121" Type="http://schemas.openxmlformats.org/officeDocument/2006/relationships/hyperlink" Target="https://zakupki.gov.ru/epz/order/notice/ea20/view/common-info.html?regNumber=0873400003924000140" TargetMode="External"/><Relationship Id="rId3" Type="http://schemas.openxmlformats.org/officeDocument/2006/relationships/hyperlink" Target="https://zakupki.gov.ru/epz/order/notice/ea20/view/common-info.html?regNumber=0873400003922000003" TargetMode="External"/><Relationship Id="rId25" Type="http://schemas.openxmlformats.org/officeDocument/2006/relationships/hyperlink" Target="https://zakupki.gov.ru/epz/order/notice/ea20/view/common-info.html?regNumber=0873400003923000571" TargetMode="External"/><Relationship Id="rId46" Type="http://schemas.openxmlformats.org/officeDocument/2006/relationships/hyperlink" Target="https://zakupki.gov.ru/epz/order/notice/ea20/view/common-info.html?regNumber=0873400003923000631" TargetMode="External"/><Relationship Id="rId67" Type="http://schemas.openxmlformats.org/officeDocument/2006/relationships/hyperlink" Target="https://zakupki.gov.ru/epz/order/notice/ea20/view/common-info.html?regNumber=0873400003923000666" TargetMode="External"/><Relationship Id="rId116" Type="http://schemas.openxmlformats.org/officeDocument/2006/relationships/hyperlink" Target="https://zakupki.gov.ru/epz/order/notice/ea20/view/common-info.html?regNumber=0873400003924000087" TargetMode="External"/><Relationship Id="rId20" Type="http://schemas.openxmlformats.org/officeDocument/2006/relationships/hyperlink" Target="https://zakupki.gov.ru/epz/order/notice/ea20/view/common-info.html?regNumber=0873400003923000559" TargetMode="External"/><Relationship Id="rId41" Type="http://schemas.openxmlformats.org/officeDocument/2006/relationships/hyperlink" Target="https://zakupki.gov.ru/epz/order/notice/ea20/view/common-info.html?regNumber=0873400003923000620" TargetMode="External"/><Relationship Id="rId62" Type="http://schemas.openxmlformats.org/officeDocument/2006/relationships/hyperlink" Target="https://zakupki.gov.ru/epz/order/notice/ea20/view/common-info.html?regNumber=0873400003923000652" TargetMode="External"/><Relationship Id="rId83" Type="http://schemas.openxmlformats.org/officeDocument/2006/relationships/hyperlink" Target="https://zakupki.gov.ru/epz/order/notice/ea20/view/common-info.html?regNumber=0873400003923000686" TargetMode="External"/><Relationship Id="rId88" Type="http://schemas.openxmlformats.org/officeDocument/2006/relationships/hyperlink" Target="https://zakupki.gov.ru/epz/order/notice/ea20/view/common-info.html?regNumber=0873400003923000697" TargetMode="External"/><Relationship Id="rId111" Type="http://schemas.openxmlformats.org/officeDocument/2006/relationships/hyperlink" Target="https://zakupki.gov.ru/epz/order/notice/ea20/view/common-info.html?regNumber=0873400003924000079" TargetMode="External"/><Relationship Id="rId15" Type="http://schemas.openxmlformats.org/officeDocument/2006/relationships/hyperlink" Target="https://zakupki.gov.ru/epz/order/notice/ea20/view/common-info.html?regNumber=0873400003923000544" TargetMode="External"/><Relationship Id="rId36" Type="http://schemas.openxmlformats.org/officeDocument/2006/relationships/hyperlink" Target="https://zakupki.gov.ru/epz/order/notice/ea20/view/common-info.html?regNumber=0873400003923000615" TargetMode="External"/><Relationship Id="rId57" Type="http://schemas.openxmlformats.org/officeDocument/2006/relationships/hyperlink" Target="https://zakupki.gov.ru/epz/order/notice/ea20/view/common-info.html?regNumber=0873400003923000642" TargetMode="External"/><Relationship Id="rId106" Type="http://schemas.openxmlformats.org/officeDocument/2006/relationships/hyperlink" Target="https://zakupki.gov.ru/epz/order/notice/ea20/view/common-info.html?regNumber=0873400003923000741" TargetMode="External"/><Relationship Id="rId10" Type="http://schemas.openxmlformats.org/officeDocument/2006/relationships/hyperlink" Target="https://zakupki.gov.ru/epz/order/notice/ea20/view/common-info.html?regNumber=0873400003923000539" TargetMode="External"/><Relationship Id="rId31" Type="http://schemas.openxmlformats.org/officeDocument/2006/relationships/hyperlink" Target="https://zakupki.gov.ru/epz/order/notice/ea20/view/common-info.html?regNumber=0873400003923000586" TargetMode="External"/><Relationship Id="rId52" Type="http://schemas.openxmlformats.org/officeDocument/2006/relationships/hyperlink" Target="https://zakupki.gov.ru/epz/order/notice/ea20/view/common-info.html?regNumber=0873400003923000637" TargetMode="External"/><Relationship Id="rId73" Type="http://schemas.openxmlformats.org/officeDocument/2006/relationships/hyperlink" Target="https://zakupki.gov.ru/epz/order/notice/ea20/view/common-info.html?regNumber=0873400003923000672" TargetMode="External"/><Relationship Id="rId78" Type="http://schemas.openxmlformats.org/officeDocument/2006/relationships/hyperlink" Target="https://zakupki.gov.ru/epz/order/notice/ea20/view/common-info.html?regNumber=0873400003923000679" TargetMode="External"/><Relationship Id="rId94" Type="http://schemas.openxmlformats.org/officeDocument/2006/relationships/hyperlink" Target="https://zakupki.gov.ru/epz/order/notice/ea20/view/common-info.html?regNumber=0873400003923000715" TargetMode="External"/><Relationship Id="rId99" Type="http://schemas.openxmlformats.org/officeDocument/2006/relationships/hyperlink" Target="https://zakupki.gov.ru/epz/order/notice/ea20/view/common-info.html?regNumber=0873400003923000724" TargetMode="External"/><Relationship Id="rId101" Type="http://schemas.openxmlformats.org/officeDocument/2006/relationships/hyperlink" Target="https://zakupki.gov.ru/epz/order/notice/ea20/view/common-info.html?regNumber=0873400003923000726" TargetMode="External"/><Relationship Id="rId122" Type="http://schemas.openxmlformats.org/officeDocument/2006/relationships/hyperlink" Target="https://zakupki.gov.ru/epz/order/notice/ea20/view/common-info.html?regNumber=0873400003924000144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zakupki.gov.ru/epz/order/notice/ea20/view/common-info.html?regNumber=0873400003924000006" TargetMode="External"/><Relationship Id="rId21" Type="http://schemas.openxmlformats.org/officeDocument/2006/relationships/hyperlink" Target="https://zakupki.gov.ru/epz/order/notice/ea20/view/common-info.html?regNumber=0873400003923000713" TargetMode="External"/><Relationship Id="rId42" Type="http://schemas.openxmlformats.org/officeDocument/2006/relationships/hyperlink" Target="https://zakupki.gov.ru/epz/order/notice/ea20/view/common-info.html?regNumber=0873400003924000026" TargetMode="External"/><Relationship Id="rId47" Type="http://schemas.openxmlformats.org/officeDocument/2006/relationships/hyperlink" Target="https://zakupki.gov.ru/epz/order/notice/ea20/view/common-info.html?regNumber=0873400003924000031" TargetMode="External"/><Relationship Id="rId63" Type="http://schemas.openxmlformats.org/officeDocument/2006/relationships/hyperlink" Target="https://zakupki.gov.ru/epz/order/notice/ea20/view/common-info.html?regNumber=0873400003924000100" TargetMode="External"/><Relationship Id="rId68" Type="http://schemas.openxmlformats.org/officeDocument/2006/relationships/hyperlink" Target="https://zakupki.gov.ru/epz/order/notice/ea20/view/common-info.html?regNumber=0873400003924000111" TargetMode="External"/><Relationship Id="rId16" Type="http://schemas.openxmlformats.org/officeDocument/2006/relationships/hyperlink" Target="https://zakupki.gov.ru/epz/order/notice/ea20/view/common-info.html?regNumber=0873400003923000695" TargetMode="External"/><Relationship Id="rId11" Type="http://schemas.openxmlformats.org/officeDocument/2006/relationships/hyperlink" Target="https://zakupki.gov.ru/epz/order/notice/ea20/view/common-info.html?regNumber=0873400003923000657" TargetMode="External"/><Relationship Id="rId32" Type="http://schemas.openxmlformats.org/officeDocument/2006/relationships/hyperlink" Target="https://zakupki.gov.ru/epz/order/notice/ea20/view/common-info.html?regNumber=0873400003924000012" TargetMode="External"/><Relationship Id="rId37" Type="http://schemas.openxmlformats.org/officeDocument/2006/relationships/hyperlink" Target="https://zakupki.gov.ru/epz/order/notice/ea20/view/common-info.html?regNumber=0873400003924000021" TargetMode="External"/><Relationship Id="rId53" Type="http://schemas.openxmlformats.org/officeDocument/2006/relationships/hyperlink" Target="https://zakupki.gov.ru/epz/order/notice/ea20/view/common-info.html?regNumber=0873400003924000040" TargetMode="External"/><Relationship Id="rId58" Type="http://schemas.openxmlformats.org/officeDocument/2006/relationships/hyperlink" Target="https://zakupki.gov.ru/epz/order/notice/ea20/view/common-info.html?regNumber=0873400003924000064" TargetMode="External"/><Relationship Id="rId74" Type="http://schemas.openxmlformats.org/officeDocument/2006/relationships/hyperlink" Target="https://zakupki.gov.ru/epz/order/notice/ea20/view/common-info.html?regNumber=0873400003924000119" TargetMode="External"/><Relationship Id="rId79" Type="http://schemas.openxmlformats.org/officeDocument/2006/relationships/hyperlink" Target="https://zakupki.gov.ru/epz/order/notice/ea20/view/common-info.html?regNumber=0873400003924000132" TargetMode="External"/><Relationship Id="rId5" Type="http://schemas.openxmlformats.org/officeDocument/2006/relationships/hyperlink" Target="https://zakupki.gov.ru/epz/order/notice/ea20/view/common-info.html?regNumber=0873400003923000607" TargetMode="External"/><Relationship Id="rId61" Type="http://schemas.openxmlformats.org/officeDocument/2006/relationships/hyperlink" Target="https://zakupki.gov.ru/epz/order/notice/ea20/view/common-info.html?regNumber=0873400003924000096" TargetMode="External"/><Relationship Id="rId19" Type="http://schemas.openxmlformats.org/officeDocument/2006/relationships/hyperlink" Target="https://zakupki.gov.ru/epz/order/notice/ea20/view/common-info.html?regNumber=0873400003923000711" TargetMode="External"/><Relationship Id="rId14" Type="http://schemas.openxmlformats.org/officeDocument/2006/relationships/hyperlink" Target="https://zakupki.gov.ru/epz/order/notice/ea20/view/common-info.html?regNumber=0873400003923000692" TargetMode="External"/><Relationship Id="rId22" Type="http://schemas.openxmlformats.org/officeDocument/2006/relationships/hyperlink" Target="https://zakupki.gov.ru/epz/order/notice/ea20/view/common-info.html?regNumber=0873400003924000002" TargetMode="External"/><Relationship Id="rId27" Type="http://schemas.openxmlformats.org/officeDocument/2006/relationships/hyperlink" Target="https://zakupki.gov.ru/epz/order/notice/ea20/view/common-info.html?regNumber=0873400003924000007" TargetMode="External"/><Relationship Id="rId30" Type="http://schemas.openxmlformats.org/officeDocument/2006/relationships/hyperlink" Target="https://zakupki.gov.ru/epz/order/notice/ea20/view/common-info.html?regNumber=0873400003924000010" TargetMode="External"/><Relationship Id="rId35" Type="http://schemas.openxmlformats.org/officeDocument/2006/relationships/hyperlink" Target="https://zakupki.gov.ru/epz/order/notice/ea20/view/common-info.html?regNumber=0873400003924000019" TargetMode="External"/><Relationship Id="rId43" Type="http://schemas.openxmlformats.org/officeDocument/2006/relationships/hyperlink" Target="https://zakupki.gov.ru/epz/order/notice/ea20/view/common-info.html?regNumber=0873400003924000027" TargetMode="External"/><Relationship Id="rId48" Type="http://schemas.openxmlformats.org/officeDocument/2006/relationships/hyperlink" Target="https://zakupki.gov.ru/epz/order/notice/ea20/view/common-info.html?regNumber=0873400003924000032" TargetMode="External"/><Relationship Id="rId56" Type="http://schemas.openxmlformats.org/officeDocument/2006/relationships/hyperlink" Target="https://zakupki.gov.ru/epz/order/notice/ea20/view/common-info.html?regNumber=0873400003924000050" TargetMode="External"/><Relationship Id="rId64" Type="http://schemas.openxmlformats.org/officeDocument/2006/relationships/hyperlink" Target="https://zakupki.gov.ru/epz/order/notice/ea20/view/common-info.html?regNumber=0873400003924000103" TargetMode="External"/><Relationship Id="rId69" Type="http://schemas.openxmlformats.org/officeDocument/2006/relationships/hyperlink" Target="https://zakupki.gov.ru/epz/order/notice/ea20/view/common-info.html?regNumber=0873400003924000112" TargetMode="External"/><Relationship Id="rId77" Type="http://schemas.openxmlformats.org/officeDocument/2006/relationships/hyperlink" Target="https://zakupki.gov.ru/epz/order/notice/ea20/view/common-info.html?regNumber=0873400003924000125" TargetMode="External"/><Relationship Id="rId8" Type="http://schemas.openxmlformats.org/officeDocument/2006/relationships/hyperlink" Target="https://zakupki.gov.ru/epz/order/notice/ea20/view/common-info.html?regNumber=0873400003923000646" TargetMode="External"/><Relationship Id="rId51" Type="http://schemas.openxmlformats.org/officeDocument/2006/relationships/hyperlink" Target="https://zakupki.gov.ru/epz/order/notice/ea20/view/common-info.html?regNumber=0873400003924000035" TargetMode="External"/><Relationship Id="rId72" Type="http://schemas.openxmlformats.org/officeDocument/2006/relationships/hyperlink" Target="https://zakupki.gov.ru/epz/order/notice/ea20/view/common-info.html?regNumber=0873400003924000115" TargetMode="External"/><Relationship Id="rId80" Type="http://schemas.openxmlformats.org/officeDocument/2006/relationships/hyperlink" Target="https://zakupki.gov.ru/epz/order/notice/ea20/view/common-info.html?regNumber=0873400003924000145" TargetMode="External"/><Relationship Id="rId3" Type="http://schemas.openxmlformats.org/officeDocument/2006/relationships/hyperlink" Target="https://zakupki.gov.ru/epz/order/notice/ea20/view/common-info.html?regNumber=0873400003923000490" TargetMode="External"/><Relationship Id="rId12" Type="http://schemas.openxmlformats.org/officeDocument/2006/relationships/hyperlink" Target="https://zakupki.gov.ru/epz/order/notice/ea20/view/common-info.html?regNumber=0873400003923000690" TargetMode="External"/><Relationship Id="rId17" Type="http://schemas.openxmlformats.org/officeDocument/2006/relationships/hyperlink" Target="https://zakupki.gov.ru/epz/order/notice/ea20/view/common-info.html?regNumber=0873400003923000698" TargetMode="External"/><Relationship Id="rId25" Type="http://schemas.openxmlformats.org/officeDocument/2006/relationships/hyperlink" Target="https://zakupki.gov.ru/epz/order/notice/ea20/view/common-info.html?regNumber=0873400003924000005" TargetMode="External"/><Relationship Id="rId33" Type="http://schemas.openxmlformats.org/officeDocument/2006/relationships/hyperlink" Target="https://zakupki.gov.ru/epz/order/notice/ea20/view/common-info.html?regNumber=0873400003924000013" TargetMode="External"/><Relationship Id="rId38" Type="http://schemas.openxmlformats.org/officeDocument/2006/relationships/hyperlink" Target="https://zakupki.gov.ru/epz/order/notice/ea20/view/common-info.html?regNumber=0873400003924000022" TargetMode="External"/><Relationship Id="rId46" Type="http://schemas.openxmlformats.org/officeDocument/2006/relationships/hyperlink" Target="https://zakupki.gov.ru/epz/order/notice/ea20/view/common-info.html?regNumber=087340000392400030" TargetMode="External"/><Relationship Id="rId59" Type="http://schemas.openxmlformats.org/officeDocument/2006/relationships/hyperlink" Target="https://zakupki.gov.ru/epz/order/notice/ea20/view/common-info.html?regNumber=0873400003924000065" TargetMode="External"/><Relationship Id="rId67" Type="http://schemas.openxmlformats.org/officeDocument/2006/relationships/hyperlink" Target="https://zakupki.gov.ru/epz/order/notice/ea20/view/common-info.html?regNumber=0873400003924000109" TargetMode="External"/><Relationship Id="rId20" Type="http://schemas.openxmlformats.org/officeDocument/2006/relationships/hyperlink" Target="https://zakupki.gov.ru/epz/order/notice/ea20/view/common-info.html?regNumber=0873400003923000712" TargetMode="External"/><Relationship Id="rId41" Type="http://schemas.openxmlformats.org/officeDocument/2006/relationships/hyperlink" Target="https://zakupki.gov.ru/epz/order/notice/ea20/view/common-info.html?regNumber=0873400003924000025" TargetMode="External"/><Relationship Id="rId54" Type="http://schemas.openxmlformats.org/officeDocument/2006/relationships/hyperlink" Target="https://zakupki.gov.ru/epz/order/notice/ea20/view/common-info.html?regNumber=0873400003924000048" TargetMode="External"/><Relationship Id="rId62" Type="http://schemas.openxmlformats.org/officeDocument/2006/relationships/hyperlink" Target="https://zakupki.gov.ru/epz/order/notice/ea20/view/common-info.html?regNumber=0873400003924000099" TargetMode="External"/><Relationship Id="rId70" Type="http://schemas.openxmlformats.org/officeDocument/2006/relationships/hyperlink" Target="https://zakupki.gov.ru/epz/order/notice/ea20/view/common-info.html?regNumber=0873400003924000113" TargetMode="External"/><Relationship Id="rId75" Type="http://schemas.openxmlformats.org/officeDocument/2006/relationships/hyperlink" Target="https://zakupki.gov.ru/epz/order/notice/ea20/view/common-info.html?regNumber=0873400003924000120" TargetMode="External"/><Relationship Id="rId1" Type="http://schemas.openxmlformats.org/officeDocument/2006/relationships/hyperlink" Target="https://zakupki.gov.ru/epz/order/notice/ea20/view/common-info.html?regNumber=0873400003923000470" TargetMode="External"/><Relationship Id="rId6" Type="http://schemas.openxmlformats.org/officeDocument/2006/relationships/hyperlink" Target="https://zakupki.gov.ru/epz/order/notice/ea20/view/common-info.html?regNumber=0873400003923000609" TargetMode="External"/><Relationship Id="rId15" Type="http://schemas.openxmlformats.org/officeDocument/2006/relationships/hyperlink" Target="https://zakupki.gov.ru/epz/order/notice/ea20/view/common-info.html?regNumber=0873400003923000693" TargetMode="External"/><Relationship Id="rId23" Type="http://schemas.openxmlformats.org/officeDocument/2006/relationships/hyperlink" Target="https://zakupki.gov.ru/epz/order/notice/ea20/view/common-info.html?regNumber=0873400003924000003" TargetMode="External"/><Relationship Id="rId28" Type="http://schemas.openxmlformats.org/officeDocument/2006/relationships/hyperlink" Target="https://zakupki.gov.ru/epz/order/notice/ea20/view/common-info.html?regNumber=0873400003924000008" TargetMode="External"/><Relationship Id="rId36" Type="http://schemas.openxmlformats.org/officeDocument/2006/relationships/hyperlink" Target="https://zakupki.gov.ru/epz/order/notice/ea20/view/common-info.html?regNumber=0873400003924000020" TargetMode="External"/><Relationship Id="rId49" Type="http://schemas.openxmlformats.org/officeDocument/2006/relationships/hyperlink" Target="https://zakupki.gov.ru/epz/order/notice/ea20/view/common-info.html?regNumber=0873400003924000033" TargetMode="External"/><Relationship Id="rId57" Type="http://schemas.openxmlformats.org/officeDocument/2006/relationships/hyperlink" Target="https://zakupki.gov.ru/epz/order/notice/ea20/view/common-info.html?regNumber=0873400003924000054" TargetMode="External"/><Relationship Id="rId10" Type="http://schemas.openxmlformats.org/officeDocument/2006/relationships/hyperlink" Target="https://zakupki.gov.ru/epz/order/notice/ea20/view/common-info.html?regNumber=0873400003923000656" TargetMode="External"/><Relationship Id="rId31" Type="http://schemas.openxmlformats.org/officeDocument/2006/relationships/hyperlink" Target="https://zakupki.gov.ru/epz/order/notice/ea20/view/common-info.html?regNumber=0873400003924000011" TargetMode="External"/><Relationship Id="rId44" Type="http://schemas.openxmlformats.org/officeDocument/2006/relationships/hyperlink" Target="https://zakupki.gov.ru/epz/order/notice/ea20/view/common-info.html?regNumber=0873400003924000028" TargetMode="External"/><Relationship Id="rId52" Type="http://schemas.openxmlformats.org/officeDocument/2006/relationships/hyperlink" Target="https://zakupki.gov.ru/epz/order/notice/ea20/view/common-info.html?regNumber=0873400003924000036" TargetMode="External"/><Relationship Id="rId60" Type="http://schemas.openxmlformats.org/officeDocument/2006/relationships/hyperlink" Target="https://zakupki.gov.ru/epz/order/notice/ea20/view/common-info.html?regNumber=0873400003924000075" TargetMode="External"/><Relationship Id="rId65" Type="http://schemas.openxmlformats.org/officeDocument/2006/relationships/hyperlink" Target="https://zakupki.gov.ru/epz/order/notice/ea20/view/common-info.html?regNumber=0873400003924000105" TargetMode="External"/><Relationship Id="rId73" Type="http://schemas.openxmlformats.org/officeDocument/2006/relationships/hyperlink" Target="https://zakupki.gov.ru/epz/order/notice/ea20/view/common-info.html?regNumber=0873400003924000116" TargetMode="External"/><Relationship Id="rId78" Type="http://schemas.openxmlformats.org/officeDocument/2006/relationships/hyperlink" Target="https://zakupki.gov.ru/epz/order/notice/ea20/view/common-info.html?regNumber=0873400003924000130" TargetMode="External"/><Relationship Id="rId81" Type="http://schemas.openxmlformats.org/officeDocument/2006/relationships/hyperlink" Target="https://zakupki.gov.ru/epz/order/notice/ea20/view/common-info.html?regNumber=0873400003924000146" TargetMode="External"/><Relationship Id="rId4" Type="http://schemas.openxmlformats.org/officeDocument/2006/relationships/hyperlink" Target="https://zakupki.gov.ru/epz/order/notice/ea20/view/common-info.html?regNumber=0873400003923000499" TargetMode="External"/><Relationship Id="rId9" Type="http://schemas.openxmlformats.org/officeDocument/2006/relationships/hyperlink" Target="https://zakupki.gov.ru/epz/order/notice/ea20/view/common-info.html?regNumber=0873400003923000647" TargetMode="External"/><Relationship Id="rId13" Type="http://schemas.openxmlformats.org/officeDocument/2006/relationships/hyperlink" Target="https://zakupki.gov.ru/epz/order/notice/ea20/view/common-info.html?regNumber=0873400003923000691" TargetMode="External"/><Relationship Id="rId18" Type="http://schemas.openxmlformats.org/officeDocument/2006/relationships/hyperlink" Target="https://zakupki.gov.ru/epz/order/notice/ea20/view/common-info.html?regNumber=0873400003923000699" TargetMode="External"/><Relationship Id="rId39" Type="http://schemas.openxmlformats.org/officeDocument/2006/relationships/hyperlink" Target="https://zakupki.gov.ru/epz/order/notice/ea20/view/common-info.html?regNumber=0873400003924000023" TargetMode="External"/><Relationship Id="rId34" Type="http://schemas.openxmlformats.org/officeDocument/2006/relationships/hyperlink" Target="https://zakupki.gov.ru/epz/order/notice/ea20/view/common-info.html?regNumber=0873400003924000015" TargetMode="External"/><Relationship Id="rId50" Type="http://schemas.openxmlformats.org/officeDocument/2006/relationships/hyperlink" Target="https://zakupki.gov.ru/epz/order/notice/ea20/view/common-info.html?regNumber=0873400003924000034" TargetMode="External"/><Relationship Id="rId55" Type="http://schemas.openxmlformats.org/officeDocument/2006/relationships/hyperlink" Target="https://zakupki.gov.ru/epz/order/notice/ea20/view/common-info.html?regNumber=0873400003924000050" TargetMode="External"/><Relationship Id="rId76" Type="http://schemas.openxmlformats.org/officeDocument/2006/relationships/hyperlink" Target="https://zakupki.gov.ru/epz/order/notice/ea20/view/common-info.html?regNumber=0873400003924000122" TargetMode="External"/><Relationship Id="rId7" Type="http://schemas.openxmlformats.org/officeDocument/2006/relationships/hyperlink" Target="https://zakupki.gov.ru/epz/order/notice/ea20/view/common-info.html?regNumber=0873400003923000614" TargetMode="External"/><Relationship Id="rId71" Type="http://schemas.openxmlformats.org/officeDocument/2006/relationships/hyperlink" Target="https://zakupki.gov.ru/epz/order/notice/ea20/view/common-info.html?regNumber=0873400003924000114" TargetMode="External"/><Relationship Id="rId2" Type="http://schemas.openxmlformats.org/officeDocument/2006/relationships/hyperlink" Target="https://zakupki.gov.ru/epz/order/notice/ea20/view/common-info.html?regNumber=0873400003923000475" TargetMode="External"/><Relationship Id="rId29" Type="http://schemas.openxmlformats.org/officeDocument/2006/relationships/hyperlink" Target="https://zakupki.gov.ru/epz/order/notice/ea20/view/common-info.html?regNumber=0873400003924000009" TargetMode="External"/><Relationship Id="rId24" Type="http://schemas.openxmlformats.org/officeDocument/2006/relationships/hyperlink" Target="https://zakupki.gov.ru/epz/order/notice/ea20/view/common-info.html?regNumber=0873400003924000004" TargetMode="External"/><Relationship Id="rId40" Type="http://schemas.openxmlformats.org/officeDocument/2006/relationships/hyperlink" Target="https://zakupki.gov.ru/epz/order/notice/ea20/view/common-info.html?regNumber=0873400003924000024" TargetMode="External"/><Relationship Id="rId45" Type="http://schemas.openxmlformats.org/officeDocument/2006/relationships/hyperlink" Target="https://zakupki.gov.ru/epz/order/notice/ea20/view/common-info.html?regNumber=0873400003924000029" TargetMode="External"/><Relationship Id="rId66" Type="http://schemas.openxmlformats.org/officeDocument/2006/relationships/hyperlink" Target="https://zakupki.gov.ru/epz/order/notice/ea20/view/common-info.html?regNumber=0873400003924000106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zakupki.gov.ru/epz/order/notice/ea20/view/common-info.html?regNumber=0873400003924000091" TargetMode="External"/><Relationship Id="rId13" Type="http://schemas.openxmlformats.org/officeDocument/2006/relationships/hyperlink" Target="https://zakupki.gov.ru/epz/order/notice/ea20/view/common-info.html?regNumber=0873400003924000101" TargetMode="External"/><Relationship Id="rId18" Type="http://schemas.openxmlformats.org/officeDocument/2006/relationships/hyperlink" Target="https://zakupki.gov.ru/epz/order/notice/ea20/view/common-info.html?regNumber=0873400003924000110" TargetMode="External"/><Relationship Id="rId3" Type="http://schemas.openxmlformats.org/officeDocument/2006/relationships/hyperlink" Target="https://zakupki.gov.ru/epz/order/notice/ea20/view/common-info.html?regNumber=0873400003924000083" TargetMode="External"/><Relationship Id="rId21" Type="http://schemas.openxmlformats.org/officeDocument/2006/relationships/hyperlink" Target="https://zakupki.gov.ru/epz/order/notice/ea20/view/common-info.html?regNumber=0873400003924000121" TargetMode="External"/><Relationship Id="rId7" Type="http://schemas.openxmlformats.org/officeDocument/2006/relationships/hyperlink" Target="https://zakupki.gov.ru/epz/order/notice/ea20/view/common-info.html?regNumber=0873400003924000090" TargetMode="External"/><Relationship Id="rId12" Type="http://schemas.openxmlformats.org/officeDocument/2006/relationships/hyperlink" Target="https://zakupki.gov.ru/epz/order/notice/ea20/view/common-info.html?regNumber=0873400003924000098" TargetMode="External"/><Relationship Id="rId17" Type="http://schemas.openxmlformats.org/officeDocument/2006/relationships/hyperlink" Target="https://zakupki.gov.ru/epz/order/notice/ea20/view/common-info.html?regNumber=0873400003924000108" TargetMode="External"/><Relationship Id="rId2" Type="http://schemas.openxmlformats.org/officeDocument/2006/relationships/hyperlink" Target="https://zakupki.gov.ru/epz/order/notice/ea20/view/common-info.html?regNumber=0873400003923000514" TargetMode="External"/><Relationship Id="rId16" Type="http://schemas.openxmlformats.org/officeDocument/2006/relationships/hyperlink" Target="https://zakupki.gov.ru/epz/order/notice/ea20/view/common-info.html?regNumber=0873400003924000107" TargetMode="External"/><Relationship Id="rId20" Type="http://schemas.openxmlformats.org/officeDocument/2006/relationships/hyperlink" Target="https://zakupki.gov.ru/epz/order/notice/ea20/view/common-info.html?regNumber=0873400003924000118" TargetMode="External"/><Relationship Id="rId1" Type="http://schemas.openxmlformats.org/officeDocument/2006/relationships/hyperlink" Target="https://zakupki.gov.ru/epz/order/notice/ea20/view/common-info.html?regNumber=0873400003923000492" TargetMode="External"/><Relationship Id="rId6" Type="http://schemas.openxmlformats.org/officeDocument/2006/relationships/hyperlink" Target="https://zakupki.gov.ru/epz/order/notice/ea20/view/common-info.html?regNumber=0873400003924000089" TargetMode="External"/><Relationship Id="rId11" Type="http://schemas.openxmlformats.org/officeDocument/2006/relationships/hyperlink" Target="https://zakupki.gov.ru/epz/order/notice/ea20/view/common-info.html?regNumber=0873400003924000095" TargetMode="External"/><Relationship Id="rId5" Type="http://schemas.openxmlformats.org/officeDocument/2006/relationships/hyperlink" Target="https://zakupki.gov.ru/epz/order/notice/ea20/view/common-info.html?regNumber=0873400003924000085" TargetMode="External"/><Relationship Id="rId15" Type="http://schemas.openxmlformats.org/officeDocument/2006/relationships/hyperlink" Target="https://zakupki.gov.ru/epz/order/notice/ea20/view/common-info.html?regNumber=0873400003924000104" TargetMode="External"/><Relationship Id="rId10" Type="http://schemas.openxmlformats.org/officeDocument/2006/relationships/hyperlink" Target="https://zakupki.gov.ru/epz/order/notice/ea20/view/common-info.html?regNumber=0873400003924000094" TargetMode="External"/><Relationship Id="rId19" Type="http://schemas.openxmlformats.org/officeDocument/2006/relationships/hyperlink" Target="https://zakupki.gov.ru/epz/order/notice/ea20/view/common-info.html?regNumber=0873400003924000117" TargetMode="External"/><Relationship Id="rId4" Type="http://schemas.openxmlformats.org/officeDocument/2006/relationships/hyperlink" Target="https://zakupki.gov.ru/epz/order/notice/ea20/view/common-info.html?regNumber=0873400003924000084" TargetMode="External"/><Relationship Id="rId9" Type="http://schemas.openxmlformats.org/officeDocument/2006/relationships/hyperlink" Target="https://zakupki.gov.ru/epz/order/notice/ea20/view/common-info.html?regNumber=0873400003924000093" TargetMode="External"/><Relationship Id="rId14" Type="http://schemas.openxmlformats.org/officeDocument/2006/relationships/hyperlink" Target="https://zakupki.gov.ru/epz/order/notice/ea20/view/common-info.html?regNumber=0873400003924000102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zakupki.gov.ru/epz/order/notice/ea20/view/common-info.html?regNumber=0873400003923000737" TargetMode="External"/><Relationship Id="rId13" Type="http://schemas.openxmlformats.org/officeDocument/2006/relationships/hyperlink" Target="https://zakupki.gov.ru/epz/order/notice/ea20/view/common-info.html?regNumber=0873400003924000038" TargetMode="External"/><Relationship Id="rId18" Type="http://schemas.openxmlformats.org/officeDocument/2006/relationships/hyperlink" Target="https://zakupki.gov.ru/epz/order/notice/ea20/view/common-info.html?regNumber=0873400003924000044" TargetMode="External"/><Relationship Id="rId26" Type="http://schemas.openxmlformats.org/officeDocument/2006/relationships/hyperlink" Target="https://zakupki.gov.ru/epz/order/notice/ea20/view/common-info.html?regNumber=0873400003924000059" TargetMode="External"/><Relationship Id="rId3" Type="http://schemas.openxmlformats.org/officeDocument/2006/relationships/hyperlink" Target="https://zakupki.gov.ru/epz/order/notice/ea20/view/common-info.html?regNumber=0873400003923000732" TargetMode="External"/><Relationship Id="rId21" Type="http://schemas.openxmlformats.org/officeDocument/2006/relationships/hyperlink" Target="https://zakupki.gov.ru/epz/order/notice/ea20/view/common-info.html?regNumber=0873400003924000047" TargetMode="External"/><Relationship Id="rId7" Type="http://schemas.openxmlformats.org/officeDocument/2006/relationships/hyperlink" Target="https://zakupki.gov.ru/epz/order/notice/ea20/view/common-info.html?regNumber=0873400003923000736" TargetMode="External"/><Relationship Id="rId12" Type="http://schemas.openxmlformats.org/officeDocument/2006/relationships/hyperlink" Target="https://zakupki.gov.ru/epz/order/notice/ea20/view/common-info.html?regNumber=0873400003924000037" TargetMode="External"/><Relationship Id="rId17" Type="http://schemas.openxmlformats.org/officeDocument/2006/relationships/hyperlink" Target="https://zakupki.gov.ru/epz/order/notice/ea20/view/common-info.html?regNumber=0873400003924000043" TargetMode="External"/><Relationship Id="rId25" Type="http://schemas.openxmlformats.org/officeDocument/2006/relationships/hyperlink" Target="https://zakupki.gov.ru/epz/order/notice/ea20/view/common-info.html?regNumber=0873400003924000055" TargetMode="External"/><Relationship Id="rId2" Type="http://schemas.openxmlformats.org/officeDocument/2006/relationships/hyperlink" Target="https://zakupki.gov.ru/epz/order/notice/ea20/view/common-info.html?regNumber=0873400003923000727" TargetMode="External"/><Relationship Id="rId16" Type="http://schemas.openxmlformats.org/officeDocument/2006/relationships/hyperlink" Target="https://zakupki.gov.ru/epz/order/notice/ea20/view/common-info.html?regNumber=0873400003924000042" TargetMode="External"/><Relationship Id="rId20" Type="http://schemas.openxmlformats.org/officeDocument/2006/relationships/hyperlink" Target="https://zakupki.gov.ru/epz/order/notice/ea20/view/common-info.html?regNumber=0873400003924000046" TargetMode="External"/><Relationship Id="rId29" Type="http://schemas.openxmlformats.org/officeDocument/2006/relationships/hyperlink" Target="https://zakupki.gov.ru/epz/order/notice/ea20/view/common-info.html?regNumber=0873400003924000062" TargetMode="External"/><Relationship Id="rId1" Type="http://schemas.openxmlformats.org/officeDocument/2006/relationships/hyperlink" Target="https://zakupki.gov.ru/epz/order/notice/ea20/view/common-info.html?regNumber=0873400003923000230" TargetMode="External"/><Relationship Id="rId6" Type="http://schemas.openxmlformats.org/officeDocument/2006/relationships/hyperlink" Target="https://zakupki.gov.ru/epz/order/notice/ea20/view/common-info.html?regNumber=0873400003923000735" TargetMode="External"/><Relationship Id="rId11" Type="http://schemas.openxmlformats.org/officeDocument/2006/relationships/hyperlink" Target="https://zakupki.gov.ru/epz/order/notice/ea20/view/common-info.html?regNumber=0873400003923000740" TargetMode="External"/><Relationship Id="rId24" Type="http://schemas.openxmlformats.org/officeDocument/2006/relationships/hyperlink" Target="https://zakupki.gov.ru/epz/order/notice/ea20/view/common-info.html?regNumber=0873400003924000053" TargetMode="External"/><Relationship Id="rId5" Type="http://schemas.openxmlformats.org/officeDocument/2006/relationships/hyperlink" Target="https://zakupki.gov.ru/epz/order/notice/ea20/view/common-info.html?regNumber=0873400003923000734" TargetMode="External"/><Relationship Id="rId15" Type="http://schemas.openxmlformats.org/officeDocument/2006/relationships/hyperlink" Target="https://zakupki.gov.ru/epz/order/notice/ea20/view/common-info.html?regNumber=0873400003924000041" TargetMode="External"/><Relationship Id="rId23" Type="http://schemas.openxmlformats.org/officeDocument/2006/relationships/hyperlink" Target="https://zakupki.gov.ru/epz/order/notice/ea20/view/common-info.html?regNumber=0873400003924000052" TargetMode="External"/><Relationship Id="rId28" Type="http://schemas.openxmlformats.org/officeDocument/2006/relationships/hyperlink" Target="https://zakupki.gov.ru/epz/order/notice/ea20/view/common-info.html?regNumber=0873400003924000061" TargetMode="External"/><Relationship Id="rId10" Type="http://schemas.openxmlformats.org/officeDocument/2006/relationships/hyperlink" Target="https://zakupki.gov.ru/epz/order/notice/ea20/view/common-info.html?regNumber=0873400003923000739" TargetMode="External"/><Relationship Id="rId19" Type="http://schemas.openxmlformats.org/officeDocument/2006/relationships/hyperlink" Target="https://zakupki.gov.ru/epz/order/notice/ea20/view/common-info.html?regNumber=0873400003924000045" TargetMode="External"/><Relationship Id="rId31" Type="http://schemas.openxmlformats.org/officeDocument/2006/relationships/hyperlink" Target="https://zakupki.gov.ru/epz/order/notice/ea20/view/common-info.html?regNumber=0873400003924000092" TargetMode="External"/><Relationship Id="rId4" Type="http://schemas.openxmlformats.org/officeDocument/2006/relationships/hyperlink" Target="https://zakupki.gov.ru/epz/order/notice/ea20/view/common-info.html?regNumber=0873400003923000733" TargetMode="External"/><Relationship Id="rId9" Type="http://schemas.openxmlformats.org/officeDocument/2006/relationships/hyperlink" Target="https://zakupki.gov.ru/epz/order/notice/ea20/view/common-info.html?regNumber=0873400003923000738" TargetMode="External"/><Relationship Id="rId14" Type="http://schemas.openxmlformats.org/officeDocument/2006/relationships/hyperlink" Target="https://zakupki.gov.ru/epz/order/notice/ea20/view/common-info.html?regNumber=0873400003924000039" TargetMode="External"/><Relationship Id="rId22" Type="http://schemas.openxmlformats.org/officeDocument/2006/relationships/hyperlink" Target="https://zakupki.gov.ru/epz/order/notice/ea20/view/common-info.html?regNumber=0873400003924000049" TargetMode="External"/><Relationship Id="rId27" Type="http://schemas.openxmlformats.org/officeDocument/2006/relationships/hyperlink" Target="https://zakupki.gov.ru/epz/order/notice/ea20/view/common-info.html?regNumber=0873400003924000060" TargetMode="External"/><Relationship Id="rId30" Type="http://schemas.openxmlformats.org/officeDocument/2006/relationships/hyperlink" Target="https://zakupki.gov.ru/epz/order/notice/ea20/view/common-info.html?regNumber=0873400003924000063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zakupki.gov.ru/epz/order/notice/ea20/view/common-info.html?regNumber=0873400003923000519" TargetMode="External"/><Relationship Id="rId21" Type="http://schemas.openxmlformats.org/officeDocument/2006/relationships/hyperlink" Target="https://zakupki.gov.ru/epz/order/notice/ea20/view/common-info.html?regNumber=0873400003923000494" TargetMode="External"/><Relationship Id="rId34" Type="http://schemas.openxmlformats.org/officeDocument/2006/relationships/hyperlink" Target="https://zakupki.gov.ru/epz/order/notice/ea20/view/common-info.html?regNumber=0873400003923000534" TargetMode="External"/><Relationship Id="rId42" Type="http://schemas.openxmlformats.org/officeDocument/2006/relationships/hyperlink" Target="https://zakupki.gov.ru/epz/order/notice/ea20/view/common-info.html?regNumber=0873400003923000678" TargetMode="External"/><Relationship Id="rId47" Type="http://schemas.openxmlformats.org/officeDocument/2006/relationships/hyperlink" Target="https://zakupki.gov.ru/epz/order/notice/ea20/view/common-info.html?regNumber=0873400003923000702" TargetMode="External"/><Relationship Id="rId50" Type="http://schemas.openxmlformats.org/officeDocument/2006/relationships/hyperlink" Target="https://zakupki.gov.ru/epz/order/notice/ea20/view/common-info.html?regNumber=0873400003923000705" TargetMode="External"/><Relationship Id="rId55" Type="http://schemas.openxmlformats.org/officeDocument/2006/relationships/hyperlink" Target="https://zakupki.gov.ru/epz/order/notice/ea20/view/common-info.html?regNumber=0873400003924000018" TargetMode="External"/><Relationship Id="rId63" Type="http://schemas.openxmlformats.org/officeDocument/2006/relationships/hyperlink" Target="https://zakupki.gov.ru/epz/order/notice/ea20/view/common-info.html?regNumber=0873400003924000070" TargetMode="External"/><Relationship Id="rId68" Type="http://schemas.openxmlformats.org/officeDocument/2006/relationships/hyperlink" Target="https://zakupki.gov.ru/epz/order/notice/ea20/view/common-info.html?regNumber=0873400003924000123" TargetMode="External"/><Relationship Id="rId7" Type="http://schemas.openxmlformats.org/officeDocument/2006/relationships/hyperlink" Target="https://zakupki.gov.ru/epz/order/notice/ea20/view/common-info.html?regNumber=0873400003923000450" TargetMode="External"/><Relationship Id="rId2" Type="http://schemas.openxmlformats.org/officeDocument/2006/relationships/hyperlink" Target="https://zakupki.gov.ru/epz/order/notice/ea20/view/common-info.html?regNumber=0873400003923000436" TargetMode="External"/><Relationship Id="rId16" Type="http://schemas.openxmlformats.org/officeDocument/2006/relationships/hyperlink" Target="https://zakupki.gov.ru/epz/order/notice/ea20/view/common-info.html?regNumber=0873400003923000474" TargetMode="External"/><Relationship Id="rId29" Type="http://schemas.openxmlformats.org/officeDocument/2006/relationships/hyperlink" Target="https://zakupki.gov.ru/epz/order/notice/ea20/view/common-info.html?regNumber=0873400003923000526" TargetMode="External"/><Relationship Id="rId11" Type="http://schemas.openxmlformats.org/officeDocument/2006/relationships/hyperlink" Target="https://zakupki.gov.ru/epz/order/notice/ea20/view/common-info.html?regNumber=08734000039230004560" TargetMode="External"/><Relationship Id="rId24" Type="http://schemas.openxmlformats.org/officeDocument/2006/relationships/hyperlink" Target="https://zakupki.gov.ru/epz/order/notice/ea20/view/common-info.html?regNumber=0873400003923000515" TargetMode="External"/><Relationship Id="rId32" Type="http://schemas.openxmlformats.org/officeDocument/2006/relationships/hyperlink" Target="https://zakupki.gov.ru/epz/order/notice/ea20/view/common-info.html?regNumber=0873400003923000529" TargetMode="External"/><Relationship Id="rId37" Type="http://schemas.openxmlformats.org/officeDocument/2006/relationships/hyperlink" Target="https://zakupki.gov.ru/epz/order/notice/ea20/view/common-info.html?regNumber=0873400003923000590" TargetMode="External"/><Relationship Id="rId40" Type="http://schemas.openxmlformats.org/officeDocument/2006/relationships/hyperlink" Target="https://zakupki.gov.ru/epz/order/notice/ea20/view/common-info.html?regNumber=0873400003923000651" TargetMode="External"/><Relationship Id="rId45" Type="http://schemas.openxmlformats.org/officeDocument/2006/relationships/hyperlink" Target="https://zakupki.gov.ru/epz/order/notice/ea20/view/common-info.html?regNumber=0873400003923000700" TargetMode="External"/><Relationship Id="rId53" Type="http://schemas.openxmlformats.org/officeDocument/2006/relationships/hyperlink" Target="https://zakupki.gov.ru/epz/order/notice/ea20/view/common-info.html?regNumber=0873400003924000016" TargetMode="External"/><Relationship Id="rId58" Type="http://schemas.openxmlformats.org/officeDocument/2006/relationships/hyperlink" Target="https://zakupki.gov.ru/epz/order/notice/ea20/view/common-info.html?regNumber=0873400003924000058" TargetMode="External"/><Relationship Id="rId66" Type="http://schemas.openxmlformats.org/officeDocument/2006/relationships/hyperlink" Target="https://zakupki.gov.ru/epz/order/notice/ea20/view/common-info.html?regNumber=0873400003924000078" TargetMode="External"/><Relationship Id="rId5" Type="http://schemas.openxmlformats.org/officeDocument/2006/relationships/hyperlink" Target="https://zakupki.gov.ru/epz/order/notice/ea20/view/common-info.html?regNumber=0873400003923000446" TargetMode="External"/><Relationship Id="rId61" Type="http://schemas.openxmlformats.org/officeDocument/2006/relationships/hyperlink" Target="https://zakupki.gov.ru/epz/order/notice/ea20/view/common-info.html?regNumber=0873400003924000068" TargetMode="External"/><Relationship Id="rId19" Type="http://schemas.openxmlformats.org/officeDocument/2006/relationships/hyperlink" Target="https://zakupki.gov.ru/epz/order/notice/ea20/view/common-info.html?regNumber=0873400003923000486" TargetMode="External"/><Relationship Id="rId14" Type="http://schemas.openxmlformats.org/officeDocument/2006/relationships/hyperlink" Target="https://zakupki.gov.ru/epz/order/notice/ea20/view/common-info.html?regNumber=0873400003923000468" TargetMode="External"/><Relationship Id="rId22" Type="http://schemas.openxmlformats.org/officeDocument/2006/relationships/hyperlink" Target="https://zakupki.gov.ru/epz/order/notice/ea20/view/common-info.html?regNumber=0873400003923000511" TargetMode="External"/><Relationship Id="rId27" Type="http://schemas.openxmlformats.org/officeDocument/2006/relationships/hyperlink" Target="https://zakupki.gov.ru/epz/order/notice/ea20/view/common-info.html?regNumber=0873400003923000521" TargetMode="External"/><Relationship Id="rId30" Type="http://schemas.openxmlformats.org/officeDocument/2006/relationships/hyperlink" Target="https://zakupki.gov.ru/epz/order/notice/ea20/view/common-info.html?regNumber=0873400003923000527" TargetMode="External"/><Relationship Id="rId35" Type="http://schemas.openxmlformats.org/officeDocument/2006/relationships/hyperlink" Target="https://zakupki.gov.ru/epz/order/notice/ea20/view/common-info.html?regNumber=0873400003923000551" TargetMode="External"/><Relationship Id="rId43" Type="http://schemas.openxmlformats.org/officeDocument/2006/relationships/hyperlink" Target="https://zakupki.gov.ru/epz/order/notice/ea20/view/common-info.html?regNumber=0873400003923000685" TargetMode="External"/><Relationship Id="rId48" Type="http://schemas.openxmlformats.org/officeDocument/2006/relationships/hyperlink" Target="https://zakupki.gov.ru/epz/order/notice/ea20/view/common-info.html?regNumber=0873400003923000703" TargetMode="External"/><Relationship Id="rId56" Type="http://schemas.openxmlformats.org/officeDocument/2006/relationships/hyperlink" Target="https://zakupki.gov.ru/epz/order/notice/ea20/view/common-info.html?regNumber=0873400003924000056" TargetMode="External"/><Relationship Id="rId64" Type="http://schemas.openxmlformats.org/officeDocument/2006/relationships/hyperlink" Target="https://zakupki.gov.ru/epz/order/notice/ea20/view/common-info.html?regNumber=0873400003924000071" TargetMode="External"/><Relationship Id="rId8" Type="http://schemas.openxmlformats.org/officeDocument/2006/relationships/hyperlink" Target="https://zakupki.gov.ru/epz/order/notice/ea20/view/common-info.html?regNumber=0873400003923000452" TargetMode="External"/><Relationship Id="rId51" Type="http://schemas.openxmlformats.org/officeDocument/2006/relationships/hyperlink" Target="https://zakupki.gov.ru/epz/order/notice/ea20/view/common-info.html?regNumber=0873400003923000742" TargetMode="External"/><Relationship Id="rId3" Type="http://schemas.openxmlformats.org/officeDocument/2006/relationships/hyperlink" Target="https://zakupki.gov.ru/epz/order/notice/ea20/view/common-info.html?regNumber=0873400003923000442" TargetMode="External"/><Relationship Id="rId12" Type="http://schemas.openxmlformats.org/officeDocument/2006/relationships/hyperlink" Target="https://zakupki.gov.ru/epz/order/notice/ea20/view/common-info.html?regNumber=0873400003923000463" TargetMode="External"/><Relationship Id="rId17" Type="http://schemas.openxmlformats.org/officeDocument/2006/relationships/hyperlink" Target="https://zakupki.gov.ru/epz/order/notice/ea20/view/common-info.html?regNumber=0873400003923000484" TargetMode="External"/><Relationship Id="rId25" Type="http://schemas.openxmlformats.org/officeDocument/2006/relationships/hyperlink" Target="https://zakupki.gov.ru/epz/order/notice/ea20/view/common-info.html?regNumber=0873400003923000517" TargetMode="External"/><Relationship Id="rId33" Type="http://schemas.openxmlformats.org/officeDocument/2006/relationships/hyperlink" Target="https://zakupki.gov.ru/epz/order/notice/ea20/view/common-info.html?regNumber=0873400003923000531" TargetMode="External"/><Relationship Id="rId38" Type="http://schemas.openxmlformats.org/officeDocument/2006/relationships/hyperlink" Target="https://zakupki.gov.ru/epz/order/notice/ea20/view/common-info.html?regNumber=0873400003923000592" TargetMode="External"/><Relationship Id="rId46" Type="http://schemas.openxmlformats.org/officeDocument/2006/relationships/hyperlink" Target="https://zakupki.gov.ru/epz/order/notice/ea20/view/common-info.html?regNumber=0873400003923000701" TargetMode="External"/><Relationship Id="rId59" Type="http://schemas.openxmlformats.org/officeDocument/2006/relationships/hyperlink" Target="https://zakupki.gov.ru/epz/order/notice/ea20/view/common-info.html?regNumber=0873400003924000066" TargetMode="External"/><Relationship Id="rId67" Type="http://schemas.openxmlformats.org/officeDocument/2006/relationships/hyperlink" Target="https://zakupki.gov.ru/epz/order/notice/ea20/view/common-info.html?regNumber=0873400003924000097" TargetMode="External"/><Relationship Id="rId20" Type="http://schemas.openxmlformats.org/officeDocument/2006/relationships/hyperlink" Target="https://zakupki.gov.ru/epz/order/notice/ea20/view/common-info.html?regNumber=0873400003923000487" TargetMode="External"/><Relationship Id="rId41" Type="http://schemas.openxmlformats.org/officeDocument/2006/relationships/hyperlink" Target="https://zakupki.gov.ru/epz/order/notice/ea20/view/common-info.html?regNumber=0873400003923000667" TargetMode="External"/><Relationship Id="rId54" Type="http://schemas.openxmlformats.org/officeDocument/2006/relationships/hyperlink" Target="https://zakupki.gov.ru/epz/order/notice/ea20/view/common-info.html?regNumber=0873400003924000017" TargetMode="External"/><Relationship Id="rId62" Type="http://schemas.openxmlformats.org/officeDocument/2006/relationships/hyperlink" Target="https://zakupki.gov.ru/epz/order/notice/ea20/view/common-info.html?regNumber=0873400003924000069" TargetMode="External"/><Relationship Id="rId1" Type="http://schemas.openxmlformats.org/officeDocument/2006/relationships/hyperlink" Target="https://zakupki.gov.ru/epz/order/notice/ea20/view/common-info.html?regNumber=0873400003923000432" TargetMode="External"/><Relationship Id="rId6" Type="http://schemas.openxmlformats.org/officeDocument/2006/relationships/hyperlink" Target="https://zakupki.gov.ru/epz/order/notice/ea20/view/common-info.html?regNumber=0873400003923000447" TargetMode="External"/><Relationship Id="rId15" Type="http://schemas.openxmlformats.org/officeDocument/2006/relationships/hyperlink" Target="https://zakupki.gov.ru/epz/order/notice/ea20/view/common-info.html?regNumber=0873400003923000472" TargetMode="External"/><Relationship Id="rId23" Type="http://schemas.openxmlformats.org/officeDocument/2006/relationships/hyperlink" Target="https://zakupki.gov.ru/epz/order/notice/ea20/view/common-info.html?regNumber=0873400003923000512" TargetMode="External"/><Relationship Id="rId28" Type="http://schemas.openxmlformats.org/officeDocument/2006/relationships/hyperlink" Target="https://zakupki.gov.ru/epz/order/notice/ea20/view/common-info.html?regNumber=0873400003923000522" TargetMode="External"/><Relationship Id="rId36" Type="http://schemas.openxmlformats.org/officeDocument/2006/relationships/hyperlink" Target="https://zakupki.gov.ru/epz/order/notice/ea20/view/common-info.html?regNumber=0873400003923000577" TargetMode="External"/><Relationship Id="rId49" Type="http://schemas.openxmlformats.org/officeDocument/2006/relationships/hyperlink" Target="https://zakupki.gov.ru/epz/order/notice/ea20/view/common-info.html?regNumber=0873400003923000704" TargetMode="External"/><Relationship Id="rId57" Type="http://schemas.openxmlformats.org/officeDocument/2006/relationships/hyperlink" Target="https://zakupki.gov.ru/epz/order/notice/ea20/view/common-info.html?regNumber=0873400003924000057" TargetMode="External"/><Relationship Id="rId10" Type="http://schemas.openxmlformats.org/officeDocument/2006/relationships/hyperlink" Target="https://zakupki.gov.ru/epz/order/notice/ea20/view/common-info.html?regNumber=0873400003923000456" TargetMode="External"/><Relationship Id="rId31" Type="http://schemas.openxmlformats.org/officeDocument/2006/relationships/hyperlink" Target="https://zakupki.gov.ru/epz/order/notice/ea20/view/common-info.html?regNumber=0873400003923000528" TargetMode="External"/><Relationship Id="rId44" Type="http://schemas.openxmlformats.org/officeDocument/2006/relationships/hyperlink" Target="https://zakupki.gov.ru/epz/order/notice/ea20/view/common-info.html?regNumber=0873400003923000694" TargetMode="External"/><Relationship Id="rId52" Type="http://schemas.openxmlformats.org/officeDocument/2006/relationships/hyperlink" Target="https://zakupki.gov.ru/epz/order/notice/ea20/view/common-info.html?regNumber=0873400003924000014" TargetMode="External"/><Relationship Id="rId60" Type="http://schemas.openxmlformats.org/officeDocument/2006/relationships/hyperlink" Target="https://zakupki.gov.ru/epz/order/notice/ea20/view/common-info.html?regNumber=0873400003924000067" TargetMode="External"/><Relationship Id="rId65" Type="http://schemas.openxmlformats.org/officeDocument/2006/relationships/hyperlink" Target="https://zakupki.gov.ru/epz/order/notice/ea20/view/common-info.html?regNumber=0873400003924000072" TargetMode="External"/><Relationship Id="rId4" Type="http://schemas.openxmlformats.org/officeDocument/2006/relationships/hyperlink" Target="https://zakupki.gov.ru/epz/order/notice/ea20/view/common-info.html?regNumber=0873400003923000445" TargetMode="External"/><Relationship Id="rId9" Type="http://schemas.openxmlformats.org/officeDocument/2006/relationships/hyperlink" Target="https://zakupki.gov.ru/epz/order/notice/ea20/view/common-info.html?regNumber=0873400003923000455" TargetMode="External"/><Relationship Id="rId13" Type="http://schemas.openxmlformats.org/officeDocument/2006/relationships/hyperlink" Target="https://zakupki.gov.ru/epz/order/notice/ea20/view/common-info.html?regNumber=0873400003923000467" TargetMode="External"/><Relationship Id="rId18" Type="http://schemas.openxmlformats.org/officeDocument/2006/relationships/hyperlink" Target="https://zakupki.gov.ru/epz/order/notice/ea20/view/common-info.html?regNumber=0873400003923000485" TargetMode="External"/><Relationship Id="rId39" Type="http://schemas.openxmlformats.org/officeDocument/2006/relationships/hyperlink" Target="https://zakupki.gov.ru/epz/order/notice/ea20/view/common-info.html?regNumber=08734000039230006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5B4A3-560C-4FF6-BEB4-D3AF9A529A27}">
  <dimension ref="A1:AZ615"/>
  <sheetViews>
    <sheetView tabSelected="1" zoomScale="80" zoomScaleNormal="80" workbookViewId="0">
      <pane xSplit="1" ySplit="2" topLeftCell="B184" activePane="bottomRight" state="frozen"/>
      <selection pane="topRight" activeCell="D1" sqref="D1"/>
      <selection pane="bottomLeft" activeCell="A3" sqref="A3"/>
      <selection pane="bottomRight" activeCell="A187" sqref="A187"/>
    </sheetView>
  </sheetViews>
  <sheetFormatPr defaultColWidth="9.140625" defaultRowHeight="15.75" x14ac:dyDescent="0.25"/>
  <cols>
    <col min="1" max="1" width="23.85546875" style="20" customWidth="1"/>
    <col min="2" max="2" width="15.140625" style="70" customWidth="1"/>
    <col min="3" max="3" width="16" style="20" customWidth="1"/>
    <col min="4" max="4" width="24.7109375" style="20" customWidth="1"/>
    <col min="5" max="5" width="25.7109375" style="20" customWidth="1"/>
    <col min="6" max="6" width="15.140625" style="69" customWidth="1"/>
    <col min="7" max="7" width="33.42578125" style="51" customWidth="1"/>
    <col min="8" max="8" width="19.140625" style="71" customWidth="1"/>
    <col min="9" max="9" width="38.28515625" style="20" customWidth="1"/>
    <col min="10" max="13" width="22.140625" style="51" customWidth="1"/>
    <col min="14" max="14" width="19.140625" style="51" customWidth="1"/>
    <col min="15" max="15" width="21.28515625" style="20" customWidth="1"/>
    <col min="16" max="16" width="21.7109375" style="20" customWidth="1"/>
    <col min="17" max="17" width="19.5703125" style="20" customWidth="1"/>
    <col min="18" max="18" width="21.42578125" style="20" customWidth="1"/>
    <col min="19" max="19" width="23.5703125" style="20" customWidth="1"/>
    <col min="20" max="20" width="19.85546875" style="20" customWidth="1"/>
    <col min="21" max="21" width="15" style="20" customWidth="1"/>
    <col min="22" max="23" width="14.5703125" style="20" customWidth="1"/>
    <col min="24" max="24" width="20.140625" style="20" customWidth="1"/>
    <col min="25" max="25" width="17.5703125" style="72" customWidth="1"/>
    <col min="26" max="26" width="15.5703125" style="20" customWidth="1"/>
    <col min="27" max="27" width="15.5703125" style="71" customWidth="1"/>
    <col min="28" max="28" width="17.42578125" style="20" customWidth="1"/>
    <col min="29" max="31" width="17" style="20" customWidth="1"/>
    <col min="32" max="32" width="20.85546875" style="20" customWidth="1"/>
    <col min="33" max="33" width="16.42578125" style="20" customWidth="1"/>
    <col min="34" max="34" width="13.7109375" style="20" customWidth="1"/>
    <col min="35" max="35" width="14" style="20" customWidth="1"/>
    <col min="36" max="36" width="13.5703125" style="51" customWidth="1"/>
    <col min="37" max="37" width="14.85546875" style="51" customWidth="1"/>
    <col min="38" max="38" width="15.42578125" style="20" customWidth="1"/>
    <col min="39" max="39" width="14.85546875" style="72" customWidth="1"/>
    <col min="40" max="40" width="15" style="20" customWidth="1"/>
    <col min="41" max="41" width="16.28515625" style="71" customWidth="1"/>
    <col min="42" max="42" width="30.42578125" style="71" customWidth="1"/>
    <col min="43" max="43" width="19" style="51" customWidth="1"/>
    <col min="44" max="44" width="16.28515625" style="51" customWidth="1"/>
    <col min="45" max="45" width="11" style="20" customWidth="1"/>
    <col min="46" max="46" width="14.7109375" style="52" customWidth="1"/>
    <col min="47" max="47" width="12.5703125" style="20" customWidth="1"/>
    <col min="48" max="48" width="13.85546875" style="71" customWidth="1"/>
    <col min="49" max="49" width="8.5703125" style="72" customWidth="1"/>
    <col min="50" max="50" width="7.7109375" style="72" customWidth="1"/>
    <col min="51" max="51" width="18.42578125" style="51" customWidth="1"/>
    <col min="52" max="52" width="17.140625" style="20" customWidth="1"/>
    <col min="53" max="16384" width="9.140625" style="20"/>
  </cols>
  <sheetData>
    <row r="1" spans="1:52" ht="63.75" customHeight="1" x14ac:dyDescent="0.25">
      <c r="A1" s="1" t="s">
        <v>0</v>
      </c>
      <c r="B1" s="2" t="s">
        <v>1</v>
      </c>
      <c r="C1" s="5" t="s">
        <v>2</v>
      </c>
      <c r="D1" s="6" t="s">
        <v>3</v>
      </c>
      <c r="E1" s="4" t="s">
        <v>4</v>
      </c>
      <c r="F1" s="3" t="s">
        <v>5</v>
      </c>
      <c r="G1" s="4" t="s">
        <v>6</v>
      </c>
      <c r="H1" s="4" t="s">
        <v>7</v>
      </c>
      <c r="I1" s="7" t="s">
        <v>8</v>
      </c>
      <c r="J1" s="8" t="s">
        <v>9</v>
      </c>
      <c r="K1" s="9" t="s">
        <v>10</v>
      </c>
      <c r="L1" s="9" t="s">
        <v>11</v>
      </c>
      <c r="M1" s="9" t="s">
        <v>12</v>
      </c>
      <c r="N1" s="8" t="s">
        <v>13</v>
      </c>
      <c r="O1" s="8" t="s">
        <v>14</v>
      </c>
      <c r="P1" s="7" t="s">
        <v>15</v>
      </c>
      <c r="Q1" s="7" t="s">
        <v>16</v>
      </c>
      <c r="R1" s="7" t="s">
        <v>17</v>
      </c>
      <c r="S1" s="8" t="s">
        <v>18</v>
      </c>
      <c r="T1" s="7" t="s">
        <v>19</v>
      </c>
      <c r="U1" s="8" t="s">
        <v>20</v>
      </c>
      <c r="V1" s="8" t="s">
        <v>21</v>
      </c>
      <c r="W1" s="2" t="s">
        <v>22</v>
      </c>
      <c r="X1" s="10" t="s">
        <v>23</v>
      </c>
      <c r="Y1" s="11"/>
      <c r="Z1" s="11"/>
      <c r="AA1" s="11"/>
      <c r="AB1" s="11"/>
      <c r="AC1" s="11"/>
      <c r="AD1" s="11"/>
      <c r="AE1" s="11"/>
      <c r="AF1" s="11"/>
      <c r="AG1" s="12"/>
      <c r="AH1" s="13" t="s">
        <v>24</v>
      </c>
      <c r="AI1" s="14"/>
      <c r="AJ1" s="15"/>
      <c r="AK1" s="13" t="s">
        <v>25</v>
      </c>
      <c r="AL1" s="14"/>
      <c r="AM1" s="15"/>
      <c r="AN1" s="9" t="s">
        <v>26</v>
      </c>
      <c r="AO1" s="16" t="s">
        <v>27</v>
      </c>
      <c r="AP1" s="16" t="s">
        <v>28</v>
      </c>
      <c r="AQ1" s="16" t="s">
        <v>29</v>
      </c>
      <c r="AR1" s="16" t="s">
        <v>30</v>
      </c>
      <c r="AS1" s="7" t="s">
        <v>31</v>
      </c>
      <c r="AT1" s="7" t="s">
        <v>32</v>
      </c>
      <c r="AU1" s="8" t="s">
        <v>33</v>
      </c>
      <c r="AV1" s="17" t="s">
        <v>34</v>
      </c>
      <c r="AW1" s="18" t="s">
        <v>35</v>
      </c>
      <c r="AX1" s="19"/>
      <c r="AY1" s="19"/>
      <c r="AZ1" s="16" t="s">
        <v>36</v>
      </c>
    </row>
    <row r="2" spans="1:52" ht="45" customHeight="1" x14ac:dyDescent="0.25">
      <c r="A2" s="21"/>
      <c r="B2" s="22"/>
      <c r="C2" s="25"/>
      <c r="D2" s="26"/>
      <c r="E2" s="24"/>
      <c r="F2" s="23"/>
      <c r="G2" s="24"/>
      <c r="H2" s="24"/>
      <c r="I2" s="27"/>
      <c r="J2" s="28"/>
      <c r="K2" s="29"/>
      <c r="L2" s="29"/>
      <c r="M2" s="29"/>
      <c r="N2" s="28"/>
      <c r="O2" s="28"/>
      <c r="P2" s="27"/>
      <c r="Q2" s="27"/>
      <c r="R2" s="27"/>
      <c r="S2" s="27"/>
      <c r="T2" s="27"/>
      <c r="U2" s="28"/>
      <c r="V2" s="28"/>
      <c r="W2" s="22"/>
      <c r="X2" s="30" t="s">
        <v>37</v>
      </c>
      <c r="Y2" s="30" t="s">
        <v>38</v>
      </c>
      <c r="Z2" s="30" t="s">
        <v>39</v>
      </c>
      <c r="AA2" s="30" t="s">
        <v>40</v>
      </c>
      <c r="AB2" s="30" t="s">
        <v>41</v>
      </c>
      <c r="AC2" s="30" t="s">
        <v>42</v>
      </c>
      <c r="AD2" s="30" t="s">
        <v>43</v>
      </c>
      <c r="AE2" s="30" t="s">
        <v>44</v>
      </c>
      <c r="AF2" s="30" t="s">
        <v>45</v>
      </c>
      <c r="AG2" s="30" t="s">
        <v>46</v>
      </c>
      <c r="AH2" s="31" t="s">
        <v>38</v>
      </c>
      <c r="AI2" s="31" t="s">
        <v>39</v>
      </c>
      <c r="AJ2" s="31" t="s">
        <v>40</v>
      </c>
      <c r="AK2" s="31" t="s">
        <v>38</v>
      </c>
      <c r="AL2" s="31" t="s">
        <v>39</v>
      </c>
      <c r="AM2" s="31" t="s">
        <v>40</v>
      </c>
      <c r="AN2" s="32"/>
      <c r="AO2" s="33"/>
      <c r="AP2" s="33"/>
      <c r="AQ2" s="33"/>
      <c r="AR2" s="33"/>
      <c r="AS2" s="27"/>
      <c r="AT2" s="27"/>
      <c r="AU2" s="28"/>
      <c r="AV2" s="34"/>
      <c r="AW2" s="35" t="s">
        <v>47</v>
      </c>
      <c r="AX2" s="35" t="s">
        <v>48</v>
      </c>
      <c r="AY2" s="35" t="s">
        <v>49</v>
      </c>
      <c r="AZ2" s="33"/>
    </row>
    <row r="3" spans="1:52" ht="78.75" customHeight="1" x14ac:dyDescent="0.25">
      <c r="A3" s="37" t="s">
        <v>50</v>
      </c>
      <c r="B3" s="38">
        <v>44580</v>
      </c>
      <c r="C3" s="39">
        <v>1416</v>
      </c>
      <c r="D3" s="37" t="s">
        <v>51</v>
      </c>
      <c r="E3" s="41" t="s">
        <v>52</v>
      </c>
      <c r="F3" s="38">
        <v>44617</v>
      </c>
      <c r="G3" s="39" t="s">
        <v>53</v>
      </c>
      <c r="H3" s="42" t="s">
        <v>54</v>
      </c>
      <c r="I3" s="42" t="s">
        <v>55</v>
      </c>
      <c r="J3" s="43">
        <v>765023068.5</v>
      </c>
      <c r="K3" s="43">
        <v>255007689.5</v>
      </c>
      <c r="L3" s="43">
        <v>255007689.5</v>
      </c>
      <c r="M3" s="43">
        <v>255007689.5</v>
      </c>
      <c r="N3" s="44">
        <f>((J3-P3)/J3)*100</f>
        <v>0</v>
      </c>
      <c r="O3" s="45">
        <f>J3-P3</f>
        <v>0</v>
      </c>
      <c r="P3" s="43">
        <v>765023068.5</v>
      </c>
      <c r="Q3" s="45">
        <f>T3-J3</f>
        <v>44970673.24000001</v>
      </c>
      <c r="R3" s="43">
        <v>255007689.5</v>
      </c>
      <c r="S3" s="30">
        <v>299978362.74000001</v>
      </c>
      <c r="T3" s="30">
        <v>809993741.74000001</v>
      </c>
      <c r="U3" s="30">
        <f>J3/2590050</f>
        <v>295.37</v>
      </c>
      <c r="V3" s="43">
        <f>T3/X3</f>
        <v>295.37</v>
      </c>
      <c r="W3" s="43">
        <f t="shared" ref="W3:W66" si="0">V3*AV3</f>
        <v>14768.5</v>
      </c>
      <c r="X3" s="43">
        <v>2742302</v>
      </c>
      <c r="Y3" s="43"/>
      <c r="Z3" s="43"/>
      <c r="AA3" s="43">
        <v>1015602</v>
      </c>
      <c r="AB3" s="43">
        <v>22300</v>
      </c>
      <c r="AC3" s="43">
        <f>AB3*V3</f>
        <v>6586751</v>
      </c>
      <c r="AD3" s="43">
        <v>993302</v>
      </c>
      <c r="AE3" s="43">
        <f>AD3*V3</f>
        <v>293391611.74000001</v>
      </c>
      <c r="AF3" s="44">
        <f>X3/AV3</f>
        <v>54846.04</v>
      </c>
      <c r="AG3" s="47">
        <f>_xlfn.CEILING.MATH(AF3)</f>
        <v>54847</v>
      </c>
      <c r="AH3" s="38">
        <v>44682</v>
      </c>
      <c r="AI3" s="38">
        <v>45047</v>
      </c>
      <c r="AJ3" s="38">
        <v>45413</v>
      </c>
      <c r="AK3" s="38">
        <v>44696</v>
      </c>
      <c r="AL3" s="38">
        <v>45061</v>
      </c>
      <c r="AM3" s="48">
        <v>45427</v>
      </c>
      <c r="AN3" s="42" t="s">
        <v>56</v>
      </c>
      <c r="AO3" s="42" t="s">
        <v>57</v>
      </c>
      <c r="AP3" s="42" t="s">
        <v>58</v>
      </c>
      <c r="AQ3" s="42" t="s">
        <v>59</v>
      </c>
      <c r="AR3" s="42" t="s">
        <v>60</v>
      </c>
      <c r="AS3" s="39">
        <v>0</v>
      </c>
      <c r="AT3" s="39">
        <v>100</v>
      </c>
      <c r="AU3" s="39" t="s">
        <v>61</v>
      </c>
      <c r="AV3" s="49">
        <v>50</v>
      </c>
      <c r="AW3" s="39" t="s">
        <v>62</v>
      </c>
      <c r="AX3" s="39">
        <v>10</v>
      </c>
      <c r="AY3" s="30">
        <f>(J3*10)/100</f>
        <v>76502306.849999994</v>
      </c>
      <c r="AZ3" s="42" t="s">
        <v>63</v>
      </c>
    </row>
    <row r="4" spans="1:52" ht="78.75" customHeight="1" x14ac:dyDescent="0.25">
      <c r="A4" s="37" t="s">
        <v>64</v>
      </c>
      <c r="B4" s="38">
        <v>44580</v>
      </c>
      <c r="C4" s="39">
        <v>1416</v>
      </c>
      <c r="D4" s="37" t="s">
        <v>65</v>
      </c>
      <c r="E4" s="41" t="s">
        <v>66</v>
      </c>
      <c r="F4" s="38">
        <v>44617</v>
      </c>
      <c r="G4" s="39" t="s">
        <v>67</v>
      </c>
      <c r="H4" s="42" t="s">
        <v>54</v>
      </c>
      <c r="I4" s="42" t="s">
        <v>68</v>
      </c>
      <c r="J4" s="43">
        <v>659336242.5</v>
      </c>
      <c r="K4" s="43">
        <v>219778747.5</v>
      </c>
      <c r="L4" s="43">
        <v>219778747.5</v>
      </c>
      <c r="M4" s="43">
        <v>219778747.5</v>
      </c>
      <c r="N4" s="44">
        <f>((J4-P4)/J4)*100</f>
        <v>0</v>
      </c>
      <c r="O4" s="45">
        <f>J4-P4</f>
        <v>0</v>
      </c>
      <c r="P4" s="43">
        <v>659336242.5</v>
      </c>
      <c r="Q4" s="45">
        <f>T4-J4</f>
        <v>22382694.450000048</v>
      </c>
      <c r="R4" s="43">
        <v>219778747.5</v>
      </c>
      <c r="S4" s="30">
        <v>242161441.94999999</v>
      </c>
      <c r="T4" s="30">
        <v>681718936.95000005</v>
      </c>
      <c r="U4" s="30">
        <f>T4/X4</f>
        <v>27.55</v>
      </c>
      <c r="V4" s="43">
        <f>T4/X4</f>
        <v>27.55</v>
      </c>
      <c r="W4" s="43">
        <f t="shared" si="0"/>
        <v>1377.5</v>
      </c>
      <c r="X4" s="43">
        <v>24744789</v>
      </c>
      <c r="Y4" s="43"/>
      <c r="Z4" s="43"/>
      <c r="AA4" s="43">
        <v>8789889</v>
      </c>
      <c r="AB4" s="43">
        <v>168850</v>
      </c>
      <c r="AC4" s="43">
        <f t="shared" ref="AC4:AC67" si="1">AB4*V4</f>
        <v>4651817.5</v>
      </c>
      <c r="AD4" s="43">
        <v>8621039</v>
      </c>
      <c r="AE4" s="43">
        <f t="shared" ref="AE4:AE67" si="2">AD4*V4</f>
        <v>237509624.45000002</v>
      </c>
      <c r="AF4" s="44">
        <f>X4/AV4</f>
        <v>494895.78</v>
      </c>
      <c r="AG4" s="47">
        <f>_xlfn.CEILING.MATH(AF4)</f>
        <v>494896</v>
      </c>
      <c r="AH4" s="38">
        <v>44682</v>
      </c>
      <c r="AI4" s="38">
        <v>45047</v>
      </c>
      <c r="AJ4" s="38">
        <v>45413</v>
      </c>
      <c r="AK4" s="38">
        <v>44696</v>
      </c>
      <c r="AL4" s="38">
        <v>45061</v>
      </c>
      <c r="AM4" s="48">
        <v>45427</v>
      </c>
      <c r="AN4" s="39"/>
      <c r="AO4" s="42" t="s">
        <v>57</v>
      </c>
      <c r="AP4" s="42" t="s">
        <v>58</v>
      </c>
      <c r="AQ4" s="42" t="s">
        <v>59</v>
      </c>
      <c r="AR4" s="42" t="s">
        <v>60</v>
      </c>
      <c r="AS4" s="39">
        <v>0</v>
      </c>
      <c r="AT4" s="39">
        <v>100</v>
      </c>
      <c r="AU4" s="39" t="s">
        <v>61</v>
      </c>
      <c r="AV4" s="49">
        <v>50</v>
      </c>
      <c r="AW4" s="39" t="s">
        <v>62</v>
      </c>
      <c r="AX4" s="39">
        <v>10</v>
      </c>
      <c r="AY4" s="30">
        <f>(J4*10)/100</f>
        <v>65933624.25</v>
      </c>
      <c r="AZ4" s="42" t="s">
        <v>63</v>
      </c>
    </row>
    <row r="5" spans="1:52" ht="78.75" customHeight="1" x14ac:dyDescent="0.25">
      <c r="A5" s="37" t="s">
        <v>69</v>
      </c>
      <c r="B5" s="38">
        <v>44580</v>
      </c>
      <c r="C5" s="39">
        <v>1416</v>
      </c>
      <c r="D5" s="37" t="s">
        <v>70</v>
      </c>
      <c r="E5" s="41" t="s">
        <v>71</v>
      </c>
      <c r="F5" s="38">
        <v>44616</v>
      </c>
      <c r="G5" s="37" t="s">
        <v>72</v>
      </c>
      <c r="H5" s="42" t="s">
        <v>54</v>
      </c>
      <c r="I5" s="42" t="s">
        <v>73</v>
      </c>
      <c r="J5" s="43">
        <v>2656156119</v>
      </c>
      <c r="K5" s="43">
        <v>885385373</v>
      </c>
      <c r="L5" s="43">
        <v>885385373</v>
      </c>
      <c r="M5" s="43">
        <v>885385373</v>
      </c>
      <c r="N5" s="44">
        <f>((J5-P5)/J5)*100</f>
        <v>0</v>
      </c>
      <c r="O5" s="45">
        <f>J5-P5</f>
        <v>0</v>
      </c>
      <c r="P5" s="43">
        <v>2656156119</v>
      </c>
      <c r="Q5" s="45">
        <f>T5-J5</f>
        <v>256404931.71000004</v>
      </c>
      <c r="R5" s="43">
        <v>1141790304.71</v>
      </c>
      <c r="S5" s="30">
        <f>R5</f>
        <v>1141790304.71</v>
      </c>
      <c r="T5" s="30">
        <v>2912561050.71</v>
      </c>
      <c r="U5" s="30">
        <f>T5/X5</f>
        <v>59.81</v>
      </c>
      <c r="V5" s="43">
        <f>T5/X5</f>
        <v>59.81</v>
      </c>
      <c r="W5" s="43">
        <f t="shared" si="0"/>
        <v>2990.5</v>
      </c>
      <c r="X5" s="43">
        <v>48696891</v>
      </c>
      <c r="Y5" s="43"/>
      <c r="Z5" s="43"/>
      <c r="AA5" s="43">
        <v>19090291</v>
      </c>
      <c r="AB5" s="43">
        <v>345100</v>
      </c>
      <c r="AC5" s="43">
        <f t="shared" si="1"/>
        <v>20640431</v>
      </c>
      <c r="AD5" s="43">
        <v>18745191</v>
      </c>
      <c r="AE5" s="43">
        <f t="shared" si="2"/>
        <v>1121149873.71</v>
      </c>
      <c r="AF5" s="43">
        <f>S5/X5</f>
        <v>23.44688297883329</v>
      </c>
      <c r="AG5" s="43">
        <f>_xlfn.CEILING.MATH(AF5)</f>
        <v>24</v>
      </c>
      <c r="AH5" s="38">
        <v>44682</v>
      </c>
      <c r="AI5" s="38">
        <v>45047</v>
      </c>
      <c r="AJ5" s="38">
        <v>45413</v>
      </c>
      <c r="AK5" s="38">
        <v>44701</v>
      </c>
      <c r="AL5" s="38">
        <v>45066</v>
      </c>
      <c r="AM5" s="48">
        <v>45432</v>
      </c>
      <c r="AN5" s="51"/>
      <c r="AO5" s="42" t="s">
        <v>57</v>
      </c>
      <c r="AP5" s="42" t="s">
        <v>58</v>
      </c>
      <c r="AQ5" s="42" t="s">
        <v>59</v>
      </c>
      <c r="AR5" s="42" t="s">
        <v>60</v>
      </c>
      <c r="AS5" s="39">
        <v>0</v>
      </c>
      <c r="AT5" s="39">
        <v>100</v>
      </c>
      <c r="AU5" s="39" t="s">
        <v>61</v>
      </c>
      <c r="AV5" s="52">
        <v>50</v>
      </c>
      <c r="AW5" s="39" t="s">
        <v>62</v>
      </c>
      <c r="AX5" s="39">
        <v>10</v>
      </c>
      <c r="AY5" s="30">
        <f>(J5*10)/100</f>
        <v>265615611.90000001</v>
      </c>
      <c r="AZ5" s="42" t="s">
        <v>63</v>
      </c>
    </row>
    <row r="6" spans="1:52" ht="78.75" customHeight="1" x14ac:dyDescent="0.25">
      <c r="A6" s="37" t="s">
        <v>74</v>
      </c>
      <c r="B6" s="38">
        <v>44670</v>
      </c>
      <c r="C6" s="39">
        <v>1416</v>
      </c>
      <c r="D6" s="37" t="s">
        <v>75</v>
      </c>
      <c r="E6" s="41" t="s">
        <v>76</v>
      </c>
      <c r="F6" s="38">
        <v>44707</v>
      </c>
      <c r="G6" s="37" t="s">
        <v>77</v>
      </c>
      <c r="H6" s="42" t="s">
        <v>54</v>
      </c>
      <c r="I6" s="42" t="s">
        <v>78</v>
      </c>
      <c r="J6" s="43">
        <v>1153585170</v>
      </c>
      <c r="K6" s="43">
        <v>747348732</v>
      </c>
      <c r="L6" s="43">
        <v>406236438</v>
      </c>
      <c r="M6" s="43">
        <v>0</v>
      </c>
      <c r="N6" s="44">
        <v>0</v>
      </c>
      <c r="O6" s="45">
        <v>0</v>
      </c>
      <c r="P6" s="43">
        <v>1153585170</v>
      </c>
      <c r="Q6" s="45">
        <v>0</v>
      </c>
      <c r="R6" s="30">
        <v>406236438</v>
      </c>
      <c r="S6" s="30">
        <v>752311989</v>
      </c>
      <c r="T6" s="30">
        <v>1499660721</v>
      </c>
      <c r="U6" s="30">
        <f>T6/X6</f>
        <v>647.1</v>
      </c>
      <c r="V6" s="43">
        <f>T6/X6</f>
        <v>647.1</v>
      </c>
      <c r="W6" s="43">
        <f t="shared" si="0"/>
        <v>6471</v>
      </c>
      <c r="X6" s="43">
        <v>2317510</v>
      </c>
      <c r="Y6" s="43"/>
      <c r="Z6" s="43"/>
      <c r="AA6" s="43">
        <v>1162590</v>
      </c>
      <c r="AB6" s="43">
        <v>520</v>
      </c>
      <c r="AC6" s="43">
        <f t="shared" si="1"/>
        <v>336492</v>
      </c>
      <c r="AD6" s="43">
        <v>1162070</v>
      </c>
      <c r="AE6" s="43">
        <f t="shared" si="2"/>
        <v>751975497</v>
      </c>
      <c r="AF6" s="43">
        <v>178270</v>
      </c>
      <c r="AG6" s="43">
        <v>178270</v>
      </c>
      <c r="AH6" s="38">
        <v>44936</v>
      </c>
      <c r="AI6" s="38">
        <v>44986</v>
      </c>
      <c r="AJ6" s="38">
        <v>45352</v>
      </c>
      <c r="AK6" s="38">
        <v>44951</v>
      </c>
      <c r="AL6" s="38">
        <v>45000</v>
      </c>
      <c r="AM6" s="48">
        <v>45383</v>
      </c>
      <c r="AN6" s="42"/>
      <c r="AO6" s="42" t="s">
        <v>79</v>
      </c>
      <c r="AP6" s="42" t="s">
        <v>80</v>
      </c>
      <c r="AQ6" s="42" t="s">
        <v>81</v>
      </c>
      <c r="AR6" s="42" t="s">
        <v>82</v>
      </c>
      <c r="AS6" s="39">
        <v>100</v>
      </c>
      <c r="AT6" s="39">
        <v>0</v>
      </c>
      <c r="AU6" s="39" t="s">
        <v>83</v>
      </c>
      <c r="AV6" s="49">
        <v>10</v>
      </c>
      <c r="AW6" s="39" t="s">
        <v>62</v>
      </c>
      <c r="AX6" s="39">
        <v>10</v>
      </c>
      <c r="AY6" s="30">
        <v>115358517</v>
      </c>
      <c r="AZ6" s="42" t="s">
        <v>63</v>
      </c>
    </row>
    <row r="7" spans="1:52" ht="78.75" customHeight="1" x14ac:dyDescent="0.25">
      <c r="A7" s="37" t="s">
        <v>84</v>
      </c>
      <c r="B7" s="38">
        <v>44671</v>
      </c>
      <c r="C7" s="39">
        <v>1416</v>
      </c>
      <c r="D7" s="37" t="s">
        <v>85</v>
      </c>
      <c r="E7" s="41" t="s">
        <v>86</v>
      </c>
      <c r="F7" s="38">
        <v>44697</v>
      </c>
      <c r="G7" s="39" t="s">
        <v>87</v>
      </c>
      <c r="H7" s="42" t="s">
        <v>88</v>
      </c>
      <c r="I7" s="42" t="s">
        <v>89</v>
      </c>
      <c r="J7" s="43">
        <v>90177300</v>
      </c>
      <c r="K7" s="43" t="s">
        <v>90</v>
      </c>
      <c r="L7" s="43">
        <v>30059100</v>
      </c>
      <c r="M7" s="43">
        <v>0</v>
      </c>
      <c r="N7" s="44">
        <v>0</v>
      </c>
      <c r="O7" s="45">
        <v>0</v>
      </c>
      <c r="P7" s="43">
        <v>90177300</v>
      </c>
      <c r="Q7" s="45">
        <v>0</v>
      </c>
      <c r="R7" s="43">
        <v>30059100</v>
      </c>
      <c r="S7" s="43">
        <v>57112290</v>
      </c>
      <c r="T7" s="30">
        <v>117230490</v>
      </c>
      <c r="U7" s="30">
        <f>T7/X7</f>
        <v>12.37</v>
      </c>
      <c r="V7" s="43">
        <f>T7/X7</f>
        <v>12.37</v>
      </c>
      <c r="W7" s="43">
        <f t="shared" si="0"/>
        <v>18555</v>
      </c>
      <c r="X7" s="43">
        <v>9477000</v>
      </c>
      <c r="Y7" s="43"/>
      <c r="Z7" s="43"/>
      <c r="AA7" s="43">
        <v>4617000</v>
      </c>
      <c r="AB7" s="43">
        <v>0</v>
      </c>
      <c r="AC7" s="43">
        <f t="shared" si="1"/>
        <v>0</v>
      </c>
      <c r="AD7" s="43">
        <v>4617000</v>
      </c>
      <c r="AE7" s="43">
        <f t="shared" si="2"/>
        <v>57112290</v>
      </c>
      <c r="AF7" s="43">
        <v>4860</v>
      </c>
      <c r="AG7" s="43">
        <v>4860</v>
      </c>
      <c r="AH7" s="38">
        <v>44936</v>
      </c>
      <c r="AI7" s="38">
        <v>44986</v>
      </c>
      <c r="AJ7" s="38">
        <v>45352</v>
      </c>
      <c r="AK7" s="38">
        <v>44951</v>
      </c>
      <c r="AL7" s="38">
        <v>45000</v>
      </c>
      <c r="AM7" s="48">
        <v>45383</v>
      </c>
      <c r="AN7" s="42"/>
      <c r="AO7" s="42" t="s">
        <v>91</v>
      </c>
      <c r="AP7" s="42" t="s">
        <v>92</v>
      </c>
      <c r="AQ7" s="42" t="s">
        <v>93</v>
      </c>
      <c r="AR7" s="42" t="s">
        <v>94</v>
      </c>
      <c r="AS7" s="39">
        <v>0</v>
      </c>
      <c r="AT7" s="39">
        <v>100</v>
      </c>
      <c r="AU7" s="39" t="s">
        <v>95</v>
      </c>
      <c r="AV7" s="49">
        <v>1500</v>
      </c>
      <c r="AW7" s="39" t="s">
        <v>96</v>
      </c>
      <c r="AX7" s="39">
        <v>10</v>
      </c>
      <c r="AY7" s="30">
        <v>9017730</v>
      </c>
      <c r="AZ7" s="42" t="s">
        <v>97</v>
      </c>
    </row>
    <row r="8" spans="1:52" ht="78.75" customHeight="1" x14ac:dyDescent="0.25">
      <c r="A8" s="37" t="s">
        <v>98</v>
      </c>
      <c r="B8" s="38">
        <v>44671</v>
      </c>
      <c r="C8" s="39">
        <v>1416</v>
      </c>
      <c r="D8" s="37" t="s">
        <v>99</v>
      </c>
      <c r="E8" s="41" t="s">
        <v>100</v>
      </c>
      <c r="F8" s="38">
        <v>44697</v>
      </c>
      <c r="G8" s="39" t="s">
        <v>101</v>
      </c>
      <c r="H8" s="42" t="s">
        <v>88</v>
      </c>
      <c r="I8" s="42" t="s">
        <v>102</v>
      </c>
      <c r="J8" s="43">
        <v>39485040</v>
      </c>
      <c r="K8" s="43">
        <v>26323360</v>
      </c>
      <c r="L8" s="43">
        <v>13161680</v>
      </c>
      <c r="M8" s="43">
        <v>0</v>
      </c>
      <c r="N8" s="44">
        <v>0</v>
      </c>
      <c r="O8" s="45">
        <v>0</v>
      </c>
      <c r="P8" s="43">
        <v>39485040</v>
      </c>
      <c r="Q8" s="45">
        <v>0</v>
      </c>
      <c r="R8" s="43">
        <v>13161680</v>
      </c>
      <c r="S8" s="30">
        <v>25005955</v>
      </c>
      <c r="T8" s="30">
        <v>51329315</v>
      </c>
      <c r="U8" s="30">
        <f>T8/X8</f>
        <v>12.37</v>
      </c>
      <c r="V8" s="43">
        <f>T8/X8</f>
        <v>12.37</v>
      </c>
      <c r="W8" s="43">
        <f t="shared" si="0"/>
        <v>6185</v>
      </c>
      <c r="X8" s="43">
        <v>4149500</v>
      </c>
      <c r="Y8" s="43"/>
      <c r="Z8" s="43"/>
      <c r="AA8" s="43">
        <v>2021500</v>
      </c>
      <c r="AB8" s="43">
        <v>0</v>
      </c>
      <c r="AC8" s="43">
        <f t="shared" si="1"/>
        <v>0</v>
      </c>
      <c r="AD8" s="43">
        <v>2021500</v>
      </c>
      <c r="AE8" s="43">
        <f t="shared" si="2"/>
        <v>25005955</v>
      </c>
      <c r="AF8" s="43">
        <v>6384</v>
      </c>
      <c r="AG8" s="43">
        <v>6384</v>
      </c>
      <c r="AH8" s="38">
        <v>44936</v>
      </c>
      <c r="AI8" s="38">
        <v>44986</v>
      </c>
      <c r="AJ8" s="38">
        <v>45352</v>
      </c>
      <c r="AK8" s="38">
        <v>44941</v>
      </c>
      <c r="AL8" s="38">
        <v>45000</v>
      </c>
      <c r="AM8" s="48">
        <v>45383</v>
      </c>
      <c r="AN8" s="42"/>
      <c r="AO8" s="42" t="s">
        <v>91</v>
      </c>
      <c r="AP8" s="42" t="s">
        <v>103</v>
      </c>
      <c r="AQ8" s="42" t="s">
        <v>93</v>
      </c>
      <c r="AR8" s="42" t="s">
        <v>94</v>
      </c>
      <c r="AS8" s="39">
        <v>0</v>
      </c>
      <c r="AT8" s="39">
        <v>100</v>
      </c>
      <c r="AU8" s="39" t="s">
        <v>95</v>
      </c>
      <c r="AV8" s="49">
        <v>500</v>
      </c>
      <c r="AW8" s="39" t="s">
        <v>96</v>
      </c>
      <c r="AX8" s="39">
        <v>10</v>
      </c>
      <c r="AY8" s="30">
        <v>3948504</v>
      </c>
      <c r="AZ8" s="42" t="s">
        <v>63</v>
      </c>
    </row>
    <row r="9" spans="1:52" ht="78.75" customHeight="1" x14ac:dyDescent="0.25">
      <c r="A9" s="37" t="s">
        <v>104</v>
      </c>
      <c r="B9" s="38">
        <v>44671</v>
      </c>
      <c r="C9" s="39">
        <v>1416</v>
      </c>
      <c r="D9" s="37" t="s">
        <v>105</v>
      </c>
      <c r="E9" s="41" t="s">
        <v>106</v>
      </c>
      <c r="F9" s="38">
        <v>44704</v>
      </c>
      <c r="G9" s="37" t="s">
        <v>107</v>
      </c>
      <c r="H9" s="42" t="s">
        <v>88</v>
      </c>
      <c r="I9" s="42" t="s">
        <v>108</v>
      </c>
      <c r="J9" s="43">
        <v>465000670</v>
      </c>
      <c r="K9" s="43">
        <v>310004570</v>
      </c>
      <c r="L9" s="43">
        <v>154996100</v>
      </c>
      <c r="M9" s="43">
        <v>0</v>
      </c>
      <c r="N9" s="44">
        <v>0</v>
      </c>
      <c r="O9" s="45">
        <v>0</v>
      </c>
      <c r="P9" s="43">
        <v>465000670</v>
      </c>
      <c r="Q9" s="45">
        <v>0</v>
      </c>
      <c r="R9" s="43">
        <v>154996100</v>
      </c>
      <c r="S9" s="30">
        <v>294492590</v>
      </c>
      <c r="T9" s="30">
        <v>604497160</v>
      </c>
      <c r="U9" s="30">
        <f>T9/X9</f>
        <v>12.37</v>
      </c>
      <c r="V9" s="43">
        <f>T9/X9</f>
        <v>12.37</v>
      </c>
      <c r="W9" s="43">
        <f t="shared" si="0"/>
        <v>12370</v>
      </c>
      <c r="X9" s="43">
        <v>48868000</v>
      </c>
      <c r="Y9" s="43"/>
      <c r="Z9" s="43"/>
      <c r="AA9" s="43">
        <v>23807000</v>
      </c>
      <c r="AB9" s="43">
        <v>0</v>
      </c>
      <c r="AC9" s="43">
        <f t="shared" si="1"/>
        <v>0</v>
      </c>
      <c r="AD9" s="43">
        <v>23807000</v>
      </c>
      <c r="AE9" s="43">
        <f t="shared" si="2"/>
        <v>294492590</v>
      </c>
      <c r="AF9" s="43">
        <v>37591</v>
      </c>
      <c r="AG9" s="43">
        <v>37591</v>
      </c>
      <c r="AH9" s="38">
        <v>44936</v>
      </c>
      <c r="AI9" s="38">
        <v>44986</v>
      </c>
      <c r="AJ9" s="38">
        <v>45352</v>
      </c>
      <c r="AK9" s="38">
        <v>44941</v>
      </c>
      <c r="AL9" s="38">
        <v>45000</v>
      </c>
      <c r="AM9" s="48">
        <v>45383</v>
      </c>
      <c r="AN9" s="42"/>
      <c r="AO9" s="42" t="s">
        <v>91</v>
      </c>
      <c r="AP9" s="42" t="s">
        <v>109</v>
      </c>
      <c r="AQ9" s="42" t="s">
        <v>93</v>
      </c>
      <c r="AR9" s="42" t="s">
        <v>94</v>
      </c>
      <c r="AS9" s="39">
        <v>0</v>
      </c>
      <c r="AT9" s="39">
        <v>100</v>
      </c>
      <c r="AU9" s="39" t="s">
        <v>95</v>
      </c>
      <c r="AV9" s="49">
        <v>1000</v>
      </c>
      <c r="AW9" s="39" t="s">
        <v>62</v>
      </c>
      <c r="AX9" s="39">
        <v>10</v>
      </c>
      <c r="AY9" s="30">
        <v>46500067</v>
      </c>
      <c r="AZ9" s="42" t="s">
        <v>63</v>
      </c>
    </row>
    <row r="10" spans="1:52" ht="78.75" customHeight="1" x14ac:dyDescent="0.25">
      <c r="A10" s="37" t="s">
        <v>110</v>
      </c>
      <c r="B10" s="38">
        <v>44673</v>
      </c>
      <c r="C10" s="39">
        <v>1416</v>
      </c>
      <c r="D10" s="37" t="s">
        <v>111</v>
      </c>
      <c r="E10" s="41" t="s">
        <v>112</v>
      </c>
      <c r="F10" s="38">
        <v>44705</v>
      </c>
      <c r="G10" s="37" t="s">
        <v>113</v>
      </c>
      <c r="H10" s="42" t="s">
        <v>114</v>
      </c>
      <c r="I10" s="42" t="s">
        <v>115</v>
      </c>
      <c r="J10" s="43">
        <v>78920034.480000004</v>
      </c>
      <c r="K10" s="43" t="s">
        <v>116</v>
      </c>
      <c r="L10" s="43" t="s">
        <v>116</v>
      </c>
      <c r="M10" s="43">
        <v>0</v>
      </c>
      <c r="N10" s="44">
        <v>0.49999999695894937</v>
      </c>
      <c r="O10" s="45">
        <v>394600.17000000179</v>
      </c>
      <c r="P10" s="43">
        <v>78525434.310000002</v>
      </c>
      <c r="Q10" s="45">
        <v>-404686.8</v>
      </c>
      <c r="R10" s="43">
        <v>39257673.840000004</v>
      </c>
      <c r="S10" s="30">
        <v>39257673.840000004</v>
      </c>
      <c r="T10" s="30">
        <v>78515347.680000007</v>
      </c>
      <c r="U10" s="30">
        <f>T10/X10</f>
        <v>514.1400000000001</v>
      </c>
      <c r="V10" s="43">
        <f>T10/X10</f>
        <v>514.1400000000001</v>
      </c>
      <c r="W10" s="43">
        <f t="shared" si="0"/>
        <v>3084.8400000000006</v>
      </c>
      <c r="X10" s="43">
        <v>152712</v>
      </c>
      <c r="Y10" s="43"/>
      <c r="Z10" s="43">
        <v>76356</v>
      </c>
      <c r="AA10" s="43"/>
      <c r="AB10" s="43">
        <v>228</v>
      </c>
      <c r="AC10" s="43">
        <f t="shared" si="1"/>
        <v>117223.92000000003</v>
      </c>
      <c r="AD10" s="43">
        <v>76128</v>
      </c>
      <c r="AE10" s="43">
        <f t="shared" si="2"/>
        <v>39140449.920000009</v>
      </c>
      <c r="AF10" s="43">
        <v>25452</v>
      </c>
      <c r="AG10" s="43">
        <v>25452</v>
      </c>
      <c r="AH10" s="38">
        <v>44958</v>
      </c>
      <c r="AI10" s="38">
        <v>45323</v>
      </c>
      <c r="AJ10" s="38"/>
      <c r="AK10" s="38">
        <v>44986</v>
      </c>
      <c r="AL10" s="38">
        <v>45352</v>
      </c>
      <c r="AM10" s="48"/>
      <c r="AN10" s="42"/>
      <c r="AO10" s="42" t="s">
        <v>117</v>
      </c>
      <c r="AP10" s="42" t="s">
        <v>118</v>
      </c>
      <c r="AQ10" s="42" t="s">
        <v>119</v>
      </c>
      <c r="AR10" s="42" t="s">
        <v>82</v>
      </c>
      <c r="AS10" s="39">
        <v>100</v>
      </c>
      <c r="AT10" s="39">
        <v>0</v>
      </c>
      <c r="AU10" s="39" t="s">
        <v>83</v>
      </c>
      <c r="AV10" s="49">
        <v>6</v>
      </c>
      <c r="AW10" s="39" t="s">
        <v>62</v>
      </c>
      <c r="AX10" s="39">
        <v>10</v>
      </c>
      <c r="AY10" s="30">
        <v>7892003.4480000008</v>
      </c>
      <c r="AZ10" s="42" t="s">
        <v>97</v>
      </c>
    </row>
    <row r="11" spans="1:52" ht="78.75" customHeight="1" x14ac:dyDescent="0.25">
      <c r="A11" s="37" t="s">
        <v>120</v>
      </c>
      <c r="B11" s="38">
        <v>44673</v>
      </c>
      <c r="C11" s="39">
        <v>1416</v>
      </c>
      <c r="D11" s="37" t="s">
        <v>121</v>
      </c>
      <c r="E11" s="41" t="s">
        <v>122</v>
      </c>
      <c r="F11" s="38">
        <v>44711</v>
      </c>
      <c r="G11" s="37" t="s">
        <v>123</v>
      </c>
      <c r="H11" s="42" t="s">
        <v>114</v>
      </c>
      <c r="I11" s="42" t="s">
        <v>124</v>
      </c>
      <c r="J11" s="43">
        <v>2737233000</v>
      </c>
      <c r="K11" s="43">
        <v>1824789645</v>
      </c>
      <c r="L11" s="43">
        <v>912443355</v>
      </c>
      <c r="M11" s="43">
        <v>0</v>
      </c>
      <c r="N11" s="44">
        <v>0</v>
      </c>
      <c r="O11" s="45">
        <v>0</v>
      </c>
      <c r="P11" s="43">
        <v>2737233000</v>
      </c>
      <c r="Q11" s="45">
        <v>0</v>
      </c>
      <c r="R11" s="43">
        <v>912443355</v>
      </c>
      <c r="S11" s="30">
        <v>1733613255</v>
      </c>
      <c r="T11" s="30">
        <v>3558402900</v>
      </c>
      <c r="U11" s="30">
        <f>T11/X11</f>
        <v>647.1</v>
      </c>
      <c r="V11" s="43">
        <f>T11/X11</f>
        <v>647.1</v>
      </c>
      <c r="W11" s="43" t="e">
        <f t="shared" si="0"/>
        <v>#VALUE!</v>
      </c>
      <c r="X11" s="43">
        <v>5499000</v>
      </c>
      <c r="Y11" s="43"/>
      <c r="Z11" s="43"/>
      <c r="AA11" s="43">
        <v>2679050</v>
      </c>
      <c r="AB11" s="43">
        <v>0</v>
      </c>
      <c r="AC11" s="43">
        <f t="shared" si="1"/>
        <v>0</v>
      </c>
      <c r="AD11" s="43">
        <v>2679050</v>
      </c>
      <c r="AE11" s="43">
        <f t="shared" si="2"/>
        <v>1733613255</v>
      </c>
      <c r="AF11" s="43">
        <v>114013.5</v>
      </c>
      <c r="AG11" s="43">
        <v>114014</v>
      </c>
      <c r="AH11" s="38">
        <v>44936</v>
      </c>
      <c r="AI11" s="38">
        <v>44986</v>
      </c>
      <c r="AJ11" s="38">
        <v>45352</v>
      </c>
      <c r="AK11" s="38">
        <v>44951</v>
      </c>
      <c r="AL11" s="38">
        <v>45000</v>
      </c>
      <c r="AM11" s="48">
        <v>45383</v>
      </c>
      <c r="AN11" s="42"/>
      <c r="AO11" s="42" t="s">
        <v>125</v>
      </c>
      <c r="AP11" s="42" t="s">
        <v>126</v>
      </c>
      <c r="AQ11" s="42" t="s">
        <v>127</v>
      </c>
      <c r="AR11" s="42" t="s">
        <v>82</v>
      </c>
      <c r="AS11" s="39">
        <v>100</v>
      </c>
      <c r="AT11" s="39">
        <v>0</v>
      </c>
      <c r="AU11" s="39" t="s">
        <v>83</v>
      </c>
      <c r="AV11" s="53" t="s">
        <v>128</v>
      </c>
      <c r="AW11" s="39" t="s">
        <v>62</v>
      </c>
      <c r="AX11" s="39">
        <v>10</v>
      </c>
      <c r="AY11" s="30">
        <v>273723300</v>
      </c>
      <c r="AZ11" s="42" t="s">
        <v>63</v>
      </c>
    </row>
    <row r="12" spans="1:52" ht="78.75" customHeight="1" x14ac:dyDescent="0.25">
      <c r="A12" s="37" t="s">
        <v>129</v>
      </c>
      <c r="B12" s="38">
        <v>44673</v>
      </c>
      <c r="C12" s="39">
        <v>1416</v>
      </c>
      <c r="D12" s="37" t="s">
        <v>130</v>
      </c>
      <c r="E12" s="41" t="s">
        <v>131</v>
      </c>
      <c r="F12" s="38">
        <v>44704</v>
      </c>
      <c r="G12" s="37" t="s">
        <v>132</v>
      </c>
      <c r="H12" s="42" t="s">
        <v>114</v>
      </c>
      <c r="I12" s="42" t="s">
        <v>133</v>
      </c>
      <c r="J12" s="43">
        <v>95831540.640000001</v>
      </c>
      <c r="K12" s="43">
        <v>47915770.32</v>
      </c>
      <c r="L12" s="43">
        <v>47915770.32</v>
      </c>
      <c r="M12" s="43">
        <v>0</v>
      </c>
      <c r="N12" s="44">
        <v>0</v>
      </c>
      <c r="O12" s="45">
        <v>0</v>
      </c>
      <c r="P12" s="43">
        <v>95831540.640000001</v>
      </c>
      <c r="Q12" s="45">
        <v>0</v>
      </c>
      <c r="R12" s="43">
        <v>55271866.32</v>
      </c>
      <c r="S12" s="30">
        <v>55271866.32</v>
      </c>
      <c r="T12" s="30">
        <v>103187636.64</v>
      </c>
      <c r="U12" s="30">
        <f>T12/X12</f>
        <v>3065.04</v>
      </c>
      <c r="V12" s="43">
        <f>T12/X12</f>
        <v>3065.04</v>
      </c>
      <c r="W12" s="43">
        <f t="shared" si="0"/>
        <v>4597.5599999999995</v>
      </c>
      <c r="X12" s="43">
        <v>33666</v>
      </c>
      <c r="Y12" s="43"/>
      <c r="Z12" s="43">
        <v>18033</v>
      </c>
      <c r="AA12" s="43"/>
      <c r="AB12" s="43">
        <v>4732.5</v>
      </c>
      <c r="AC12" s="43">
        <f t="shared" si="1"/>
        <v>14505301.800000001</v>
      </c>
      <c r="AD12" s="43">
        <v>18033</v>
      </c>
      <c r="AE12" s="43">
        <f t="shared" si="2"/>
        <v>55271866.32</v>
      </c>
      <c r="AF12" s="43">
        <v>20844</v>
      </c>
      <c r="AG12" s="43">
        <v>20844</v>
      </c>
      <c r="AH12" s="38">
        <v>44958</v>
      </c>
      <c r="AI12" s="38">
        <v>45352</v>
      </c>
      <c r="AJ12" s="38"/>
      <c r="AK12" s="38">
        <v>44972</v>
      </c>
      <c r="AL12" s="38">
        <v>45383</v>
      </c>
      <c r="AM12" s="48"/>
      <c r="AN12" s="42"/>
      <c r="AO12" s="42" t="s">
        <v>134</v>
      </c>
      <c r="AP12" s="42" t="s">
        <v>135</v>
      </c>
      <c r="AQ12" s="42" t="s">
        <v>136</v>
      </c>
      <c r="AR12" s="42" t="s">
        <v>82</v>
      </c>
      <c r="AS12" s="39">
        <v>100</v>
      </c>
      <c r="AT12" s="39">
        <v>0</v>
      </c>
      <c r="AU12" s="39" t="s">
        <v>83</v>
      </c>
      <c r="AV12" s="54">
        <v>1.5</v>
      </c>
      <c r="AW12" s="39" t="s">
        <v>62</v>
      </c>
      <c r="AX12" s="39">
        <v>10</v>
      </c>
      <c r="AY12" s="30">
        <v>9583154.0639999993</v>
      </c>
      <c r="AZ12" s="42" t="s">
        <v>63</v>
      </c>
    </row>
    <row r="13" spans="1:52" ht="78.75" customHeight="1" x14ac:dyDescent="0.25">
      <c r="A13" s="37" t="s">
        <v>137</v>
      </c>
      <c r="B13" s="38">
        <v>44677</v>
      </c>
      <c r="C13" s="39">
        <v>1416</v>
      </c>
      <c r="D13" s="37" t="s">
        <v>138</v>
      </c>
      <c r="E13" s="41" t="s">
        <v>139</v>
      </c>
      <c r="F13" s="38">
        <v>44712</v>
      </c>
      <c r="G13" s="39" t="s">
        <v>140</v>
      </c>
      <c r="H13" s="42" t="s">
        <v>141</v>
      </c>
      <c r="I13" s="42" t="s">
        <v>142</v>
      </c>
      <c r="J13" s="43">
        <v>2087771400</v>
      </c>
      <c r="K13" s="43" t="s">
        <v>143</v>
      </c>
      <c r="L13" s="43" t="s">
        <v>144</v>
      </c>
      <c r="M13" s="43">
        <v>0</v>
      </c>
      <c r="N13" s="44">
        <v>0</v>
      </c>
      <c r="O13" s="45">
        <v>0</v>
      </c>
      <c r="P13" s="43">
        <v>2087771400</v>
      </c>
      <c r="Q13" s="45">
        <v>0</v>
      </c>
      <c r="R13" s="43">
        <v>717974400</v>
      </c>
      <c r="S13" s="30">
        <v>1344228600</v>
      </c>
      <c r="T13" s="30">
        <v>2714025600</v>
      </c>
      <c r="U13" s="30">
        <f>T13/X13</f>
        <v>85800</v>
      </c>
      <c r="V13" s="43">
        <f>T13/X13</f>
        <v>85800</v>
      </c>
      <c r="W13" s="43">
        <f t="shared" si="0"/>
        <v>85800</v>
      </c>
      <c r="X13" s="43">
        <v>31632</v>
      </c>
      <c r="Y13" s="43"/>
      <c r="Z13" s="55"/>
      <c r="AA13" s="43">
        <v>15667</v>
      </c>
      <c r="AB13" s="43">
        <v>8</v>
      </c>
      <c r="AC13" s="43">
        <f t="shared" si="1"/>
        <v>686400</v>
      </c>
      <c r="AD13" s="43">
        <v>15659</v>
      </c>
      <c r="AE13" s="43">
        <f t="shared" si="2"/>
        <v>1343542200</v>
      </c>
      <c r="AF13" s="43">
        <v>24333</v>
      </c>
      <c r="AG13" s="43">
        <v>24333</v>
      </c>
      <c r="AH13" s="38">
        <v>44936</v>
      </c>
      <c r="AI13" s="38">
        <v>44986</v>
      </c>
      <c r="AJ13" s="38">
        <v>45323</v>
      </c>
      <c r="AK13" s="38">
        <v>44958</v>
      </c>
      <c r="AL13" s="38">
        <v>45000</v>
      </c>
      <c r="AM13" s="48">
        <v>45352</v>
      </c>
      <c r="AN13" s="42"/>
      <c r="AO13" s="42" t="s">
        <v>145</v>
      </c>
      <c r="AP13" s="42" t="s">
        <v>146</v>
      </c>
      <c r="AQ13" s="42" t="s">
        <v>147</v>
      </c>
      <c r="AR13" s="42" t="s">
        <v>148</v>
      </c>
      <c r="AS13" s="39">
        <v>0</v>
      </c>
      <c r="AT13" s="39">
        <v>100</v>
      </c>
      <c r="AU13" s="39" t="s">
        <v>61</v>
      </c>
      <c r="AV13" s="49">
        <v>1</v>
      </c>
      <c r="AW13" s="39" t="s">
        <v>62</v>
      </c>
      <c r="AX13" s="39">
        <v>10</v>
      </c>
      <c r="AY13" s="30">
        <v>208777140</v>
      </c>
      <c r="AZ13" s="42" t="s">
        <v>63</v>
      </c>
    </row>
    <row r="14" spans="1:52" ht="76.5" customHeight="1" x14ac:dyDescent="0.25">
      <c r="A14" s="37" t="s">
        <v>149</v>
      </c>
      <c r="B14" s="38">
        <v>44677</v>
      </c>
      <c r="C14" s="39">
        <v>1416</v>
      </c>
      <c r="D14" s="37" t="s">
        <v>150</v>
      </c>
      <c r="E14" s="41" t="s">
        <v>151</v>
      </c>
      <c r="F14" s="38">
        <v>44711</v>
      </c>
      <c r="G14" s="37" t="s">
        <v>152</v>
      </c>
      <c r="H14" s="42" t="s">
        <v>54</v>
      </c>
      <c r="I14" s="42" t="s">
        <v>153</v>
      </c>
      <c r="J14" s="43">
        <v>2082265948.3499999</v>
      </c>
      <c r="K14" s="43" t="s">
        <v>154</v>
      </c>
      <c r="L14" s="43" t="s">
        <v>155</v>
      </c>
      <c r="M14" s="43">
        <v>0</v>
      </c>
      <c r="N14" s="44">
        <v>0</v>
      </c>
      <c r="O14" s="45">
        <v>0</v>
      </c>
      <c r="P14" s="43">
        <v>2082265948.3499999</v>
      </c>
      <c r="Q14" s="45">
        <v>0</v>
      </c>
      <c r="R14" s="43">
        <v>694979649</v>
      </c>
      <c r="S14" s="30">
        <v>694979649</v>
      </c>
      <c r="T14" s="30">
        <v>2082265948.3499999</v>
      </c>
      <c r="U14" s="30">
        <f>T14/X14</f>
        <v>14142.849999999999</v>
      </c>
      <c r="V14" s="43">
        <f>T14/X14</f>
        <v>14142.849999999999</v>
      </c>
      <c r="W14" s="43">
        <f t="shared" si="0"/>
        <v>296999.84999999998</v>
      </c>
      <c r="X14" s="43">
        <v>147231</v>
      </c>
      <c r="Y14" s="43"/>
      <c r="Z14" s="43"/>
      <c r="AA14" s="43">
        <v>49140</v>
      </c>
      <c r="AB14" s="43">
        <v>0</v>
      </c>
      <c r="AC14" s="43">
        <f t="shared" si="1"/>
        <v>0</v>
      </c>
      <c r="AD14" s="43">
        <v>49140</v>
      </c>
      <c r="AE14" s="43">
        <f t="shared" si="2"/>
        <v>694979648.99999988</v>
      </c>
      <c r="AF14" s="43">
        <v>7011</v>
      </c>
      <c r="AG14" s="43">
        <v>7011</v>
      </c>
      <c r="AH14" s="38">
        <v>44936</v>
      </c>
      <c r="AI14" s="38">
        <v>44986</v>
      </c>
      <c r="AJ14" s="38">
        <v>45352</v>
      </c>
      <c r="AK14" s="38">
        <v>44951</v>
      </c>
      <c r="AL14" s="38">
        <v>45000</v>
      </c>
      <c r="AM14" s="48">
        <v>45383</v>
      </c>
      <c r="AN14" s="42"/>
      <c r="AO14" s="42" t="s">
        <v>156</v>
      </c>
      <c r="AP14" s="42" t="s">
        <v>157</v>
      </c>
      <c r="AQ14" s="42" t="s">
        <v>158</v>
      </c>
      <c r="AR14" s="42" t="s">
        <v>82</v>
      </c>
      <c r="AS14" s="39">
        <v>100</v>
      </c>
      <c r="AT14" s="39">
        <v>0</v>
      </c>
      <c r="AU14" s="39" t="s">
        <v>61</v>
      </c>
      <c r="AV14" s="49">
        <v>21</v>
      </c>
      <c r="AW14" s="39" t="s">
        <v>62</v>
      </c>
      <c r="AX14" s="39">
        <v>10</v>
      </c>
      <c r="AY14" s="30">
        <v>208226594.83500001</v>
      </c>
      <c r="AZ14" s="42" t="s">
        <v>63</v>
      </c>
    </row>
    <row r="15" spans="1:52" ht="76.5" customHeight="1" x14ac:dyDescent="0.25">
      <c r="A15" s="37" t="s">
        <v>159</v>
      </c>
      <c r="B15" s="38">
        <v>44678</v>
      </c>
      <c r="C15" s="39">
        <v>1416</v>
      </c>
      <c r="D15" s="37" t="s">
        <v>160</v>
      </c>
      <c r="E15" s="41" t="s">
        <v>161</v>
      </c>
      <c r="F15" s="38">
        <v>44720</v>
      </c>
      <c r="G15" s="37" t="s">
        <v>162</v>
      </c>
      <c r="H15" s="42" t="s">
        <v>114</v>
      </c>
      <c r="I15" s="42" t="s">
        <v>163</v>
      </c>
      <c r="J15" s="43">
        <v>2419113638.4000001</v>
      </c>
      <c r="K15" s="43" t="s">
        <v>164</v>
      </c>
      <c r="L15" s="43" t="s">
        <v>164</v>
      </c>
      <c r="M15" s="43">
        <v>0</v>
      </c>
      <c r="N15" s="44">
        <v>0</v>
      </c>
      <c r="O15" s="45">
        <v>0</v>
      </c>
      <c r="P15" s="43">
        <v>2419113638.4000001</v>
      </c>
      <c r="Q15" s="45">
        <v>0</v>
      </c>
      <c r="R15" s="43">
        <v>1209556819.2</v>
      </c>
      <c r="S15" s="30">
        <v>1209556819.2</v>
      </c>
      <c r="T15" s="30">
        <v>2419113638.4000001</v>
      </c>
      <c r="U15" s="30">
        <f>T15/X15</f>
        <v>6006.4000000000005</v>
      </c>
      <c r="V15" s="43">
        <f>T15/X15</f>
        <v>6006.4000000000005</v>
      </c>
      <c r="W15" s="43">
        <f t="shared" si="0"/>
        <v>9009.6</v>
      </c>
      <c r="X15" s="43">
        <v>402756</v>
      </c>
      <c r="Y15" s="43"/>
      <c r="Z15" s="43">
        <v>201378</v>
      </c>
      <c r="AA15" s="43"/>
      <c r="AB15" s="43">
        <v>7902</v>
      </c>
      <c r="AC15" s="43">
        <f t="shared" si="1"/>
        <v>47462572.800000004</v>
      </c>
      <c r="AD15" s="43">
        <v>193476</v>
      </c>
      <c r="AE15" s="43">
        <f t="shared" si="2"/>
        <v>1162094246.4000001</v>
      </c>
      <c r="AF15" s="43">
        <v>268504</v>
      </c>
      <c r="AG15" s="43">
        <v>268504</v>
      </c>
      <c r="AH15" s="38">
        <v>44958</v>
      </c>
      <c r="AI15" s="38">
        <v>45352</v>
      </c>
      <c r="AJ15" s="38"/>
      <c r="AK15" s="38">
        <v>44972</v>
      </c>
      <c r="AL15" s="38">
        <v>45383</v>
      </c>
      <c r="AM15" s="48"/>
      <c r="AN15" s="42"/>
      <c r="AO15" s="42" t="s">
        <v>134</v>
      </c>
      <c r="AP15" s="42" t="s">
        <v>165</v>
      </c>
      <c r="AQ15" s="42" t="s">
        <v>136</v>
      </c>
      <c r="AR15" s="42" t="s">
        <v>82</v>
      </c>
      <c r="AS15" s="39">
        <v>100</v>
      </c>
      <c r="AT15" s="39">
        <v>0</v>
      </c>
      <c r="AU15" s="39" t="s">
        <v>83</v>
      </c>
      <c r="AV15" s="49">
        <v>1.5</v>
      </c>
      <c r="AW15" s="39" t="s">
        <v>62</v>
      </c>
      <c r="AX15" s="39">
        <v>10</v>
      </c>
      <c r="AY15" s="30">
        <v>241911363.84</v>
      </c>
      <c r="AZ15" s="42" t="s">
        <v>63</v>
      </c>
    </row>
    <row r="16" spans="1:52" ht="76.5" customHeight="1" x14ac:dyDescent="0.25">
      <c r="A16" s="37" t="s">
        <v>166</v>
      </c>
      <c r="B16" s="38">
        <v>44678</v>
      </c>
      <c r="C16" s="39">
        <v>1416</v>
      </c>
      <c r="D16" s="37" t="s">
        <v>167</v>
      </c>
      <c r="E16" s="41" t="s">
        <v>168</v>
      </c>
      <c r="F16" s="38">
        <v>44711</v>
      </c>
      <c r="G16" s="37" t="s">
        <v>169</v>
      </c>
      <c r="H16" s="42" t="s">
        <v>54</v>
      </c>
      <c r="I16" s="42" t="s">
        <v>170</v>
      </c>
      <c r="J16" s="43">
        <v>11608792.560000001</v>
      </c>
      <c r="K16" s="43" t="s">
        <v>171</v>
      </c>
      <c r="L16" s="43" t="s">
        <v>171</v>
      </c>
      <c r="M16" s="43">
        <v>0</v>
      </c>
      <c r="N16" s="44">
        <v>0</v>
      </c>
      <c r="O16" s="45">
        <v>0</v>
      </c>
      <c r="P16" s="43">
        <v>11608792.560000001</v>
      </c>
      <c r="Q16" s="45">
        <v>0</v>
      </c>
      <c r="R16" s="43">
        <v>5804396.2800000003</v>
      </c>
      <c r="S16" s="30">
        <v>5061973.5</v>
      </c>
      <c r="T16" s="30">
        <v>10866369.779999999</v>
      </c>
      <c r="U16" s="30">
        <f>T16/X16</f>
        <v>22497.66</v>
      </c>
      <c r="V16" s="43">
        <f>T16/X16</f>
        <v>22497.66</v>
      </c>
      <c r="W16" s="43">
        <f t="shared" si="0"/>
        <v>44995.32</v>
      </c>
      <c r="X16" s="43">
        <f>258+225</f>
        <v>483</v>
      </c>
      <c r="Y16" s="43"/>
      <c r="Z16" s="43">
        <v>225</v>
      </c>
      <c r="AA16" s="43"/>
      <c r="AB16" s="43">
        <v>0</v>
      </c>
      <c r="AC16" s="43">
        <f t="shared" si="1"/>
        <v>0</v>
      </c>
      <c r="AD16" s="43">
        <v>225</v>
      </c>
      <c r="AE16" s="43">
        <f t="shared" si="2"/>
        <v>5061973.5</v>
      </c>
      <c r="AF16" s="43">
        <v>258</v>
      </c>
      <c r="AG16" s="43">
        <v>258</v>
      </c>
      <c r="AH16" s="38">
        <v>44958</v>
      </c>
      <c r="AI16" s="38">
        <v>45352</v>
      </c>
      <c r="AJ16" s="38"/>
      <c r="AK16" s="38">
        <v>44972</v>
      </c>
      <c r="AL16" s="38">
        <v>45383</v>
      </c>
      <c r="AM16" s="48"/>
      <c r="AN16" s="42"/>
      <c r="AO16" s="42" t="s">
        <v>172</v>
      </c>
      <c r="AP16" s="42" t="s">
        <v>173</v>
      </c>
      <c r="AQ16" s="42" t="s">
        <v>174</v>
      </c>
      <c r="AR16" s="42" t="s">
        <v>94</v>
      </c>
      <c r="AS16" s="39">
        <v>0</v>
      </c>
      <c r="AT16" s="39">
        <v>100</v>
      </c>
      <c r="AU16" s="39" t="s">
        <v>61</v>
      </c>
      <c r="AV16" s="49">
        <v>2</v>
      </c>
      <c r="AW16" s="39" t="s">
        <v>62</v>
      </c>
      <c r="AX16" s="39">
        <v>10</v>
      </c>
      <c r="AY16" s="30">
        <v>1160879.2560000001</v>
      </c>
      <c r="AZ16" s="42" t="s">
        <v>63</v>
      </c>
    </row>
    <row r="17" spans="1:52" ht="76.5" customHeight="1" x14ac:dyDescent="0.25">
      <c r="A17" s="37" t="s">
        <v>175</v>
      </c>
      <c r="B17" s="38">
        <v>44678</v>
      </c>
      <c r="C17" s="39">
        <v>1416</v>
      </c>
      <c r="D17" s="37" t="s">
        <v>176</v>
      </c>
      <c r="E17" s="41" t="s">
        <v>177</v>
      </c>
      <c r="F17" s="38">
        <v>44711</v>
      </c>
      <c r="G17" s="37" t="s">
        <v>178</v>
      </c>
      <c r="H17" s="42" t="s">
        <v>88</v>
      </c>
      <c r="I17" s="42" t="s">
        <v>179</v>
      </c>
      <c r="J17" s="43">
        <v>200319360</v>
      </c>
      <c r="K17" s="43" t="s">
        <v>180</v>
      </c>
      <c r="L17" s="43" t="s">
        <v>181</v>
      </c>
      <c r="M17" s="43">
        <v>0</v>
      </c>
      <c r="N17" s="44">
        <v>0</v>
      </c>
      <c r="O17" s="45">
        <v>0</v>
      </c>
      <c r="P17" s="43">
        <v>200319360</v>
      </c>
      <c r="Q17" s="45">
        <v>0</v>
      </c>
      <c r="R17" s="43">
        <v>67241760</v>
      </c>
      <c r="S17" s="30">
        <v>127332720</v>
      </c>
      <c r="T17" s="30">
        <v>260410320</v>
      </c>
      <c r="U17" s="30">
        <f>T17/X17</f>
        <v>12.12</v>
      </c>
      <c r="V17" s="43">
        <f>T17/X17</f>
        <v>12.12</v>
      </c>
      <c r="W17" s="43">
        <f t="shared" si="0"/>
        <v>24240</v>
      </c>
      <c r="X17" s="43">
        <v>21486000</v>
      </c>
      <c r="Y17" s="43"/>
      <c r="Z17" s="43"/>
      <c r="AA17" s="43">
        <v>10506000</v>
      </c>
      <c r="AB17" s="43">
        <v>0</v>
      </c>
      <c r="AC17" s="43">
        <f t="shared" si="1"/>
        <v>0</v>
      </c>
      <c r="AD17" s="43">
        <v>10506000</v>
      </c>
      <c r="AE17" s="43">
        <f t="shared" si="2"/>
        <v>127332719.99999999</v>
      </c>
      <c r="AF17" s="43">
        <v>8264</v>
      </c>
      <c r="AG17" s="43">
        <v>8264</v>
      </c>
      <c r="AH17" s="38">
        <v>44967</v>
      </c>
      <c r="AI17" s="38">
        <v>44986</v>
      </c>
      <c r="AJ17" s="38">
        <v>45352</v>
      </c>
      <c r="AK17" s="38">
        <v>44982</v>
      </c>
      <c r="AL17" s="38">
        <v>45000</v>
      </c>
      <c r="AM17" s="48">
        <v>45383</v>
      </c>
      <c r="AN17" s="42"/>
      <c r="AO17" s="42" t="s">
        <v>91</v>
      </c>
      <c r="AP17" s="42" t="s">
        <v>182</v>
      </c>
      <c r="AQ17" s="42" t="s">
        <v>93</v>
      </c>
      <c r="AR17" s="42" t="s">
        <v>94</v>
      </c>
      <c r="AS17" s="39">
        <v>0</v>
      </c>
      <c r="AT17" s="39">
        <v>100</v>
      </c>
      <c r="AU17" s="39" t="s">
        <v>95</v>
      </c>
      <c r="AV17" s="49">
        <v>2000</v>
      </c>
      <c r="AW17" s="39" t="s">
        <v>62</v>
      </c>
      <c r="AX17" s="39">
        <v>10</v>
      </c>
      <c r="AY17" s="30">
        <v>20031936</v>
      </c>
      <c r="AZ17" s="42" t="s">
        <v>63</v>
      </c>
    </row>
    <row r="18" spans="1:52" ht="76.5" customHeight="1" x14ac:dyDescent="0.25">
      <c r="A18" s="37" t="s">
        <v>183</v>
      </c>
      <c r="B18" s="38">
        <v>44678</v>
      </c>
      <c r="C18" s="39">
        <v>1416</v>
      </c>
      <c r="D18" s="37" t="s">
        <v>184</v>
      </c>
      <c r="E18" s="41" t="s">
        <v>185</v>
      </c>
      <c r="F18" s="38">
        <v>44711</v>
      </c>
      <c r="G18" s="37" t="s">
        <v>186</v>
      </c>
      <c r="H18" s="42" t="s">
        <v>54</v>
      </c>
      <c r="I18" s="42" t="s">
        <v>187</v>
      </c>
      <c r="J18" s="43">
        <v>9624025.5999999996</v>
      </c>
      <c r="K18" s="43" t="s">
        <v>188</v>
      </c>
      <c r="L18" s="43" t="s">
        <v>188</v>
      </c>
      <c r="M18" s="43">
        <v>0</v>
      </c>
      <c r="N18" s="44">
        <v>0</v>
      </c>
      <c r="O18" s="45">
        <v>0</v>
      </c>
      <c r="P18" s="43">
        <v>9624025.5999999996</v>
      </c>
      <c r="Q18" s="45">
        <v>0</v>
      </c>
      <c r="R18" s="43">
        <v>4812012.8</v>
      </c>
      <c r="S18" s="30">
        <v>6015016</v>
      </c>
      <c r="T18" s="30">
        <v>10827028.800000001</v>
      </c>
      <c r="U18" s="30">
        <f>T18/X18</f>
        <v>8592.880000000001</v>
      </c>
      <c r="V18" s="43">
        <f>T18/X18</f>
        <v>8592.880000000001</v>
      </c>
      <c r="W18" s="43">
        <f t="shared" si="0"/>
        <v>34371.520000000004</v>
      </c>
      <c r="X18" s="43">
        <f>560+700</f>
        <v>1260</v>
      </c>
      <c r="Y18" s="43"/>
      <c r="Z18" s="43">
        <f>96+604</f>
        <v>700</v>
      </c>
      <c r="AA18" s="43"/>
      <c r="AB18" s="43">
        <v>96</v>
      </c>
      <c r="AC18" s="43">
        <f t="shared" si="1"/>
        <v>824916.4800000001</v>
      </c>
      <c r="AD18" s="43">
        <v>604</v>
      </c>
      <c r="AE18" s="43">
        <f t="shared" si="2"/>
        <v>5190099.5200000005</v>
      </c>
      <c r="AF18" s="43">
        <v>280</v>
      </c>
      <c r="AG18" s="43">
        <v>280</v>
      </c>
      <c r="AH18" s="38">
        <v>44986</v>
      </c>
      <c r="AI18" s="38">
        <v>45352</v>
      </c>
      <c r="AJ18" s="38"/>
      <c r="AK18" s="38">
        <v>45000</v>
      </c>
      <c r="AL18" s="48">
        <v>45383</v>
      </c>
      <c r="AM18" s="48"/>
      <c r="AN18" s="42"/>
      <c r="AO18" s="42" t="s">
        <v>189</v>
      </c>
      <c r="AP18" s="42" t="s">
        <v>190</v>
      </c>
      <c r="AQ18" s="42" t="s">
        <v>191</v>
      </c>
      <c r="AR18" s="42" t="s">
        <v>60</v>
      </c>
      <c r="AS18" s="50">
        <v>0</v>
      </c>
      <c r="AT18" s="39">
        <v>100</v>
      </c>
      <c r="AU18" s="39" t="s">
        <v>83</v>
      </c>
      <c r="AV18" s="49">
        <v>4</v>
      </c>
      <c r="AW18" s="39" t="s">
        <v>62</v>
      </c>
      <c r="AX18" s="39">
        <v>10</v>
      </c>
      <c r="AY18" s="30">
        <v>962402.56</v>
      </c>
      <c r="AZ18" s="42" t="s">
        <v>97</v>
      </c>
    </row>
    <row r="19" spans="1:52" ht="76.5" customHeight="1" x14ac:dyDescent="0.25">
      <c r="A19" s="37" t="s">
        <v>192</v>
      </c>
      <c r="B19" s="38">
        <v>44679</v>
      </c>
      <c r="C19" s="39">
        <v>1416</v>
      </c>
      <c r="D19" s="37" t="s">
        <v>193</v>
      </c>
      <c r="E19" s="41" t="s">
        <v>194</v>
      </c>
      <c r="F19" s="38">
        <v>44711</v>
      </c>
      <c r="G19" s="37" t="s">
        <v>195</v>
      </c>
      <c r="H19" s="42" t="s">
        <v>54</v>
      </c>
      <c r="I19" s="42" t="s">
        <v>196</v>
      </c>
      <c r="J19" s="43">
        <v>44846945.640000001</v>
      </c>
      <c r="K19" s="43" t="s">
        <v>197</v>
      </c>
      <c r="L19" s="43" t="s">
        <v>197</v>
      </c>
      <c r="M19" s="43">
        <v>0</v>
      </c>
      <c r="N19" s="44">
        <v>0</v>
      </c>
      <c r="O19" s="45">
        <v>0</v>
      </c>
      <c r="P19" s="43">
        <v>44846945.640000001</v>
      </c>
      <c r="Q19" s="45">
        <v>0</v>
      </c>
      <c r="R19" s="43">
        <v>22423472.82</v>
      </c>
      <c r="S19" s="30">
        <v>35788456.619999997</v>
      </c>
      <c r="T19" s="30">
        <v>58211929.439999998</v>
      </c>
      <c r="U19" s="30">
        <f>T19/X19</f>
        <v>7071.42</v>
      </c>
      <c r="V19" s="43">
        <f>T19/X19</f>
        <v>7071.42</v>
      </c>
      <c r="W19" s="43">
        <f t="shared" si="0"/>
        <v>148499.82</v>
      </c>
      <c r="X19" s="43">
        <v>8232</v>
      </c>
      <c r="Y19" s="43"/>
      <c r="Z19" s="43">
        <v>5061</v>
      </c>
      <c r="AA19" s="43"/>
      <c r="AB19" s="43">
        <v>0</v>
      </c>
      <c r="AC19" s="43">
        <f t="shared" si="1"/>
        <v>0</v>
      </c>
      <c r="AD19" s="43">
        <v>5061</v>
      </c>
      <c r="AE19" s="43">
        <f t="shared" si="2"/>
        <v>35788456.619999997</v>
      </c>
      <c r="AF19" s="43">
        <v>302</v>
      </c>
      <c r="AG19" s="43">
        <v>302</v>
      </c>
      <c r="AH19" s="38">
        <v>44986</v>
      </c>
      <c r="AI19" s="38">
        <v>45352</v>
      </c>
      <c r="AJ19" s="38"/>
      <c r="AK19" s="38">
        <v>45000</v>
      </c>
      <c r="AL19" s="48">
        <v>45383</v>
      </c>
      <c r="AM19" s="48"/>
      <c r="AN19" s="42"/>
      <c r="AO19" s="42" t="s">
        <v>198</v>
      </c>
      <c r="AP19" s="42" t="s">
        <v>199</v>
      </c>
      <c r="AQ19" s="42" t="s">
        <v>200</v>
      </c>
      <c r="AR19" s="42" t="s">
        <v>82</v>
      </c>
      <c r="AS19" s="50">
        <v>100</v>
      </c>
      <c r="AT19" s="39">
        <v>0</v>
      </c>
      <c r="AU19" s="39" t="s">
        <v>61</v>
      </c>
      <c r="AV19" s="49">
        <v>21</v>
      </c>
      <c r="AW19" s="39" t="s">
        <v>62</v>
      </c>
      <c r="AX19" s="39">
        <v>10</v>
      </c>
      <c r="AY19" s="30">
        <v>4484694.5639999993</v>
      </c>
      <c r="AZ19" s="42" t="s">
        <v>63</v>
      </c>
    </row>
    <row r="20" spans="1:52" ht="76.5" customHeight="1" x14ac:dyDescent="0.25">
      <c r="A20" s="37" t="s">
        <v>201</v>
      </c>
      <c r="B20" s="38">
        <v>44680</v>
      </c>
      <c r="C20" s="39">
        <v>1416</v>
      </c>
      <c r="D20" s="37" t="s">
        <v>202</v>
      </c>
      <c r="E20" s="41" t="s">
        <v>203</v>
      </c>
      <c r="F20" s="38">
        <v>44713</v>
      </c>
      <c r="G20" s="37" t="s">
        <v>204</v>
      </c>
      <c r="H20" s="42" t="s">
        <v>205</v>
      </c>
      <c r="I20" s="42" t="s">
        <v>206</v>
      </c>
      <c r="J20" s="43">
        <v>761678714.15999997</v>
      </c>
      <c r="K20" s="43" t="s">
        <v>207</v>
      </c>
      <c r="L20" s="43" t="s">
        <v>207</v>
      </c>
      <c r="M20" s="43">
        <v>0</v>
      </c>
      <c r="N20" s="44">
        <v>1.0000000706859646</v>
      </c>
      <c r="O20" s="45">
        <v>7616787.6799999475</v>
      </c>
      <c r="P20" s="43">
        <v>754061926.48000002</v>
      </c>
      <c r="Q20" s="45">
        <v>-7622050.7999999523</v>
      </c>
      <c r="R20" s="43">
        <v>377028331.68000001</v>
      </c>
      <c r="S20" s="30">
        <v>377028331.68000001</v>
      </c>
      <c r="T20" s="30">
        <v>754056663.36000001</v>
      </c>
      <c r="U20" s="30">
        <f>T20/X20</f>
        <v>4412.32</v>
      </c>
      <c r="V20" s="43">
        <f>T20/X20</f>
        <v>4412.32</v>
      </c>
      <c r="W20" s="43">
        <f t="shared" si="0"/>
        <v>92658.72</v>
      </c>
      <c r="X20" s="43">
        <f>85449*2</f>
        <v>170898</v>
      </c>
      <c r="Y20" s="43"/>
      <c r="Z20" s="43">
        <v>85449</v>
      </c>
      <c r="AA20" s="43"/>
      <c r="AB20" s="43">
        <v>0</v>
      </c>
      <c r="AC20" s="43">
        <f t="shared" si="1"/>
        <v>0</v>
      </c>
      <c r="AD20" s="43">
        <v>85449</v>
      </c>
      <c r="AE20" s="43">
        <f t="shared" si="2"/>
        <v>377028331.67999995</v>
      </c>
      <c r="AF20" s="43">
        <v>8138</v>
      </c>
      <c r="AG20" s="43">
        <v>8138</v>
      </c>
      <c r="AH20" s="38">
        <v>44958</v>
      </c>
      <c r="AI20" s="38">
        <v>45352</v>
      </c>
      <c r="AJ20" s="38"/>
      <c r="AK20" s="38">
        <v>44972</v>
      </c>
      <c r="AL20" s="48">
        <v>45383</v>
      </c>
      <c r="AM20" s="48"/>
      <c r="AN20" s="42"/>
      <c r="AO20" s="42" t="s">
        <v>208</v>
      </c>
      <c r="AP20" s="42" t="s">
        <v>209</v>
      </c>
      <c r="AQ20" s="42" t="s">
        <v>210</v>
      </c>
      <c r="AR20" s="42" t="s">
        <v>82</v>
      </c>
      <c r="AS20" s="39">
        <v>100</v>
      </c>
      <c r="AT20" s="39">
        <v>0</v>
      </c>
      <c r="AU20" s="39" t="s">
        <v>61</v>
      </c>
      <c r="AV20" s="53">
        <v>21</v>
      </c>
      <c r="AW20" s="39" t="s">
        <v>62</v>
      </c>
      <c r="AX20" s="39">
        <v>10</v>
      </c>
      <c r="AY20" s="30">
        <v>76167871.415999994</v>
      </c>
      <c r="AZ20" s="42" t="s">
        <v>63</v>
      </c>
    </row>
    <row r="21" spans="1:52" ht="76.5" customHeight="1" x14ac:dyDescent="0.25">
      <c r="A21" s="37" t="s">
        <v>211</v>
      </c>
      <c r="B21" s="38">
        <v>44680</v>
      </c>
      <c r="C21" s="39">
        <v>1416</v>
      </c>
      <c r="D21" s="37" t="s">
        <v>212</v>
      </c>
      <c r="E21" s="41" t="s">
        <v>213</v>
      </c>
      <c r="F21" s="38">
        <v>44712</v>
      </c>
      <c r="G21" s="37" t="s">
        <v>214</v>
      </c>
      <c r="H21" s="42" t="s">
        <v>215</v>
      </c>
      <c r="I21" s="42" t="s">
        <v>216</v>
      </c>
      <c r="J21" s="43">
        <v>61486783.68</v>
      </c>
      <c r="K21" s="43" t="s">
        <v>217</v>
      </c>
      <c r="L21" s="43" t="s">
        <v>217</v>
      </c>
      <c r="M21" s="43">
        <v>0</v>
      </c>
      <c r="N21" s="44">
        <v>2.5000000130109288</v>
      </c>
      <c r="O21" s="45">
        <v>1537169.6000000015</v>
      </c>
      <c r="P21" s="43">
        <v>59949614.079999998</v>
      </c>
      <c r="Q21" s="45">
        <v>-1537213.4399999976</v>
      </c>
      <c r="R21" s="43">
        <v>29974785.120000001</v>
      </c>
      <c r="S21" s="30">
        <v>29974785.120000001</v>
      </c>
      <c r="T21" s="30">
        <v>59949570.240000002</v>
      </c>
      <c r="U21" s="30">
        <f>T21/X21</f>
        <v>3076.23</v>
      </c>
      <c r="V21" s="43">
        <f>T21/X21</f>
        <v>3076.23</v>
      </c>
      <c r="W21" s="43">
        <f t="shared" si="0"/>
        <v>64600.83</v>
      </c>
      <c r="X21" s="43">
        <v>19488</v>
      </c>
      <c r="Y21" s="43"/>
      <c r="Z21" s="43">
        <v>9744</v>
      </c>
      <c r="AA21" s="43"/>
      <c r="AB21" s="43">
        <v>0</v>
      </c>
      <c r="AC21" s="43">
        <f t="shared" si="1"/>
        <v>0</v>
      </c>
      <c r="AD21" s="43">
        <v>9744</v>
      </c>
      <c r="AE21" s="43">
        <f t="shared" si="2"/>
        <v>29974785.120000001</v>
      </c>
      <c r="AF21" s="43">
        <v>928</v>
      </c>
      <c r="AG21" s="43">
        <v>928</v>
      </c>
      <c r="AH21" s="38">
        <v>44958</v>
      </c>
      <c r="AI21" s="38">
        <v>45292</v>
      </c>
      <c r="AJ21" s="38"/>
      <c r="AK21" s="38">
        <v>44972</v>
      </c>
      <c r="AL21" s="38">
        <v>45366</v>
      </c>
      <c r="AM21" s="48"/>
      <c r="AN21" s="42"/>
      <c r="AO21" s="42" t="s">
        <v>218</v>
      </c>
      <c r="AP21" s="42" t="s">
        <v>219</v>
      </c>
      <c r="AQ21" s="42" t="s">
        <v>220</v>
      </c>
      <c r="AR21" s="42" t="s">
        <v>82</v>
      </c>
      <c r="AS21" s="39">
        <v>100</v>
      </c>
      <c r="AT21" s="39">
        <v>0</v>
      </c>
      <c r="AU21" s="39" t="s">
        <v>61</v>
      </c>
      <c r="AV21" s="53">
        <v>21</v>
      </c>
      <c r="AW21" s="39" t="s">
        <v>221</v>
      </c>
      <c r="AX21" s="39">
        <v>10</v>
      </c>
      <c r="AY21" s="30">
        <v>6148678.3679999998</v>
      </c>
      <c r="AZ21" s="42" t="s">
        <v>63</v>
      </c>
    </row>
    <row r="22" spans="1:52" ht="76.5" customHeight="1" x14ac:dyDescent="0.25">
      <c r="A22" s="37" t="s">
        <v>222</v>
      </c>
      <c r="B22" s="38">
        <v>44680</v>
      </c>
      <c r="C22" s="39">
        <v>1416</v>
      </c>
      <c r="D22" s="37" t="s">
        <v>223</v>
      </c>
      <c r="E22" s="41" t="s">
        <v>224</v>
      </c>
      <c r="F22" s="38">
        <v>44714</v>
      </c>
      <c r="G22" s="37" t="s">
        <v>225</v>
      </c>
      <c r="H22" s="42" t="s">
        <v>226</v>
      </c>
      <c r="I22" s="42" t="s">
        <v>227</v>
      </c>
      <c r="J22" s="43">
        <v>3291225799.6799998</v>
      </c>
      <c r="K22" s="43" t="s">
        <v>228</v>
      </c>
      <c r="L22" s="43" t="s">
        <v>228</v>
      </c>
      <c r="M22" s="43">
        <v>0</v>
      </c>
      <c r="N22" s="44">
        <v>0.50000001706354957</v>
      </c>
      <c r="O22" s="45">
        <v>16456129.559999943</v>
      </c>
      <c r="P22" s="43">
        <v>3274769670.1199999</v>
      </c>
      <c r="Q22" s="45">
        <v>-16460962.559999943</v>
      </c>
      <c r="R22" s="43">
        <v>1637382418.5599999</v>
      </c>
      <c r="S22" s="30">
        <v>1454542881.1199999</v>
      </c>
      <c r="T22" s="43">
        <v>3091925299.6799998</v>
      </c>
      <c r="U22" s="30">
        <v>4333.33</v>
      </c>
      <c r="V22" s="43">
        <f>T22/X22</f>
        <v>4605.6849999999995</v>
      </c>
      <c r="W22" s="43">
        <f t="shared" si="0"/>
        <v>96719.384999999995</v>
      </c>
      <c r="X22" s="43">
        <v>671328</v>
      </c>
      <c r="Y22" s="43"/>
      <c r="Z22" s="43">
        <v>335664</v>
      </c>
      <c r="AA22" s="43"/>
      <c r="AB22" s="43">
        <v>983</v>
      </c>
      <c r="AC22" s="43">
        <f t="shared" si="1"/>
        <v>4527388.3549999995</v>
      </c>
      <c r="AD22" s="43">
        <v>334681</v>
      </c>
      <c r="AE22" s="43">
        <f t="shared" si="2"/>
        <v>1541435261.4849999</v>
      </c>
      <c r="AF22" s="43">
        <v>0</v>
      </c>
      <c r="AG22" s="43">
        <v>0</v>
      </c>
      <c r="AH22" s="38">
        <v>44958</v>
      </c>
      <c r="AI22" s="38">
        <v>45352</v>
      </c>
      <c r="AJ22" s="38"/>
      <c r="AK22" s="38">
        <v>44972</v>
      </c>
      <c r="AL22" s="38">
        <v>45383</v>
      </c>
      <c r="AM22" s="48"/>
      <c r="AN22" s="42"/>
      <c r="AO22" s="42" t="s">
        <v>229</v>
      </c>
      <c r="AP22" s="42" t="s">
        <v>230</v>
      </c>
      <c r="AQ22" s="42" t="s">
        <v>231</v>
      </c>
      <c r="AR22" s="42" t="s">
        <v>82</v>
      </c>
      <c r="AS22" s="39">
        <v>100</v>
      </c>
      <c r="AT22" s="39">
        <v>0</v>
      </c>
      <c r="AU22" s="39" t="s">
        <v>61</v>
      </c>
      <c r="AV22" s="53">
        <v>21</v>
      </c>
      <c r="AW22" s="39" t="s">
        <v>62</v>
      </c>
      <c r="AX22" s="39">
        <v>10</v>
      </c>
      <c r="AY22" s="30">
        <v>329122579.96799999</v>
      </c>
      <c r="AZ22" s="42" t="s">
        <v>97</v>
      </c>
    </row>
    <row r="23" spans="1:52" ht="76.5" customHeight="1" x14ac:dyDescent="0.25">
      <c r="A23" s="37" t="s">
        <v>232</v>
      </c>
      <c r="B23" s="38">
        <v>44680</v>
      </c>
      <c r="C23" s="39">
        <v>1416</v>
      </c>
      <c r="D23" s="37" t="s">
        <v>233</v>
      </c>
      <c r="E23" s="41" t="s">
        <v>234</v>
      </c>
      <c r="F23" s="38">
        <v>44712</v>
      </c>
      <c r="G23" s="37" t="s">
        <v>235</v>
      </c>
      <c r="H23" s="42" t="s">
        <v>215</v>
      </c>
      <c r="I23" s="42" t="s">
        <v>236</v>
      </c>
      <c r="J23" s="43">
        <v>268892744.39999998</v>
      </c>
      <c r="K23" s="43" t="s">
        <v>237</v>
      </c>
      <c r="L23" s="43" t="s">
        <v>237</v>
      </c>
      <c r="M23" s="43">
        <v>0</v>
      </c>
      <c r="N23" s="44">
        <v>1.4999999977686147</v>
      </c>
      <c r="O23" s="45">
        <v>4033391.1599999666</v>
      </c>
      <c r="P23" s="43">
        <v>264859353.24000001</v>
      </c>
      <c r="Q23" s="45">
        <v>4033505.6999999881</v>
      </c>
      <c r="R23" s="43">
        <v>132429619.34999999</v>
      </c>
      <c r="S23" s="30">
        <v>132429619.34999999</v>
      </c>
      <c r="T23" s="30">
        <v>264859238.69999999</v>
      </c>
      <c r="U23" s="30">
        <f>T23/X23</f>
        <v>4162.49</v>
      </c>
      <c r="V23" s="43">
        <f>T23/X23</f>
        <v>4162.49</v>
      </c>
      <c r="W23" s="43">
        <f t="shared" si="0"/>
        <v>87412.29</v>
      </c>
      <c r="X23" s="43">
        <v>63630</v>
      </c>
      <c r="Y23" s="43"/>
      <c r="Z23" s="43">
        <v>31815</v>
      </c>
      <c r="AA23" s="43"/>
      <c r="AB23" s="43">
        <v>0</v>
      </c>
      <c r="AC23" s="43">
        <f t="shared" si="1"/>
        <v>0</v>
      </c>
      <c r="AD23" s="43">
        <v>31815</v>
      </c>
      <c r="AE23" s="43">
        <f t="shared" si="2"/>
        <v>132429619.34999999</v>
      </c>
      <c r="AF23" s="43">
        <v>3030</v>
      </c>
      <c r="AG23" s="43">
        <v>3030</v>
      </c>
      <c r="AH23" s="38">
        <v>44958</v>
      </c>
      <c r="AI23" s="38">
        <v>45352</v>
      </c>
      <c r="AJ23" s="38"/>
      <c r="AK23" s="38">
        <v>44972</v>
      </c>
      <c r="AL23" s="38">
        <v>45383</v>
      </c>
      <c r="AM23" s="48"/>
      <c r="AN23" s="42"/>
      <c r="AO23" s="42" t="s">
        <v>218</v>
      </c>
      <c r="AP23" s="42" t="s">
        <v>238</v>
      </c>
      <c r="AQ23" s="42" t="s">
        <v>220</v>
      </c>
      <c r="AR23" s="42" t="s">
        <v>82</v>
      </c>
      <c r="AS23" s="50">
        <v>0</v>
      </c>
      <c r="AT23" s="39">
        <v>100</v>
      </c>
      <c r="AU23" s="39" t="s">
        <v>61</v>
      </c>
      <c r="AV23" s="49">
        <v>21</v>
      </c>
      <c r="AW23" s="39" t="s">
        <v>221</v>
      </c>
      <c r="AX23" s="39">
        <v>10</v>
      </c>
      <c r="AY23" s="30">
        <v>26889274.440000001</v>
      </c>
      <c r="AZ23" s="42" t="s">
        <v>63</v>
      </c>
    </row>
    <row r="24" spans="1:52" ht="76.5" customHeight="1" x14ac:dyDescent="0.25">
      <c r="A24" s="37" t="s">
        <v>239</v>
      </c>
      <c r="B24" s="38">
        <v>44685</v>
      </c>
      <c r="C24" s="39">
        <v>1416</v>
      </c>
      <c r="D24" s="37" t="s">
        <v>240</v>
      </c>
      <c r="E24" s="41" t="s">
        <v>241</v>
      </c>
      <c r="F24" s="38">
        <v>44626</v>
      </c>
      <c r="G24" s="37" t="s">
        <v>242</v>
      </c>
      <c r="H24" s="42" t="s">
        <v>114</v>
      </c>
      <c r="I24" s="42" t="s">
        <v>243</v>
      </c>
      <c r="J24" s="43">
        <v>1400150205</v>
      </c>
      <c r="K24" s="43" t="s">
        <v>244</v>
      </c>
      <c r="L24" s="43" t="s">
        <v>244</v>
      </c>
      <c r="M24" s="43">
        <v>0</v>
      </c>
      <c r="N24" s="44">
        <v>99.159763341962304</v>
      </c>
      <c r="O24" s="45">
        <v>1388385629.71</v>
      </c>
      <c r="P24" s="43">
        <v>11764575.289999999</v>
      </c>
      <c r="Q24" s="45">
        <v>1394269544.25</v>
      </c>
      <c r="R24" s="43">
        <v>5880660.75</v>
      </c>
      <c r="S24" s="30">
        <v>5880660.75</v>
      </c>
      <c r="T24" s="43">
        <v>11761321.5</v>
      </c>
      <c r="U24" s="30">
        <f>T24/X24</f>
        <v>7.87</v>
      </c>
      <c r="V24" s="43">
        <f>T24/X24</f>
        <v>7.87</v>
      </c>
      <c r="W24" s="43">
        <f t="shared" si="0"/>
        <v>220.36</v>
      </c>
      <c r="X24" s="43">
        <v>1494450</v>
      </c>
      <c r="Y24" s="43"/>
      <c r="Z24" s="43">
        <v>747225</v>
      </c>
      <c r="AA24" s="43"/>
      <c r="AB24" s="43">
        <v>2044</v>
      </c>
      <c r="AC24" s="43">
        <f t="shared" si="1"/>
        <v>16086.28</v>
      </c>
      <c r="AD24" s="43">
        <v>745181</v>
      </c>
      <c r="AE24" s="43">
        <f t="shared" si="2"/>
        <v>5864574.4699999997</v>
      </c>
      <c r="AF24" s="43">
        <v>53373.214285714283</v>
      </c>
      <c r="AG24" s="43">
        <v>53374</v>
      </c>
      <c r="AH24" s="38">
        <v>44986</v>
      </c>
      <c r="AI24" s="38">
        <v>45352</v>
      </c>
      <c r="AJ24" s="38"/>
      <c r="AK24" s="38">
        <v>45000</v>
      </c>
      <c r="AL24" s="38">
        <v>45383</v>
      </c>
      <c r="AM24" s="48"/>
      <c r="AN24" s="42"/>
      <c r="AO24" s="42" t="s">
        <v>245</v>
      </c>
      <c r="AP24" s="42" t="s">
        <v>246</v>
      </c>
      <c r="AQ24" s="42" t="s">
        <v>247</v>
      </c>
      <c r="AR24" s="42" t="s">
        <v>82</v>
      </c>
      <c r="AS24" s="50">
        <v>100</v>
      </c>
      <c r="AT24" s="39">
        <v>0</v>
      </c>
      <c r="AU24" s="39" t="s">
        <v>61</v>
      </c>
      <c r="AV24" s="49">
        <v>28</v>
      </c>
      <c r="AW24" s="39" t="s">
        <v>62</v>
      </c>
      <c r="AX24" s="39">
        <v>10</v>
      </c>
      <c r="AY24" s="30">
        <v>140015020.5</v>
      </c>
      <c r="AZ24" s="42" t="s">
        <v>63</v>
      </c>
    </row>
    <row r="25" spans="1:52" ht="76.5" customHeight="1" x14ac:dyDescent="0.25">
      <c r="A25" s="37" t="s">
        <v>248</v>
      </c>
      <c r="B25" s="38">
        <v>44708</v>
      </c>
      <c r="C25" s="39">
        <v>1416</v>
      </c>
      <c r="D25" s="37" t="s">
        <v>249</v>
      </c>
      <c r="E25" s="41" t="s">
        <v>250</v>
      </c>
      <c r="F25" s="38">
        <v>44739</v>
      </c>
      <c r="G25" s="39" t="s">
        <v>251</v>
      </c>
      <c r="H25" s="42" t="s">
        <v>252</v>
      </c>
      <c r="I25" s="42" t="s">
        <v>253</v>
      </c>
      <c r="J25" s="43">
        <v>761721856</v>
      </c>
      <c r="K25" s="43" t="s">
        <v>254</v>
      </c>
      <c r="L25" s="43" t="s">
        <v>254</v>
      </c>
      <c r="M25" s="43">
        <v>0</v>
      </c>
      <c r="N25" s="44">
        <v>0</v>
      </c>
      <c r="O25" s="45">
        <v>0</v>
      </c>
      <c r="P25" s="43">
        <v>761721856</v>
      </c>
      <c r="Q25" s="45">
        <v>0</v>
      </c>
      <c r="R25" s="43">
        <v>380860928</v>
      </c>
      <c r="S25" s="30">
        <v>380860928</v>
      </c>
      <c r="T25" s="30">
        <v>761721856</v>
      </c>
      <c r="U25" s="30">
        <f>T25/X25</f>
        <v>258.39999999999998</v>
      </c>
      <c r="V25" s="43">
        <f>T25/X25</f>
        <v>258.39999999999998</v>
      </c>
      <c r="W25" s="43">
        <f t="shared" si="0"/>
        <v>7235.1999999999989</v>
      </c>
      <c r="X25" s="43">
        <v>2947840</v>
      </c>
      <c r="Y25" s="43"/>
      <c r="Z25" s="43">
        <v>1473920</v>
      </c>
      <c r="AA25" s="43"/>
      <c r="AB25" s="43">
        <v>1820</v>
      </c>
      <c r="AC25" s="43">
        <f t="shared" si="1"/>
        <v>470287.99999999994</v>
      </c>
      <c r="AD25" s="43">
        <v>1472100</v>
      </c>
      <c r="AE25" s="43">
        <f t="shared" si="2"/>
        <v>380390639.99999994</v>
      </c>
      <c r="AF25" s="43">
        <v>105280</v>
      </c>
      <c r="AG25" s="43">
        <v>105280</v>
      </c>
      <c r="AH25" s="38">
        <v>44958</v>
      </c>
      <c r="AI25" s="38">
        <v>45323</v>
      </c>
      <c r="AJ25" s="38"/>
      <c r="AK25" s="38">
        <v>44972</v>
      </c>
      <c r="AL25" s="38">
        <v>45352</v>
      </c>
      <c r="AM25" s="48"/>
      <c r="AN25" s="42"/>
      <c r="AO25" s="42" t="s">
        <v>117</v>
      </c>
      <c r="AP25" s="42" t="s">
        <v>255</v>
      </c>
      <c r="AQ25" s="42" t="s">
        <v>256</v>
      </c>
      <c r="AR25" s="42" t="s">
        <v>82</v>
      </c>
      <c r="AS25" s="39">
        <v>100</v>
      </c>
      <c r="AT25" s="39">
        <v>0</v>
      </c>
      <c r="AU25" s="39" t="s">
        <v>83</v>
      </c>
      <c r="AV25" s="49">
        <v>28</v>
      </c>
      <c r="AW25" s="39" t="s">
        <v>62</v>
      </c>
      <c r="AX25" s="39">
        <v>10</v>
      </c>
      <c r="AY25" s="30">
        <v>76172185.599999994</v>
      </c>
      <c r="AZ25" s="42" t="s">
        <v>63</v>
      </c>
    </row>
    <row r="26" spans="1:52" ht="78.75" x14ac:dyDescent="0.25">
      <c r="A26" s="37" t="s">
        <v>257</v>
      </c>
      <c r="B26" s="38">
        <v>44706</v>
      </c>
      <c r="C26" s="39">
        <v>1416</v>
      </c>
      <c r="D26" s="37" t="s">
        <v>258</v>
      </c>
      <c r="E26" s="41" t="s">
        <v>259</v>
      </c>
      <c r="F26" s="38">
        <v>44729</v>
      </c>
      <c r="G26" s="39" t="s">
        <v>260</v>
      </c>
      <c r="H26" s="42" t="s">
        <v>141</v>
      </c>
      <c r="I26" s="42" t="s">
        <v>261</v>
      </c>
      <c r="J26" s="43">
        <v>274032460.80000001</v>
      </c>
      <c r="K26" s="43" t="s">
        <v>262</v>
      </c>
      <c r="L26" s="43" t="s">
        <v>262</v>
      </c>
      <c r="M26" s="43">
        <v>0</v>
      </c>
      <c r="N26" s="44">
        <f>((J26-P26)/J26)*100</f>
        <v>0</v>
      </c>
      <c r="O26" s="45">
        <f>J26-P26</f>
        <v>0</v>
      </c>
      <c r="P26" s="30">
        <v>274032460.80000001</v>
      </c>
      <c r="Q26" s="45">
        <v>0</v>
      </c>
      <c r="R26" s="43">
        <v>137016230.40000001</v>
      </c>
      <c r="S26" s="30">
        <v>136875267.19999999</v>
      </c>
      <c r="T26" s="30">
        <v>273891497.60000002</v>
      </c>
      <c r="U26" s="30">
        <f>T26/X26</f>
        <v>2013.7600000000002</v>
      </c>
      <c r="V26" s="43">
        <f>T26/X26</f>
        <v>2013.7600000000002</v>
      </c>
      <c r="W26" s="43">
        <f t="shared" si="0"/>
        <v>20137.600000000002</v>
      </c>
      <c r="X26" s="43">
        <v>136010</v>
      </c>
      <c r="Y26" s="43"/>
      <c r="Z26" s="43">
        <v>67970</v>
      </c>
      <c r="AA26" s="43"/>
      <c r="AB26" s="43">
        <v>51570</v>
      </c>
      <c r="AC26" s="43">
        <f t="shared" si="1"/>
        <v>103849603.20000002</v>
      </c>
      <c r="AD26" s="43">
        <v>16400</v>
      </c>
      <c r="AE26" s="43">
        <f t="shared" si="2"/>
        <v>33025664.000000004</v>
      </c>
      <c r="AF26" s="43">
        <f>X26/AV26</f>
        <v>13601</v>
      </c>
      <c r="AG26" s="43">
        <f>_xlfn.CEILING.MATH(AF26)</f>
        <v>13601</v>
      </c>
      <c r="AH26" s="38">
        <v>45031</v>
      </c>
      <c r="AI26" s="38">
        <v>45397</v>
      </c>
      <c r="AJ26" s="38"/>
      <c r="AK26" s="38">
        <v>45061</v>
      </c>
      <c r="AL26" s="38">
        <v>45427</v>
      </c>
      <c r="AM26" s="48"/>
      <c r="AN26" s="42"/>
      <c r="AO26" s="42" t="s">
        <v>263</v>
      </c>
      <c r="AP26" s="42" t="s">
        <v>264</v>
      </c>
      <c r="AQ26" s="42" t="s">
        <v>265</v>
      </c>
      <c r="AR26" s="42" t="s">
        <v>266</v>
      </c>
      <c r="AS26" s="50">
        <v>0</v>
      </c>
      <c r="AT26" s="39">
        <v>100</v>
      </c>
      <c r="AU26" s="39" t="s">
        <v>83</v>
      </c>
      <c r="AV26" s="49">
        <v>10</v>
      </c>
      <c r="AW26" s="39" t="s">
        <v>62</v>
      </c>
      <c r="AX26" s="39">
        <v>10</v>
      </c>
      <c r="AY26" s="30">
        <f>(J26*10)/100</f>
        <v>27403246.079999998</v>
      </c>
      <c r="AZ26" s="42" t="s">
        <v>63</v>
      </c>
    </row>
    <row r="27" spans="1:52" ht="76.5" customHeight="1" x14ac:dyDescent="0.25">
      <c r="A27" s="37" t="s">
        <v>267</v>
      </c>
      <c r="B27" s="38">
        <v>44715</v>
      </c>
      <c r="C27" s="39">
        <v>1416</v>
      </c>
      <c r="D27" s="37" t="s">
        <v>268</v>
      </c>
      <c r="E27" s="41" t="s">
        <v>269</v>
      </c>
      <c r="F27" s="38">
        <v>44746</v>
      </c>
      <c r="G27" s="39" t="s">
        <v>270</v>
      </c>
      <c r="H27" s="42" t="s">
        <v>271</v>
      </c>
      <c r="I27" s="42" t="s">
        <v>272</v>
      </c>
      <c r="J27" s="43">
        <v>1240064812.8</v>
      </c>
      <c r="K27" s="43" t="s">
        <v>273</v>
      </c>
      <c r="L27" s="43" t="s">
        <v>273</v>
      </c>
      <c r="M27" s="43">
        <v>0</v>
      </c>
      <c r="N27" s="44">
        <v>0</v>
      </c>
      <c r="O27" s="45">
        <v>0</v>
      </c>
      <c r="P27" s="43">
        <v>1240064812.8</v>
      </c>
      <c r="Q27" s="45">
        <v>620032406.39999998</v>
      </c>
      <c r="R27" s="43">
        <v>620032406.39999998</v>
      </c>
      <c r="S27" s="30">
        <v>992041578</v>
      </c>
      <c r="T27" s="30">
        <v>1612073984.4000001</v>
      </c>
      <c r="U27" s="30">
        <f>T27/X27</f>
        <v>142.67000000000002</v>
      </c>
      <c r="V27" s="43">
        <f>T27/X27</f>
        <v>142.67000000000002</v>
      </c>
      <c r="W27" s="43">
        <f t="shared" si="0"/>
        <v>17120.400000000001</v>
      </c>
      <c r="X27" s="43">
        <v>11299320</v>
      </c>
      <c r="Y27" s="43"/>
      <c r="Z27" s="43">
        <f>47880+6905520</f>
        <v>6953400</v>
      </c>
      <c r="AA27" s="43"/>
      <c r="AB27" s="43">
        <v>47880</v>
      </c>
      <c r="AC27" s="43">
        <f t="shared" si="1"/>
        <v>6831039.6000000006</v>
      </c>
      <c r="AD27" s="43">
        <v>6905520</v>
      </c>
      <c r="AE27" s="43">
        <f t="shared" si="2"/>
        <v>985210538.4000001</v>
      </c>
      <c r="AF27" s="43">
        <v>72432</v>
      </c>
      <c r="AG27" s="43">
        <v>72432</v>
      </c>
      <c r="AH27" s="38">
        <v>44986</v>
      </c>
      <c r="AI27" s="38">
        <v>45352</v>
      </c>
      <c r="AJ27" s="38"/>
      <c r="AK27" s="38">
        <v>45000</v>
      </c>
      <c r="AL27" s="38">
        <v>45383</v>
      </c>
      <c r="AM27" s="48"/>
      <c r="AN27" s="42"/>
      <c r="AO27" s="42" t="s">
        <v>274</v>
      </c>
      <c r="AP27" s="42" t="s">
        <v>275</v>
      </c>
      <c r="AQ27" s="42" t="s">
        <v>276</v>
      </c>
      <c r="AR27" s="42" t="s">
        <v>277</v>
      </c>
      <c r="AS27" s="50">
        <v>0</v>
      </c>
      <c r="AT27" s="39">
        <v>100</v>
      </c>
      <c r="AU27" s="39" t="s">
        <v>278</v>
      </c>
      <c r="AV27" s="49">
        <v>120</v>
      </c>
      <c r="AW27" s="39" t="s">
        <v>62</v>
      </c>
      <c r="AX27" s="39">
        <v>10</v>
      </c>
      <c r="AY27" s="30">
        <v>124006481.28</v>
      </c>
      <c r="AZ27" s="42" t="s">
        <v>63</v>
      </c>
    </row>
    <row r="28" spans="1:52" ht="76.5" customHeight="1" x14ac:dyDescent="0.25">
      <c r="A28" s="37" t="s">
        <v>279</v>
      </c>
      <c r="B28" s="38">
        <v>44719</v>
      </c>
      <c r="C28" s="39">
        <v>1416</v>
      </c>
      <c r="D28" s="37" t="s">
        <v>280</v>
      </c>
      <c r="E28" s="41" t="s">
        <v>281</v>
      </c>
      <c r="F28" s="38">
        <v>44746</v>
      </c>
      <c r="G28" s="37" t="s">
        <v>282</v>
      </c>
      <c r="H28" s="42" t="s">
        <v>88</v>
      </c>
      <c r="I28" s="42" t="s">
        <v>283</v>
      </c>
      <c r="J28" s="43">
        <v>117119160</v>
      </c>
      <c r="K28" s="43" t="s">
        <v>284</v>
      </c>
      <c r="L28" s="43" t="s">
        <v>284</v>
      </c>
      <c r="M28" s="43">
        <v>0</v>
      </c>
      <c r="N28" s="44">
        <v>0</v>
      </c>
      <c r="O28" s="45">
        <v>0</v>
      </c>
      <c r="P28" s="43">
        <v>117119160</v>
      </c>
      <c r="Q28" s="45">
        <v>0</v>
      </c>
      <c r="R28" s="43">
        <v>58559580</v>
      </c>
      <c r="S28" s="30">
        <v>93665640</v>
      </c>
      <c r="T28" s="30">
        <v>152225220</v>
      </c>
      <c r="U28" s="30">
        <f>T28/X28</f>
        <v>12.37</v>
      </c>
      <c r="V28" s="43">
        <f>T28/X28</f>
        <v>12.37</v>
      </c>
      <c r="W28" s="43">
        <f t="shared" si="0"/>
        <v>37110</v>
      </c>
      <c r="X28" s="43">
        <v>12306000</v>
      </c>
      <c r="Y28" s="43"/>
      <c r="Z28" s="43">
        <v>7572000</v>
      </c>
      <c r="AA28" s="43"/>
      <c r="AB28" s="43"/>
      <c r="AC28" s="43">
        <f t="shared" si="1"/>
        <v>0</v>
      </c>
      <c r="AD28" s="43"/>
      <c r="AE28" s="43">
        <f t="shared" si="2"/>
        <v>0</v>
      </c>
      <c r="AF28" s="43">
        <v>3156</v>
      </c>
      <c r="AG28" s="43">
        <v>3156</v>
      </c>
      <c r="AH28" s="38">
        <v>44986</v>
      </c>
      <c r="AI28" s="38">
        <v>45352</v>
      </c>
      <c r="AJ28" s="38"/>
      <c r="AK28" s="38">
        <v>45000</v>
      </c>
      <c r="AL28" s="38">
        <v>45383</v>
      </c>
      <c r="AM28" s="48"/>
      <c r="AN28" s="42"/>
      <c r="AO28" s="42" t="s">
        <v>91</v>
      </c>
      <c r="AP28" s="42" t="s">
        <v>285</v>
      </c>
      <c r="AQ28" s="42" t="s">
        <v>93</v>
      </c>
      <c r="AR28" s="42" t="s">
        <v>94</v>
      </c>
      <c r="AS28" s="50">
        <v>0</v>
      </c>
      <c r="AT28" s="39">
        <v>100</v>
      </c>
      <c r="AU28" s="39" t="s">
        <v>95</v>
      </c>
      <c r="AV28" s="49">
        <v>3000</v>
      </c>
      <c r="AW28" s="39" t="s">
        <v>62</v>
      </c>
      <c r="AX28" s="39">
        <v>10</v>
      </c>
      <c r="AY28" s="30">
        <v>11711916</v>
      </c>
      <c r="AZ28" s="42" t="s">
        <v>63</v>
      </c>
    </row>
    <row r="29" spans="1:52" ht="86.25" customHeight="1" x14ac:dyDescent="0.25">
      <c r="A29" s="37" t="s">
        <v>286</v>
      </c>
      <c r="B29" s="38">
        <v>44719</v>
      </c>
      <c r="C29" s="39">
        <v>1416</v>
      </c>
      <c r="D29" s="37" t="s">
        <v>287</v>
      </c>
      <c r="E29" s="41" t="s">
        <v>288</v>
      </c>
      <c r="F29" s="38">
        <v>44750</v>
      </c>
      <c r="G29" s="37" t="s">
        <v>289</v>
      </c>
      <c r="H29" s="42" t="s">
        <v>88</v>
      </c>
      <c r="I29" s="42" t="s">
        <v>290</v>
      </c>
      <c r="J29" s="43">
        <v>1322673000</v>
      </c>
      <c r="K29" s="43" t="s">
        <v>291</v>
      </c>
      <c r="L29" s="43" t="s">
        <v>291</v>
      </c>
      <c r="M29" s="43">
        <v>0</v>
      </c>
      <c r="N29" s="44">
        <v>0</v>
      </c>
      <c r="O29" s="45">
        <v>0</v>
      </c>
      <c r="P29" s="43">
        <v>1322673000</v>
      </c>
      <c r="Q29" s="45">
        <v>0</v>
      </c>
      <c r="R29" s="43">
        <v>661336500</v>
      </c>
      <c r="S29" s="30">
        <v>1058027437.5</v>
      </c>
      <c r="T29" s="43">
        <v>1719363937.5</v>
      </c>
      <c r="U29" s="30">
        <f>T29/X29</f>
        <v>3698.75</v>
      </c>
      <c r="V29" s="43">
        <f>T29/X29</f>
        <v>3698.75</v>
      </c>
      <c r="W29" s="43">
        <f t="shared" si="0"/>
        <v>3698.75</v>
      </c>
      <c r="X29" s="43">
        <v>464850</v>
      </c>
      <c r="Y29" s="43"/>
      <c r="Z29" s="43">
        <v>286050</v>
      </c>
      <c r="AA29" s="43"/>
      <c r="AB29" s="43">
        <v>219300</v>
      </c>
      <c r="AC29" s="43">
        <f t="shared" si="1"/>
        <v>811135875</v>
      </c>
      <c r="AD29" s="43">
        <v>66750</v>
      </c>
      <c r="AE29" s="43">
        <f t="shared" si="2"/>
        <v>246891562.5</v>
      </c>
      <c r="AF29" s="43">
        <v>357600</v>
      </c>
      <c r="AG29" s="43">
        <v>357600</v>
      </c>
      <c r="AH29" s="38">
        <v>44986</v>
      </c>
      <c r="AI29" s="38">
        <v>45352</v>
      </c>
      <c r="AJ29" s="38"/>
      <c r="AK29" s="38">
        <v>45000</v>
      </c>
      <c r="AL29" s="38">
        <v>45383</v>
      </c>
      <c r="AM29" s="48"/>
      <c r="AN29" s="51"/>
      <c r="AO29" s="42" t="s">
        <v>292</v>
      </c>
      <c r="AP29" s="42" t="s">
        <v>293</v>
      </c>
      <c r="AQ29" s="42" t="s">
        <v>294</v>
      </c>
      <c r="AR29" s="42" t="s">
        <v>295</v>
      </c>
      <c r="AS29" s="50">
        <v>0</v>
      </c>
      <c r="AT29" s="39">
        <v>100</v>
      </c>
      <c r="AU29" s="42" t="s">
        <v>296</v>
      </c>
      <c r="AV29" s="52">
        <v>1</v>
      </c>
      <c r="AW29" s="39" t="s">
        <v>62</v>
      </c>
      <c r="AX29" s="39">
        <v>10</v>
      </c>
      <c r="AY29" s="30">
        <v>132267300</v>
      </c>
      <c r="AZ29" s="42" t="s">
        <v>97</v>
      </c>
    </row>
    <row r="30" spans="1:52" ht="76.5" customHeight="1" x14ac:dyDescent="0.25">
      <c r="A30" s="37" t="s">
        <v>297</v>
      </c>
      <c r="B30" s="38">
        <v>44721</v>
      </c>
      <c r="C30" s="39">
        <v>1416</v>
      </c>
      <c r="D30" s="37" t="s">
        <v>298</v>
      </c>
      <c r="E30" s="41" t="s">
        <v>299</v>
      </c>
      <c r="F30" s="38">
        <v>44746</v>
      </c>
      <c r="G30" s="39" t="s">
        <v>300</v>
      </c>
      <c r="H30" s="42" t="s">
        <v>141</v>
      </c>
      <c r="I30" s="42" t="s">
        <v>301</v>
      </c>
      <c r="J30" s="43">
        <v>132241909.8</v>
      </c>
      <c r="K30" s="43" t="s">
        <v>302</v>
      </c>
      <c r="L30" s="43" t="s">
        <v>303</v>
      </c>
      <c r="M30" s="43">
        <v>0</v>
      </c>
      <c r="N30" s="44">
        <v>0</v>
      </c>
      <c r="O30" s="45">
        <v>0</v>
      </c>
      <c r="P30" s="43">
        <v>132241909.8</v>
      </c>
      <c r="Q30" s="45">
        <v>0</v>
      </c>
      <c r="R30" s="43">
        <v>48848723</v>
      </c>
      <c r="S30" s="30">
        <v>63519448.299999997</v>
      </c>
      <c r="T30" s="30">
        <v>146912635.09999999</v>
      </c>
      <c r="U30" s="30">
        <f>T30/X30</f>
        <v>2013.55</v>
      </c>
      <c r="V30" s="43">
        <f>T30/X30</f>
        <v>2013.55</v>
      </c>
      <c r="W30" s="43">
        <f t="shared" si="0"/>
        <v>8054.2</v>
      </c>
      <c r="X30" s="43">
        <v>72962</v>
      </c>
      <c r="Y30" s="43"/>
      <c r="Z30" s="43">
        <v>31546</v>
      </c>
      <c r="AA30" s="43"/>
      <c r="AB30" s="43">
        <v>26078</v>
      </c>
      <c r="AC30" s="43">
        <f t="shared" si="1"/>
        <v>52509356.899999999</v>
      </c>
      <c r="AD30" s="43">
        <v>5468</v>
      </c>
      <c r="AE30" s="43">
        <f t="shared" si="2"/>
        <v>11010091.4</v>
      </c>
      <c r="AF30" s="43">
        <v>16419</v>
      </c>
      <c r="AG30" s="43">
        <v>16419</v>
      </c>
      <c r="AH30" s="38">
        <v>44986</v>
      </c>
      <c r="AI30" s="38">
        <v>45352</v>
      </c>
      <c r="AJ30" s="38"/>
      <c r="AK30" s="38">
        <v>45000</v>
      </c>
      <c r="AL30" s="38">
        <v>45383</v>
      </c>
      <c r="AM30" s="48"/>
      <c r="AN30" s="42"/>
      <c r="AO30" s="42" t="s">
        <v>263</v>
      </c>
      <c r="AP30" s="42" t="s">
        <v>304</v>
      </c>
      <c r="AQ30" s="42" t="s">
        <v>265</v>
      </c>
      <c r="AR30" s="42" t="s">
        <v>266</v>
      </c>
      <c r="AS30" s="50">
        <v>0</v>
      </c>
      <c r="AT30" s="39">
        <v>100</v>
      </c>
      <c r="AU30" s="39" t="s">
        <v>83</v>
      </c>
      <c r="AV30" s="49">
        <v>4</v>
      </c>
      <c r="AW30" s="39" t="s">
        <v>62</v>
      </c>
      <c r="AX30" s="39">
        <v>10</v>
      </c>
      <c r="AY30" s="30">
        <v>13224190.98</v>
      </c>
      <c r="AZ30" s="42" t="s">
        <v>63</v>
      </c>
    </row>
    <row r="31" spans="1:52" ht="49.5" customHeight="1" x14ac:dyDescent="0.25">
      <c r="A31" s="46" t="s">
        <v>305</v>
      </c>
      <c r="B31" s="38">
        <v>45044</v>
      </c>
      <c r="C31" s="39">
        <v>1688</v>
      </c>
      <c r="D31" s="37" t="s">
        <v>306</v>
      </c>
      <c r="E31" s="41" t="s">
        <v>307</v>
      </c>
      <c r="F31" s="38">
        <v>45072</v>
      </c>
      <c r="G31" s="39" t="s">
        <v>308</v>
      </c>
      <c r="H31" s="42" t="s">
        <v>309</v>
      </c>
      <c r="I31" s="42" t="s">
        <v>310</v>
      </c>
      <c r="J31" s="43">
        <v>6205835185.9200001</v>
      </c>
      <c r="K31" s="43" t="s">
        <v>311</v>
      </c>
      <c r="L31" s="43" t="s">
        <v>311</v>
      </c>
      <c r="M31" s="43">
        <v>0</v>
      </c>
      <c r="N31" s="44">
        <v>0</v>
      </c>
      <c r="O31" s="45">
        <v>0</v>
      </c>
      <c r="P31" s="43">
        <v>6205835185.9200001</v>
      </c>
      <c r="Q31" s="45">
        <v>3102917592.96</v>
      </c>
      <c r="R31" s="43">
        <v>3102917592.96</v>
      </c>
      <c r="S31" s="30">
        <v>3102917592.96</v>
      </c>
      <c r="T31" s="30">
        <v>6205835185.9200001</v>
      </c>
      <c r="U31" s="30">
        <f>T31/X31</f>
        <v>1137.6600000000001</v>
      </c>
      <c r="V31" s="43">
        <f>T31/X31</f>
        <v>1137.6600000000001</v>
      </c>
      <c r="W31" s="43">
        <f t="shared" si="0"/>
        <v>1137.6600000000001</v>
      </c>
      <c r="X31" s="43">
        <v>5454912</v>
      </c>
      <c r="Y31" s="43"/>
      <c r="Z31" s="43"/>
      <c r="AA31" s="43">
        <v>2727456</v>
      </c>
      <c r="AB31" s="43">
        <v>0</v>
      </c>
      <c r="AC31" s="43">
        <f t="shared" si="1"/>
        <v>0</v>
      </c>
      <c r="AD31" s="43">
        <v>0</v>
      </c>
      <c r="AE31" s="43">
        <f t="shared" si="2"/>
        <v>0</v>
      </c>
      <c r="AF31" s="43">
        <v>5454912</v>
      </c>
      <c r="AG31" s="43">
        <v>5454912</v>
      </c>
      <c r="AH31" s="38">
        <v>45107</v>
      </c>
      <c r="AI31" s="38">
        <v>45214</v>
      </c>
      <c r="AJ31" s="38">
        <v>45323</v>
      </c>
      <c r="AK31" s="38">
        <v>45122</v>
      </c>
      <c r="AL31" s="38">
        <v>45229</v>
      </c>
      <c r="AM31" s="48">
        <v>45352</v>
      </c>
      <c r="AN31" s="42"/>
      <c r="AO31" s="42" t="s">
        <v>312</v>
      </c>
      <c r="AP31" s="42" t="s">
        <v>313</v>
      </c>
      <c r="AQ31" s="42" t="s">
        <v>314</v>
      </c>
      <c r="AR31" s="42" t="s">
        <v>315</v>
      </c>
      <c r="AS31" s="50">
        <v>0</v>
      </c>
      <c r="AT31" s="39">
        <v>100</v>
      </c>
      <c r="AU31" s="39" t="s">
        <v>316</v>
      </c>
      <c r="AV31" s="49">
        <v>1</v>
      </c>
      <c r="AW31" s="39" t="s">
        <v>62</v>
      </c>
      <c r="AX31" s="39">
        <v>10</v>
      </c>
      <c r="AY31" s="30">
        <v>620583518.59200001</v>
      </c>
      <c r="AZ31" s="42" t="s">
        <v>63</v>
      </c>
    </row>
    <row r="32" spans="1:52" ht="53.25" customHeight="1" x14ac:dyDescent="0.25">
      <c r="A32" s="46" t="s">
        <v>317</v>
      </c>
      <c r="B32" s="48">
        <v>45167</v>
      </c>
      <c r="C32" s="42">
        <v>545</v>
      </c>
      <c r="D32" s="37" t="s">
        <v>318</v>
      </c>
      <c r="E32" s="41" t="s">
        <v>319</v>
      </c>
      <c r="F32" s="38">
        <v>45196</v>
      </c>
      <c r="G32" s="39" t="s">
        <v>320</v>
      </c>
      <c r="H32" s="42" t="s">
        <v>321</v>
      </c>
      <c r="I32" s="42" t="s">
        <v>322</v>
      </c>
      <c r="J32" s="56">
        <v>1214876062.4000001</v>
      </c>
      <c r="K32" s="56">
        <v>1214876062.4000001</v>
      </c>
      <c r="L32" s="56">
        <v>0</v>
      </c>
      <c r="M32" s="56">
        <v>0</v>
      </c>
      <c r="N32" s="44">
        <f t="shared" ref="N32:N95" si="3">((J32-P32)/J32)*100</f>
        <v>0</v>
      </c>
      <c r="O32" s="45">
        <f t="shared" ref="O32:O62" si="4">J32-P32</f>
        <v>0</v>
      </c>
      <c r="P32" s="43">
        <v>1214876062.4000001</v>
      </c>
      <c r="Q32" s="45">
        <f t="shared" ref="Q32:Q95" si="5">J32-R32</f>
        <v>0</v>
      </c>
      <c r="R32" s="43">
        <v>1214876062.4000001</v>
      </c>
      <c r="S32" s="30">
        <v>1573611177.5999999</v>
      </c>
      <c r="T32" s="30">
        <f t="shared" ref="T32:T91" si="6">S32</f>
        <v>1573611177.5999999</v>
      </c>
      <c r="U32" s="30">
        <f>T32/X32</f>
        <v>10766.359999999999</v>
      </c>
      <c r="V32" s="43">
        <f>T32/X32</f>
        <v>10766.359999999999</v>
      </c>
      <c r="W32" s="43">
        <f t="shared" si="0"/>
        <v>1507290.4</v>
      </c>
      <c r="X32" s="43">
        <v>146160</v>
      </c>
      <c r="Y32" s="43">
        <v>49980</v>
      </c>
      <c r="Z32" s="43">
        <v>96180</v>
      </c>
      <c r="AA32" s="43">
        <v>0</v>
      </c>
      <c r="AB32" s="43"/>
      <c r="AC32" s="43">
        <f t="shared" si="1"/>
        <v>0</v>
      </c>
      <c r="AD32" s="43"/>
      <c r="AE32" s="43">
        <f t="shared" si="2"/>
        <v>0</v>
      </c>
      <c r="AF32" s="43">
        <f t="shared" ref="AF32:AF91" si="7">X32/AV32</f>
        <v>1044</v>
      </c>
      <c r="AG32" s="43">
        <f t="shared" ref="AG32:AG91" si="8">_xlfn.CEILING.MATH(AF32)</f>
        <v>1044</v>
      </c>
      <c r="AH32" s="38">
        <v>45300</v>
      </c>
      <c r="AI32" s="38">
        <v>45413</v>
      </c>
      <c r="AJ32" s="38"/>
      <c r="AK32" s="38">
        <v>45315</v>
      </c>
      <c r="AL32" s="38">
        <v>45444</v>
      </c>
      <c r="AM32" s="48"/>
      <c r="AN32" s="42" t="s">
        <v>323</v>
      </c>
      <c r="AO32" s="42" t="s">
        <v>324</v>
      </c>
      <c r="AP32" s="42" t="s">
        <v>325</v>
      </c>
      <c r="AQ32" s="42" t="s">
        <v>326</v>
      </c>
      <c r="AR32" s="42" t="s">
        <v>148</v>
      </c>
      <c r="AS32" s="50">
        <v>0</v>
      </c>
      <c r="AT32" s="39">
        <v>100</v>
      </c>
      <c r="AU32" s="39" t="s">
        <v>327</v>
      </c>
      <c r="AV32" s="49">
        <v>140</v>
      </c>
      <c r="AW32" s="39" t="s">
        <v>62</v>
      </c>
      <c r="AX32" s="39">
        <v>10</v>
      </c>
      <c r="AY32" s="30">
        <v>121487606.23999999</v>
      </c>
      <c r="AZ32" s="42" t="s">
        <v>328</v>
      </c>
    </row>
    <row r="33" spans="1:52" ht="53.25" customHeight="1" x14ac:dyDescent="0.25">
      <c r="A33" s="46" t="s">
        <v>329</v>
      </c>
      <c r="B33" s="48">
        <v>45160</v>
      </c>
      <c r="C33" s="42">
        <v>545</v>
      </c>
      <c r="D33" s="37" t="s">
        <v>330</v>
      </c>
      <c r="E33" s="41" t="s">
        <v>331</v>
      </c>
      <c r="F33" s="38">
        <v>45190</v>
      </c>
      <c r="G33" s="39" t="s">
        <v>332</v>
      </c>
      <c r="H33" s="42" t="s">
        <v>88</v>
      </c>
      <c r="I33" s="42" t="s">
        <v>333</v>
      </c>
      <c r="J33" s="56">
        <v>1916291597.4000001</v>
      </c>
      <c r="K33" s="56">
        <v>1916291597.4000001</v>
      </c>
      <c r="L33" s="56">
        <v>0</v>
      </c>
      <c r="M33" s="56">
        <v>0</v>
      </c>
      <c r="N33" s="44">
        <f t="shared" si="3"/>
        <v>0</v>
      </c>
      <c r="O33" s="45">
        <f t="shared" si="4"/>
        <v>0</v>
      </c>
      <c r="P33" s="43">
        <v>1916291597.4000001</v>
      </c>
      <c r="Q33" s="45">
        <f t="shared" si="5"/>
        <v>0</v>
      </c>
      <c r="R33" s="43">
        <v>1916291597.4000001</v>
      </c>
      <c r="S33" s="30">
        <v>2487576463.3499999</v>
      </c>
      <c r="T33" s="30">
        <f t="shared" si="6"/>
        <v>2487576463.3499999</v>
      </c>
      <c r="U33" s="30">
        <f>T33/X33</f>
        <v>18666.39</v>
      </c>
      <c r="V33" s="43">
        <f>T33/X33</f>
        <v>18666.39</v>
      </c>
      <c r="W33" s="43">
        <f t="shared" si="0"/>
        <v>93331.95</v>
      </c>
      <c r="X33" s="43">
        <f>Y33+Z33+AA33</f>
        <v>133265</v>
      </c>
      <c r="Y33" s="43">
        <v>29000</v>
      </c>
      <c r="Z33" s="43">
        <v>48500</v>
      </c>
      <c r="AA33" s="43">
        <v>55765</v>
      </c>
      <c r="AB33" s="43"/>
      <c r="AC33" s="43">
        <f t="shared" si="1"/>
        <v>0</v>
      </c>
      <c r="AD33" s="43"/>
      <c r="AE33" s="43">
        <f t="shared" si="2"/>
        <v>0</v>
      </c>
      <c r="AF33" s="43">
        <f t="shared" si="7"/>
        <v>26653</v>
      </c>
      <c r="AG33" s="43">
        <f t="shared" si="8"/>
        <v>26653</v>
      </c>
      <c r="AH33" s="38">
        <v>45300</v>
      </c>
      <c r="AI33" s="38">
        <v>45382</v>
      </c>
      <c r="AJ33" s="38">
        <v>45535</v>
      </c>
      <c r="AK33" s="38">
        <v>45331</v>
      </c>
      <c r="AL33" s="38">
        <v>45413</v>
      </c>
      <c r="AM33" s="48">
        <v>45383</v>
      </c>
      <c r="AN33" s="42" t="s">
        <v>323</v>
      </c>
      <c r="AO33" s="42" t="s">
        <v>334</v>
      </c>
      <c r="AP33" s="42" t="s">
        <v>335</v>
      </c>
      <c r="AQ33" s="42" t="s">
        <v>336</v>
      </c>
      <c r="AR33" s="42" t="s">
        <v>94</v>
      </c>
      <c r="AS33" s="50">
        <v>0</v>
      </c>
      <c r="AT33" s="39">
        <v>100</v>
      </c>
      <c r="AU33" s="39" t="s">
        <v>83</v>
      </c>
      <c r="AV33" s="49">
        <v>5</v>
      </c>
      <c r="AW33" s="39" t="s">
        <v>62</v>
      </c>
      <c r="AX33" s="39">
        <v>10</v>
      </c>
      <c r="AY33" s="30">
        <v>191629159.74000001</v>
      </c>
      <c r="AZ33" s="42" t="s">
        <v>328</v>
      </c>
    </row>
    <row r="34" spans="1:52" ht="53.25" customHeight="1" x14ac:dyDescent="0.25">
      <c r="A34" s="46" t="s">
        <v>337</v>
      </c>
      <c r="B34" s="48">
        <v>45163</v>
      </c>
      <c r="C34" s="42">
        <v>545</v>
      </c>
      <c r="D34" s="37" t="s">
        <v>338</v>
      </c>
      <c r="E34" s="41" t="s">
        <v>339</v>
      </c>
      <c r="F34" s="38">
        <v>45191</v>
      </c>
      <c r="G34" s="39" t="s">
        <v>340</v>
      </c>
      <c r="H34" s="42" t="s">
        <v>88</v>
      </c>
      <c r="I34" s="42" t="s">
        <v>341</v>
      </c>
      <c r="J34" s="56">
        <v>4843869498</v>
      </c>
      <c r="K34" s="56">
        <v>4843869498</v>
      </c>
      <c r="L34" s="56">
        <v>0</v>
      </c>
      <c r="M34" s="56">
        <v>0</v>
      </c>
      <c r="N34" s="44">
        <f t="shared" si="3"/>
        <v>0</v>
      </c>
      <c r="O34" s="45">
        <f t="shared" si="4"/>
        <v>0</v>
      </c>
      <c r="P34" s="43">
        <v>4843869498</v>
      </c>
      <c r="Q34" s="45">
        <f t="shared" si="5"/>
        <v>0</v>
      </c>
      <c r="R34" s="43">
        <v>4843869498</v>
      </c>
      <c r="S34" s="30">
        <v>6296643147.6000004</v>
      </c>
      <c r="T34" s="30">
        <f t="shared" si="6"/>
        <v>6296643147.6000004</v>
      </c>
      <c r="U34" s="30">
        <f>T34/X34</f>
        <v>25813.320000000003</v>
      </c>
      <c r="V34" s="43">
        <f>T34/X34</f>
        <v>25813.320000000003</v>
      </c>
      <c r="W34" s="43">
        <f t="shared" si="0"/>
        <v>774399.60000000009</v>
      </c>
      <c r="X34" s="43">
        <v>243930</v>
      </c>
      <c r="Y34" s="43">
        <v>45000</v>
      </c>
      <c r="Z34" s="43">
        <v>198930</v>
      </c>
      <c r="AA34" s="43">
        <v>0</v>
      </c>
      <c r="AB34" s="43"/>
      <c r="AC34" s="43">
        <f t="shared" si="1"/>
        <v>0</v>
      </c>
      <c r="AD34" s="43"/>
      <c r="AE34" s="43">
        <f t="shared" si="2"/>
        <v>0</v>
      </c>
      <c r="AF34" s="43">
        <f t="shared" si="7"/>
        <v>8131</v>
      </c>
      <c r="AG34" s="43">
        <f t="shared" si="8"/>
        <v>8131</v>
      </c>
      <c r="AH34" s="38">
        <v>45300</v>
      </c>
      <c r="AI34" s="38">
        <v>45337</v>
      </c>
      <c r="AJ34" s="38"/>
      <c r="AK34" s="38">
        <v>45323</v>
      </c>
      <c r="AL34" s="38">
        <v>45366</v>
      </c>
      <c r="AM34" s="48"/>
      <c r="AN34" s="42"/>
      <c r="AO34" s="42" t="s">
        <v>342</v>
      </c>
      <c r="AP34" s="42" t="s">
        <v>343</v>
      </c>
      <c r="AQ34" s="42" t="s">
        <v>344</v>
      </c>
      <c r="AR34" s="42" t="s">
        <v>345</v>
      </c>
      <c r="AS34" s="50">
        <v>0</v>
      </c>
      <c r="AT34" s="39">
        <v>100</v>
      </c>
      <c r="AU34" s="39" t="s">
        <v>346</v>
      </c>
      <c r="AV34" s="49">
        <v>30</v>
      </c>
      <c r="AW34" s="39" t="s">
        <v>62</v>
      </c>
      <c r="AX34" s="39">
        <v>10</v>
      </c>
      <c r="AY34" s="30">
        <v>484386949.80000001</v>
      </c>
      <c r="AZ34" s="42" t="s">
        <v>328</v>
      </c>
    </row>
    <row r="35" spans="1:52" ht="53.25" customHeight="1" x14ac:dyDescent="0.25">
      <c r="A35" s="46" t="s">
        <v>347</v>
      </c>
      <c r="B35" s="48">
        <v>45163</v>
      </c>
      <c r="C35" s="42">
        <v>545</v>
      </c>
      <c r="D35" s="37" t="s">
        <v>348</v>
      </c>
      <c r="E35" s="41" t="s">
        <v>349</v>
      </c>
      <c r="F35" s="38">
        <v>45191</v>
      </c>
      <c r="G35" s="39" t="s">
        <v>350</v>
      </c>
      <c r="H35" s="42" t="s">
        <v>141</v>
      </c>
      <c r="I35" s="42" t="s">
        <v>351</v>
      </c>
      <c r="J35" s="56">
        <v>5912667070.5</v>
      </c>
      <c r="K35" s="56">
        <v>5912667070.5</v>
      </c>
      <c r="L35" s="56">
        <v>0</v>
      </c>
      <c r="M35" s="56">
        <v>0</v>
      </c>
      <c r="N35" s="44">
        <f t="shared" si="3"/>
        <v>0</v>
      </c>
      <c r="O35" s="45">
        <f t="shared" si="4"/>
        <v>0</v>
      </c>
      <c r="P35" s="43">
        <v>5912667070.5</v>
      </c>
      <c r="Q35" s="45">
        <f t="shared" si="5"/>
        <v>0</v>
      </c>
      <c r="R35" s="43">
        <v>5912667070.5</v>
      </c>
      <c r="S35" s="30">
        <v>7232381306.5</v>
      </c>
      <c r="T35" s="30">
        <f t="shared" si="6"/>
        <v>7232381306.5</v>
      </c>
      <c r="U35" s="30">
        <f>T35/X35</f>
        <v>868233.05</v>
      </c>
      <c r="V35" s="43">
        <f>T35/X35</f>
        <v>868233.05</v>
      </c>
      <c r="W35" s="43">
        <f t="shared" si="0"/>
        <v>4341165.25</v>
      </c>
      <c r="X35" s="43">
        <v>8330</v>
      </c>
      <c r="Y35" s="43">
        <v>8330</v>
      </c>
      <c r="Z35" s="43">
        <v>0</v>
      </c>
      <c r="AA35" s="43">
        <v>0</v>
      </c>
      <c r="AB35" s="43"/>
      <c r="AC35" s="43">
        <f t="shared" si="1"/>
        <v>0</v>
      </c>
      <c r="AD35" s="43"/>
      <c r="AE35" s="43">
        <f t="shared" si="2"/>
        <v>0</v>
      </c>
      <c r="AF35" s="43">
        <f t="shared" si="7"/>
        <v>1666</v>
      </c>
      <c r="AG35" s="43">
        <f t="shared" si="8"/>
        <v>1666</v>
      </c>
      <c r="AH35" s="38">
        <v>45300</v>
      </c>
      <c r="AI35" s="38"/>
      <c r="AJ35" s="38"/>
      <c r="AK35" s="38">
        <v>45331</v>
      </c>
      <c r="AL35" s="38"/>
      <c r="AM35" s="48"/>
      <c r="AN35" s="42" t="s">
        <v>323</v>
      </c>
      <c r="AO35" s="42" t="s">
        <v>352</v>
      </c>
      <c r="AP35" s="42" t="s">
        <v>353</v>
      </c>
      <c r="AQ35" s="42" t="s">
        <v>354</v>
      </c>
      <c r="AR35" s="42" t="s">
        <v>148</v>
      </c>
      <c r="AS35" s="50">
        <v>0</v>
      </c>
      <c r="AT35" s="39">
        <v>100</v>
      </c>
      <c r="AU35" s="39" t="s">
        <v>83</v>
      </c>
      <c r="AV35" s="49">
        <v>5</v>
      </c>
      <c r="AW35" s="39" t="s">
        <v>62</v>
      </c>
      <c r="AX35" s="39">
        <v>10</v>
      </c>
      <c r="AY35" s="30">
        <v>591266707.04999995</v>
      </c>
      <c r="AZ35" s="42" t="s">
        <v>97</v>
      </c>
    </row>
    <row r="36" spans="1:52" ht="53.25" customHeight="1" x14ac:dyDescent="0.25">
      <c r="A36" s="46" t="s">
        <v>355</v>
      </c>
      <c r="B36" s="48">
        <v>45163</v>
      </c>
      <c r="C36" s="42">
        <v>545</v>
      </c>
      <c r="D36" s="37" t="s">
        <v>356</v>
      </c>
      <c r="E36" s="41" t="s">
        <v>357</v>
      </c>
      <c r="F36" s="38">
        <v>45191</v>
      </c>
      <c r="G36" s="39" t="s">
        <v>358</v>
      </c>
      <c r="H36" s="42" t="s">
        <v>359</v>
      </c>
      <c r="I36" s="42" t="s">
        <v>360</v>
      </c>
      <c r="J36" s="56">
        <v>6140047413.5</v>
      </c>
      <c r="K36" s="56">
        <v>6140047413.5</v>
      </c>
      <c r="L36" s="56">
        <v>0</v>
      </c>
      <c r="M36" s="56">
        <v>0</v>
      </c>
      <c r="N36" s="44">
        <f t="shared" si="3"/>
        <v>0</v>
      </c>
      <c r="O36" s="45">
        <f t="shared" si="4"/>
        <v>0</v>
      </c>
      <c r="P36" s="43">
        <v>6140047413.5</v>
      </c>
      <c r="Q36" s="45">
        <f t="shared" si="5"/>
        <v>0</v>
      </c>
      <c r="R36" s="43">
        <v>6140047413.5</v>
      </c>
      <c r="S36" s="30">
        <v>7692213028.5</v>
      </c>
      <c r="T36" s="30">
        <f t="shared" si="6"/>
        <v>7692213028.5</v>
      </c>
      <c r="U36" s="30">
        <f>T36/X36</f>
        <v>333082.75</v>
      </c>
      <c r="V36" s="43">
        <f>T36/X36</f>
        <v>333082.75</v>
      </c>
      <c r="W36" s="43">
        <f t="shared" si="0"/>
        <v>666165.5</v>
      </c>
      <c r="X36" s="43">
        <v>23094</v>
      </c>
      <c r="Y36" s="43">
        <v>23094</v>
      </c>
      <c r="Z36" s="43">
        <v>0</v>
      </c>
      <c r="AA36" s="43">
        <v>0</v>
      </c>
      <c r="AB36" s="43"/>
      <c r="AC36" s="43">
        <f t="shared" si="1"/>
        <v>0</v>
      </c>
      <c r="AD36" s="43"/>
      <c r="AE36" s="43">
        <f t="shared" si="2"/>
        <v>0</v>
      </c>
      <c r="AF36" s="43">
        <f t="shared" si="7"/>
        <v>11547</v>
      </c>
      <c r="AG36" s="43">
        <f t="shared" si="8"/>
        <v>11547</v>
      </c>
      <c r="AH36" s="38">
        <v>45306</v>
      </c>
      <c r="AI36" s="38"/>
      <c r="AJ36" s="38"/>
      <c r="AK36" s="38">
        <v>45337</v>
      </c>
      <c r="AL36" s="38"/>
      <c r="AM36" s="48"/>
      <c r="AN36" s="42" t="s">
        <v>323</v>
      </c>
      <c r="AO36" s="42" t="s">
        <v>361</v>
      </c>
      <c r="AP36" s="42" t="s">
        <v>362</v>
      </c>
      <c r="AQ36" s="42" t="s">
        <v>363</v>
      </c>
      <c r="AR36" s="42" t="s">
        <v>295</v>
      </c>
      <c r="AS36" s="50">
        <v>0</v>
      </c>
      <c r="AT36" s="39">
        <v>100</v>
      </c>
      <c r="AU36" s="39" t="s">
        <v>346</v>
      </c>
      <c r="AV36" s="49">
        <v>2</v>
      </c>
      <c r="AW36" s="39" t="s">
        <v>62</v>
      </c>
      <c r="AX36" s="39">
        <v>10</v>
      </c>
      <c r="AY36" s="30">
        <v>614004741.35000002</v>
      </c>
      <c r="AZ36" s="42" t="s">
        <v>97</v>
      </c>
    </row>
    <row r="37" spans="1:52" ht="53.25" customHeight="1" x14ac:dyDescent="0.25">
      <c r="A37" s="46" t="s">
        <v>364</v>
      </c>
      <c r="B37" s="48">
        <v>45163</v>
      </c>
      <c r="C37" s="42">
        <v>545</v>
      </c>
      <c r="D37" s="37" t="s">
        <v>365</v>
      </c>
      <c r="E37" s="41" t="s">
        <v>366</v>
      </c>
      <c r="F37" s="38">
        <v>45191</v>
      </c>
      <c r="G37" s="39" t="s">
        <v>367</v>
      </c>
      <c r="H37" s="42" t="s">
        <v>88</v>
      </c>
      <c r="I37" s="42" t="s">
        <v>368</v>
      </c>
      <c r="J37" s="56">
        <v>931850515.20000005</v>
      </c>
      <c r="K37" s="56">
        <v>931850515.20000005</v>
      </c>
      <c r="L37" s="56">
        <v>0</v>
      </c>
      <c r="M37" s="56">
        <v>0</v>
      </c>
      <c r="N37" s="44">
        <f t="shared" si="3"/>
        <v>0</v>
      </c>
      <c r="O37" s="45">
        <f t="shared" si="4"/>
        <v>0</v>
      </c>
      <c r="P37" s="43">
        <v>931850515.20000005</v>
      </c>
      <c r="Q37" s="45">
        <f t="shared" si="5"/>
        <v>0</v>
      </c>
      <c r="R37" s="43">
        <v>931850515.20000005</v>
      </c>
      <c r="S37" s="30">
        <v>1193006073.5999999</v>
      </c>
      <c r="T37" s="30">
        <f t="shared" si="6"/>
        <v>1193006073.5999999</v>
      </c>
      <c r="U37" s="30">
        <f>T37/X37</f>
        <v>618266</v>
      </c>
      <c r="V37" s="43">
        <f>T37/X37</f>
        <v>618266</v>
      </c>
      <c r="W37" s="43">
        <f t="shared" si="0"/>
        <v>5935353.5999999996</v>
      </c>
      <c r="X37" s="43">
        <v>1929.6</v>
      </c>
      <c r="Y37" s="43">
        <v>1929.6</v>
      </c>
      <c r="Z37" s="43">
        <v>0</v>
      </c>
      <c r="AA37" s="43">
        <v>0</v>
      </c>
      <c r="AB37" s="43"/>
      <c r="AC37" s="43">
        <f t="shared" si="1"/>
        <v>0</v>
      </c>
      <c r="AD37" s="43"/>
      <c r="AE37" s="43">
        <f t="shared" si="2"/>
        <v>0</v>
      </c>
      <c r="AF37" s="43">
        <f t="shared" si="7"/>
        <v>201</v>
      </c>
      <c r="AG37" s="43">
        <f t="shared" si="8"/>
        <v>201</v>
      </c>
      <c r="AH37" s="38">
        <v>45322</v>
      </c>
      <c r="AI37" s="38"/>
      <c r="AJ37" s="38"/>
      <c r="AK37" s="38">
        <v>45352</v>
      </c>
      <c r="AL37" s="38"/>
      <c r="AM37" s="48"/>
      <c r="AN37" s="42" t="s">
        <v>323</v>
      </c>
      <c r="AO37" s="42" t="s">
        <v>369</v>
      </c>
      <c r="AP37" s="42" t="s">
        <v>370</v>
      </c>
      <c r="AQ37" s="42" t="s">
        <v>371</v>
      </c>
      <c r="AR37" s="42" t="s">
        <v>60</v>
      </c>
      <c r="AS37" s="50">
        <v>0</v>
      </c>
      <c r="AT37" s="39">
        <v>100</v>
      </c>
      <c r="AU37" s="39" t="s">
        <v>83</v>
      </c>
      <c r="AV37" s="54">
        <v>9.6</v>
      </c>
      <c r="AW37" s="39" t="s">
        <v>62</v>
      </c>
      <c r="AX37" s="39">
        <v>10</v>
      </c>
      <c r="AY37" s="30">
        <v>93185051.519999996</v>
      </c>
      <c r="AZ37" s="42" t="s">
        <v>97</v>
      </c>
    </row>
    <row r="38" spans="1:52" ht="53.25" customHeight="1" x14ac:dyDescent="0.25">
      <c r="A38" s="46" t="s">
        <v>372</v>
      </c>
      <c r="B38" s="48">
        <v>45167</v>
      </c>
      <c r="C38" s="42">
        <v>545</v>
      </c>
      <c r="D38" s="37" t="s">
        <v>373</v>
      </c>
      <c r="E38" s="41" t="s">
        <v>374</v>
      </c>
      <c r="F38" s="38">
        <v>45198</v>
      </c>
      <c r="G38" s="39" t="s">
        <v>375</v>
      </c>
      <c r="H38" s="42" t="s">
        <v>88</v>
      </c>
      <c r="I38" s="42" t="s">
        <v>376</v>
      </c>
      <c r="J38" s="56">
        <v>332379801.60000002</v>
      </c>
      <c r="K38" s="56">
        <v>332379801.60000002</v>
      </c>
      <c r="L38" s="56">
        <v>0</v>
      </c>
      <c r="M38" s="56">
        <v>0</v>
      </c>
      <c r="N38" s="44">
        <f t="shared" si="3"/>
        <v>0</v>
      </c>
      <c r="O38" s="45">
        <f t="shared" si="4"/>
        <v>0</v>
      </c>
      <c r="P38" s="43">
        <v>332379801.60000002</v>
      </c>
      <c r="Q38" s="45">
        <f t="shared" si="5"/>
        <v>0</v>
      </c>
      <c r="R38" s="43">
        <v>332379801.60000002</v>
      </c>
      <c r="S38" s="30">
        <v>430313136</v>
      </c>
      <c r="T38" s="30">
        <f t="shared" si="6"/>
        <v>430313136</v>
      </c>
      <c r="U38" s="30">
        <f>T38/X38</f>
        <v>247306.4</v>
      </c>
      <c r="V38" s="43">
        <f>T38/X38</f>
        <v>247306.4</v>
      </c>
      <c r="W38" s="43">
        <f t="shared" si="0"/>
        <v>2967676.8</v>
      </c>
      <c r="X38" s="43">
        <v>1740</v>
      </c>
      <c r="Y38" s="43">
        <v>468</v>
      </c>
      <c r="Z38" s="43">
        <v>1272</v>
      </c>
      <c r="AA38" s="43">
        <v>0</v>
      </c>
      <c r="AB38" s="43"/>
      <c r="AC38" s="43">
        <f t="shared" si="1"/>
        <v>0</v>
      </c>
      <c r="AD38" s="43"/>
      <c r="AE38" s="43">
        <f t="shared" si="2"/>
        <v>0</v>
      </c>
      <c r="AF38" s="43">
        <f t="shared" si="7"/>
        <v>145</v>
      </c>
      <c r="AG38" s="43">
        <f t="shared" si="8"/>
        <v>145</v>
      </c>
      <c r="AH38" s="38">
        <v>45300</v>
      </c>
      <c r="AI38" s="38">
        <v>45322</v>
      </c>
      <c r="AJ38" s="38"/>
      <c r="AK38" s="38">
        <v>45331</v>
      </c>
      <c r="AL38" s="38">
        <v>45352</v>
      </c>
      <c r="AM38" s="48"/>
      <c r="AN38" s="42" t="s">
        <v>323</v>
      </c>
      <c r="AO38" s="42" t="s">
        <v>377</v>
      </c>
      <c r="AP38" s="42" t="s">
        <v>378</v>
      </c>
      <c r="AQ38" s="42" t="s">
        <v>379</v>
      </c>
      <c r="AR38" s="42" t="s">
        <v>60</v>
      </c>
      <c r="AS38" s="50">
        <v>0</v>
      </c>
      <c r="AT38" s="39">
        <v>100</v>
      </c>
      <c r="AU38" s="39" t="s">
        <v>83</v>
      </c>
      <c r="AV38" s="49">
        <v>12</v>
      </c>
      <c r="AW38" s="39" t="s">
        <v>62</v>
      </c>
      <c r="AX38" s="39">
        <v>10</v>
      </c>
      <c r="AY38" s="30">
        <v>33237980.16</v>
      </c>
      <c r="AZ38" s="42" t="s">
        <v>97</v>
      </c>
    </row>
    <row r="39" spans="1:52" ht="53.25" customHeight="1" x14ac:dyDescent="0.25">
      <c r="A39" s="46" t="s">
        <v>380</v>
      </c>
      <c r="B39" s="48">
        <v>45166</v>
      </c>
      <c r="C39" s="42">
        <v>545</v>
      </c>
      <c r="D39" s="37" t="s">
        <v>381</v>
      </c>
      <c r="E39" s="41" t="s">
        <v>382</v>
      </c>
      <c r="F39" s="38">
        <v>45201</v>
      </c>
      <c r="G39" s="39" t="s">
        <v>383</v>
      </c>
      <c r="H39" s="42" t="s">
        <v>88</v>
      </c>
      <c r="I39" s="42" t="s">
        <v>384</v>
      </c>
      <c r="J39" s="56">
        <v>689040000</v>
      </c>
      <c r="K39" s="56">
        <v>689040000</v>
      </c>
      <c r="L39" s="56">
        <v>0</v>
      </c>
      <c r="M39" s="56">
        <v>0</v>
      </c>
      <c r="N39" s="44">
        <f t="shared" si="3"/>
        <v>0</v>
      </c>
      <c r="O39" s="45">
        <f t="shared" si="4"/>
        <v>0</v>
      </c>
      <c r="P39" s="43">
        <v>689040000</v>
      </c>
      <c r="Q39" s="45">
        <f t="shared" si="5"/>
        <v>0</v>
      </c>
      <c r="R39" s="43">
        <v>689040000</v>
      </c>
      <c r="S39" s="30">
        <v>895752000</v>
      </c>
      <c r="T39" s="30">
        <f t="shared" si="6"/>
        <v>895752000</v>
      </c>
      <c r="U39" s="30">
        <f>T39/X39</f>
        <v>15950</v>
      </c>
      <c r="V39" s="43">
        <f>T39/X39</f>
        <v>15950</v>
      </c>
      <c r="W39" s="43">
        <f t="shared" si="0"/>
        <v>957000</v>
      </c>
      <c r="X39" s="43">
        <v>56160</v>
      </c>
      <c r="Y39" s="43">
        <v>56160</v>
      </c>
      <c r="Z39" s="43">
        <v>0</v>
      </c>
      <c r="AA39" s="43">
        <v>0</v>
      </c>
      <c r="AB39" s="43"/>
      <c r="AC39" s="43">
        <f t="shared" si="1"/>
        <v>0</v>
      </c>
      <c r="AD39" s="43"/>
      <c r="AE39" s="43">
        <f t="shared" si="2"/>
        <v>0</v>
      </c>
      <c r="AF39" s="43">
        <f t="shared" si="7"/>
        <v>936</v>
      </c>
      <c r="AG39" s="43">
        <f t="shared" si="8"/>
        <v>936</v>
      </c>
      <c r="AH39" s="38">
        <v>45322</v>
      </c>
      <c r="AI39" s="38"/>
      <c r="AJ39" s="38"/>
      <c r="AK39" s="38">
        <v>45352</v>
      </c>
      <c r="AL39" s="38"/>
      <c r="AM39" s="48"/>
      <c r="AN39" s="42" t="s">
        <v>323</v>
      </c>
      <c r="AO39" s="42" t="s">
        <v>385</v>
      </c>
      <c r="AP39" s="42" t="s">
        <v>386</v>
      </c>
      <c r="AQ39" s="42" t="s">
        <v>387</v>
      </c>
      <c r="AR39" s="42" t="s">
        <v>388</v>
      </c>
      <c r="AS39" s="50">
        <v>0</v>
      </c>
      <c r="AT39" s="39">
        <v>100</v>
      </c>
      <c r="AU39" s="39" t="s">
        <v>389</v>
      </c>
      <c r="AV39" s="49">
        <v>60</v>
      </c>
      <c r="AW39" s="39" t="s">
        <v>62</v>
      </c>
      <c r="AX39" s="39">
        <v>10</v>
      </c>
      <c r="AY39" s="30">
        <v>68904000</v>
      </c>
      <c r="AZ39" s="42" t="s">
        <v>97</v>
      </c>
    </row>
    <row r="40" spans="1:52" ht="43.5" customHeight="1" x14ac:dyDescent="0.25">
      <c r="A40" s="46" t="s">
        <v>390</v>
      </c>
      <c r="B40" s="48">
        <v>45167</v>
      </c>
      <c r="C40" s="42">
        <v>545</v>
      </c>
      <c r="D40" s="37" t="s">
        <v>391</v>
      </c>
      <c r="E40" s="41" t="s">
        <v>392</v>
      </c>
      <c r="F40" s="38">
        <v>45198</v>
      </c>
      <c r="G40" s="39" t="s">
        <v>393</v>
      </c>
      <c r="H40" s="42" t="s">
        <v>88</v>
      </c>
      <c r="I40" s="42" t="s">
        <v>394</v>
      </c>
      <c r="J40" s="56">
        <v>323280775.83999997</v>
      </c>
      <c r="K40" s="56">
        <v>323280775.83999997</v>
      </c>
      <c r="L40" s="56">
        <v>0</v>
      </c>
      <c r="M40" s="56">
        <v>0</v>
      </c>
      <c r="N40" s="44">
        <f t="shared" si="3"/>
        <v>0</v>
      </c>
      <c r="O40" s="45">
        <f t="shared" si="4"/>
        <v>0</v>
      </c>
      <c r="P40" s="43">
        <v>323280775.83999997</v>
      </c>
      <c r="Q40" s="45">
        <f t="shared" si="5"/>
        <v>0</v>
      </c>
      <c r="R40" s="43">
        <v>323280775.83999997</v>
      </c>
      <c r="S40" s="30">
        <v>419765947.36000001</v>
      </c>
      <c r="T40" s="30">
        <f t="shared" si="6"/>
        <v>419765947.36000001</v>
      </c>
      <c r="U40" s="30">
        <f>T40/X40</f>
        <v>554512.48</v>
      </c>
      <c r="V40" s="43">
        <f>T40/X40</f>
        <v>554512.48</v>
      </c>
      <c r="W40" s="43">
        <f t="shared" si="0"/>
        <v>554512.48</v>
      </c>
      <c r="X40" s="43">
        <v>757</v>
      </c>
      <c r="Y40" s="43">
        <v>757</v>
      </c>
      <c r="Z40" s="43">
        <v>0</v>
      </c>
      <c r="AA40" s="43">
        <v>0</v>
      </c>
      <c r="AB40" s="43"/>
      <c r="AC40" s="43">
        <f t="shared" si="1"/>
        <v>0</v>
      </c>
      <c r="AD40" s="43"/>
      <c r="AE40" s="43">
        <f t="shared" si="2"/>
        <v>0</v>
      </c>
      <c r="AF40" s="43">
        <f t="shared" si="7"/>
        <v>757</v>
      </c>
      <c r="AG40" s="43">
        <f t="shared" si="8"/>
        <v>757</v>
      </c>
      <c r="AH40" s="38">
        <v>45300</v>
      </c>
      <c r="AI40" s="38"/>
      <c r="AJ40" s="38"/>
      <c r="AK40" s="38">
        <v>45331</v>
      </c>
      <c r="AL40" s="38"/>
      <c r="AM40" s="48"/>
      <c r="AN40" s="42" t="s">
        <v>323</v>
      </c>
      <c r="AO40" s="42" t="s">
        <v>292</v>
      </c>
      <c r="AP40" s="42" t="s">
        <v>395</v>
      </c>
      <c r="AQ40" s="42" t="s">
        <v>294</v>
      </c>
      <c r="AR40" s="42" t="s">
        <v>295</v>
      </c>
      <c r="AS40" s="50">
        <v>0</v>
      </c>
      <c r="AT40" s="39">
        <v>100</v>
      </c>
      <c r="AU40" s="39" t="s">
        <v>83</v>
      </c>
      <c r="AV40" s="49">
        <v>1</v>
      </c>
      <c r="AW40" s="39" t="s">
        <v>62</v>
      </c>
      <c r="AX40" s="39">
        <v>10</v>
      </c>
      <c r="AY40" s="30">
        <v>32328077.583999995</v>
      </c>
      <c r="AZ40" s="42" t="s">
        <v>97</v>
      </c>
    </row>
    <row r="41" spans="1:52" ht="43.5" customHeight="1" x14ac:dyDescent="0.25">
      <c r="A41" s="46" t="s">
        <v>396</v>
      </c>
      <c r="B41" s="48">
        <v>45167</v>
      </c>
      <c r="C41" s="42">
        <v>545</v>
      </c>
      <c r="D41" s="37" t="s">
        <v>397</v>
      </c>
      <c r="E41" s="41" t="s">
        <v>398</v>
      </c>
      <c r="F41" s="38">
        <v>45198</v>
      </c>
      <c r="G41" s="39" t="s">
        <v>399</v>
      </c>
      <c r="H41" s="42" t="s">
        <v>88</v>
      </c>
      <c r="I41" s="42" t="s">
        <v>400</v>
      </c>
      <c r="J41" s="56">
        <v>1035540624</v>
      </c>
      <c r="K41" s="56">
        <v>1035540624</v>
      </c>
      <c r="L41" s="56">
        <v>0</v>
      </c>
      <c r="M41" s="56">
        <v>0</v>
      </c>
      <c r="N41" s="44">
        <f t="shared" si="3"/>
        <v>0</v>
      </c>
      <c r="O41" s="45">
        <f t="shared" si="4"/>
        <v>0</v>
      </c>
      <c r="P41" s="43">
        <v>1035540624</v>
      </c>
      <c r="Q41" s="45">
        <f t="shared" si="5"/>
        <v>0</v>
      </c>
      <c r="R41" s="43">
        <v>1035540624</v>
      </c>
      <c r="S41" s="30">
        <v>1231300358.4000001</v>
      </c>
      <c r="T41" s="30">
        <f t="shared" si="6"/>
        <v>1231300358.4000001</v>
      </c>
      <c r="U41" s="30">
        <f>T41/X41</f>
        <v>47284.960000000006</v>
      </c>
      <c r="V41" s="43">
        <f>T41/X41</f>
        <v>47284.960000000006</v>
      </c>
      <c r="W41" s="43">
        <f t="shared" si="0"/>
        <v>472849.60000000009</v>
      </c>
      <c r="X41" s="43">
        <v>26040</v>
      </c>
      <c r="Y41" s="43">
        <v>26040</v>
      </c>
      <c r="Z41" s="43">
        <v>0</v>
      </c>
      <c r="AA41" s="43">
        <v>0</v>
      </c>
      <c r="AB41" s="43"/>
      <c r="AC41" s="43">
        <f t="shared" si="1"/>
        <v>0</v>
      </c>
      <c r="AD41" s="43"/>
      <c r="AE41" s="43">
        <f t="shared" si="2"/>
        <v>0</v>
      </c>
      <c r="AF41" s="43">
        <f t="shared" si="7"/>
        <v>2604</v>
      </c>
      <c r="AG41" s="43">
        <f t="shared" si="8"/>
        <v>2604</v>
      </c>
      <c r="AH41" s="38">
        <v>45322</v>
      </c>
      <c r="AI41" s="38"/>
      <c r="AJ41" s="38"/>
      <c r="AK41" s="38">
        <v>45352</v>
      </c>
      <c r="AL41" s="38"/>
      <c r="AM41" s="48"/>
      <c r="AN41" s="42" t="s">
        <v>323</v>
      </c>
      <c r="AO41" s="42" t="s">
        <v>401</v>
      </c>
      <c r="AP41" s="42" t="s">
        <v>402</v>
      </c>
      <c r="AQ41" s="42" t="s">
        <v>403</v>
      </c>
      <c r="AR41" s="42" t="s">
        <v>404</v>
      </c>
      <c r="AS41" s="50">
        <v>0</v>
      </c>
      <c r="AT41" s="39">
        <v>100</v>
      </c>
      <c r="AU41" s="39" t="s">
        <v>83</v>
      </c>
      <c r="AV41" s="49">
        <v>10</v>
      </c>
      <c r="AW41" s="39" t="s">
        <v>62</v>
      </c>
      <c r="AX41" s="39">
        <v>10</v>
      </c>
      <c r="AY41" s="30">
        <v>103554062.40000001</v>
      </c>
      <c r="AZ41" s="42" t="s">
        <v>405</v>
      </c>
    </row>
    <row r="42" spans="1:52" ht="50.25" customHeight="1" x14ac:dyDescent="0.25">
      <c r="A42" s="46" t="s">
        <v>406</v>
      </c>
      <c r="B42" s="38">
        <v>45170</v>
      </c>
      <c r="C42" s="42">
        <v>545</v>
      </c>
      <c r="D42" s="37" t="s">
        <v>407</v>
      </c>
      <c r="E42" s="41" t="s">
        <v>408</v>
      </c>
      <c r="F42" s="38">
        <v>45203</v>
      </c>
      <c r="G42" s="39" t="s">
        <v>409</v>
      </c>
      <c r="H42" s="42" t="s">
        <v>88</v>
      </c>
      <c r="I42" s="42" t="s">
        <v>410</v>
      </c>
      <c r="J42" s="43">
        <v>1882610400</v>
      </c>
      <c r="K42" s="43">
        <v>1882610400</v>
      </c>
      <c r="L42" s="56">
        <v>0</v>
      </c>
      <c r="M42" s="56">
        <v>0</v>
      </c>
      <c r="N42" s="44">
        <f t="shared" si="3"/>
        <v>0</v>
      </c>
      <c r="O42" s="45">
        <f t="shared" si="4"/>
        <v>0</v>
      </c>
      <c r="P42" s="43">
        <v>1882610400</v>
      </c>
      <c r="Q42" s="45">
        <f t="shared" si="5"/>
        <v>0</v>
      </c>
      <c r="R42" s="43">
        <v>1882610400</v>
      </c>
      <c r="S42" s="30">
        <v>2447240400</v>
      </c>
      <c r="T42" s="30">
        <f t="shared" si="6"/>
        <v>2447240400</v>
      </c>
      <c r="U42" s="30">
        <f>T42/X42</f>
        <v>6380</v>
      </c>
      <c r="V42" s="43">
        <f>T42/X42</f>
        <v>6380</v>
      </c>
      <c r="W42" s="43">
        <f t="shared" si="0"/>
        <v>382800</v>
      </c>
      <c r="X42" s="43">
        <v>383580</v>
      </c>
      <c r="Y42" s="43">
        <v>383580</v>
      </c>
      <c r="Z42" s="43">
        <v>0</v>
      </c>
      <c r="AA42" s="43">
        <v>0</v>
      </c>
      <c r="AB42" s="43"/>
      <c r="AC42" s="43">
        <f t="shared" si="1"/>
        <v>0</v>
      </c>
      <c r="AD42" s="43"/>
      <c r="AE42" s="43">
        <f t="shared" si="2"/>
        <v>0</v>
      </c>
      <c r="AF42" s="43">
        <f t="shared" si="7"/>
        <v>6393</v>
      </c>
      <c r="AG42" s="43">
        <f t="shared" si="8"/>
        <v>6393</v>
      </c>
      <c r="AH42" s="38">
        <v>45322</v>
      </c>
      <c r="AI42" s="38"/>
      <c r="AJ42" s="38"/>
      <c r="AK42" s="38">
        <v>45352</v>
      </c>
      <c r="AL42" s="38"/>
      <c r="AM42" s="48"/>
      <c r="AN42" s="42" t="s">
        <v>323</v>
      </c>
      <c r="AO42" s="42" t="s">
        <v>385</v>
      </c>
      <c r="AP42" s="42" t="s">
        <v>411</v>
      </c>
      <c r="AQ42" s="42" t="s">
        <v>387</v>
      </c>
      <c r="AR42" s="42" t="s">
        <v>388</v>
      </c>
      <c r="AS42" s="50">
        <v>0</v>
      </c>
      <c r="AT42" s="39">
        <v>100</v>
      </c>
      <c r="AU42" s="39" t="s">
        <v>389</v>
      </c>
      <c r="AV42" s="49">
        <v>60</v>
      </c>
      <c r="AW42" s="39" t="s">
        <v>62</v>
      </c>
      <c r="AX42" s="39">
        <v>10</v>
      </c>
      <c r="AY42" s="30">
        <v>188261040</v>
      </c>
      <c r="AZ42" s="42" t="s">
        <v>97</v>
      </c>
    </row>
    <row r="43" spans="1:52" ht="50.25" customHeight="1" x14ac:dyDescent="0.25">
      <c r="A43" s="46" t="s">
        <v>412</v>
      </c>
      <c r="B43" s="38">
        <v>45170</v>
      </c>
      <c r="C43" s="42">
        <v>545</v>
      </c>
      <c r="D43" s="37" t="s">
        <v>413</v>
      </c>
      <c r="E43" s="41" t="s">
        <v>414</v>
      </c>
      <c r="F43" s="38">
        <v>45202</v>
      </c>
      <c r="G43" s="39" t="s">
        <v>415</v>
      </c>
      <c r="H43" s="42" t="s">
        <v>88</v>
      </c>
      <c r="I43" s="42" t="s">
        <v>416</v>
      </c>
      <c r="J43" s="43">
        <v>789501921.45000005</v>
      </c>
      <c r="K43" s="43">
        <v>789501921.45000005</v>
      </c>
      <c r="L43" s="56">
        <v>0</v>
      </c>
      <c r="M43" s="56">
        <v>0</v>
      </c>
      <c r="N43" s="44">
        <f t="shared" si="3"/>
        <v>0</v>
      </c>
      <c r="O43" s="45">
        <f t="shared" si="4"/>
        <v>0</v>
      </c>
      <c r="P43" s="43">
        <v>789501921.45000005</v>
      </c>
      <c r="Q43" s="45">
        <f t="shared" si="5"/>
        <v>0</v>
      </c>
      <c r="R43" s="43">
        <v>789501921.45000005</v>
      </c>
      <c r="S43" s="30">
        <v>1023758254.2</v>
      </c>
      <c r="T43" s="30">
        <f t="shared" si="6"/>
        <v>1023758254.2</v>
      </c>
      <c r="U43" s="30">
        <f>T43/X43</f>
        <v>25813.370000000003</v>
      </c>
      <c r="V43" s="43">
        <f>T43/X43</f>
        <v>25813.370000000003</v>
      </c>
      <c r="W43" s="43">
        <f t="shared" si="0"/>
        <v>387200.55000000005</v>
      </c>
      <c r="X43" s="43">
        <v>39660</v>
      </c>
      <c r="Y43" s="43">
        <v>25005</v>
      </c>
      <c r="Z43" s="43">
        <v>14655</v>
      </c>
      <c r="AA43" s="43">
        <v>0</v>
      </c>
      <c r="AB43" s="43"/>
      <c r="AC43" s="43">
        <f t="shared" si="1"/>
        <v>0</v>
      </c>
      <c r="AD43" s="43"/>
      <c r="AE43" s="43">
        <f t="shared" si="2"/>
        <v>0</v>
      </c>
      <c r="AF43" s="43">
        <f t="shared" si="7"/>
        <v>2644</v>
      </c>
      <c r="AG43" s="43">
        <f t="shared" si="8"/>
        <v>2644</v>
      </c>
      <c r="AH43" s="38">
        <v>45300</v>
      </c>
      <c r="AI43" s="38">
        <v>45337</v>
      </c>
      <c r="AJ43" s="38"/>
      <c r="AK43" s="38">
        <v>45331</v>
      </c>
      <c r="AL43" s="38">
        <v>45366</v>
      </c>
      <c r="AM43" s="48"/>
      <c r="AN43" s="42" t="s">
        <v>323</v>
      </c>
      <c r="AO43" s="42" t="s">
        <v>342</v>
      </c>
      <c r="AP43" s="42" t="s">
        <v>417</v>
      </c>
      <c r="AQ43" s="42" t="s">
        <v>418</v>
      </c>
      <c r="AR43" s="42" t="s">
        <v>345</v>
      </c>
      <c r="AS43" s="50">
        <v>0</v>
      </c>
      <c r="AT43" s="39">
        <v>100</v>
      </c>
      <c r="AU43" s="39" t="s">
        <v>346</v>
      </c>
      <c r="AV43" s="49">
        <v>15</v>
      </c>
      <c r="AW43" s="39" t="s">
        <v>62</v>
      </c>
      <c r="AX43" s="39">
        <v>10</v>
      </c>
      <c r="AY43" s="30">
        <v>78950192.144999996</v>
      </c>
      <c r="AZ43" s="42" t="s">
        <v>328</v>
      </c>
    </row>
    <row r="44" spans="1:52" ht="50.25" customHeight="1" x14ac:dyDescent="0.25">
      <c r="A44" s="46" t="s">
        <v>419</v>
      </c>
      <c r="B44" s="38">
        <v>45170</v>
      </c>
      <c r="C44" s="42">
        <v>545</v>
      </c>
      <c r="D44" s="37" t="s">
        <v>420</v>
      </c>
      <c r="E44" s="41" t="s">
        <v>421</v>
      </c>
      <c r="F44" s="38">
        <v>45201</v>
      </c>
      <c r="G44" s="39" t="s">
        <v>422</v>
      </c>
      <c r="H44" s="42" t="s">
        <v>88</v>
      </c>
      <c r="I44" s="42" t="s">
        <v>423</v>
      </c>
      <c r="J44" s="43">
        <v>653594528.39999998</v>
      </c>
      <c r="K44" s="43">
        <v>653594528.39999998</v>
      </c>
      <c r="L44" s="56">
        <v>0</v>
      </c>
      <c r="M44" s="56">
        <v>0</v>
      </c>
      <c r="N44" s="44">
        <f t="shared" si="3"/>
        <v>0</v>
      </c>
      <c r="O44" s="45">
        <f t="shared" si="4"/>
        <v>0</v>
      </c>
      <c r="P44" s="43">
        <v>653594528.39999998</v>
      </c>
      <c r="Q44" s="45">
        <f t="shared" si="5"/>
        <v>0</v>
      </c>
      <c r="R44" s="43">
        <v>653594528.39999998</v>
      </c>
      <c r="S44" s="30">
        <v>848743605.60000002</v>
      </c>
      <c r="T44" s="30">
        <f t="shared" si="6"/>
        <v>848743605.60000002</v>
      </c>
      <c r="U44" s="30">
        <f>T44/X44</f>
        <v>25813.37</v>
      </c>
      <c r="V44" s="43">
        <f>T44/X44</f>
        <v>25813.37</v>
      </c>
      <c r="W44" s="43">
        <f t="shared" si="0"/>
        <v>3097604.4</v>
      </c>
      <c r="X44" s="43">
        <v>32880</v>
      </c>
      <c r="Y44" s="43">
        <v>12960</v>
      </c>
      <c r="Z44" s="43">
        <v>19920</v>
      </c>
      <c r="AA44" s="43">
        <v>0</v>
      </c>
      <c r="AB44" s="43"/>
      <c r="AC44" s="43">
        <f t="shared" si="1"/>
        <v>0</v>
      </c>
      <c r="AD44" s="43"/>
      <c r="AE44" s="43">
        <f t="shared" si="2"/>
        <v>0</v>
      </c>
      <c r="AF44" s="43">
        <f t="shared" si="7"/>
        <v>274</v>
      </c>
      <c r="AG44" s="43">
        <f t="shared" si="8"/>
        <v>274</v>
      </c>
      <c r="AH44" s="38">
        <v>45300</v>
      </c>
      <c r="AI44" s="38">
        <v>45382</v>
      </c>
      <c r="AJ44" s="38"/>
      <c r="AK44" s="38">
        <v>45331</v>
      </c>
      <c r="AL44" s="38">
        <v>45413</v>
      </c>
      <c r="AM44" s="48"/>
      <c r="AN44" s="42" t="s">
        <v>323</v>
      </c>
      <c r="AO44" s="42" t="s">
        <v>342</v>
      </c>
      <c r="AP44" s="42" t="s">
        <v>424</v>
      </c>
      <c r="AQ44" s="42" t="s">
        <v>344</v>
      </c>
      <c r="AR44" s="42" t="s">
        <v>345</v>
      </c>
      <c r="AS44" s="50">
        <v>0</v>
      </c>
      <c r="AT44" s="39">
        <v>100</v>
      </c>
      <c r="AU44" s="39" t="s">
        <v>346</v>
      </c>
      <c r="AV44" s="49">
        <v>120</v>
      </c>
      <c r="AW44" s="39" t="s">
        <v>62</v>
      </c>
      <c r="AX44" s="39">
        <v>10</v>
      </c>
      <c r="AY44" s="30">
        <v>65359452.840000004</v>
      </c>
      <c r="AZ44" s="42" t="s">
        <v>328</v>
      </c>
    </row>
    <row r="45" spans="1:52" ht="50.25" customHeight="1" x14ac:dyDescent="0.25">
      <c r="A45" s="46" t="s">
        <v>425</v>
      </c>
      <c r="B45" s="38">
        <v>45173</v>
      </c>
      <c r="C45" s="42">
        <v>545</v>
      </c>
      <c r="D45" s="37" t="s">
        <v>426</v>
      </c>
      <c r="E45" s="41" t="s">
        <v>427</v>
      </c>
      <c r="F45" s="38">
        <v>45194</v>
      </c>
      <c r="G45" s="39" t="s">
        <v>428</v>
      </c>
      <c r="H45" s="42" t="s">
        <v>271</v>
      </c>
      <c r="I45" s="42" t="s">
        <v>429</v>
      </c>
      <c r="J45" s="43">
        <v>21558787.800000001</v>
      </c>
      <c r="K45" s="43">
        <v>21558787.800000001</v>
      </c>
      <c r="L45" s="56">
        <v>0</v>
      </c>
      <c r="M45" s="56">
        <v>0</v>
      </c>
      <c r="N45" s="44">
        <f t="shared" si="3"/>
        <v>0</v>
      </c>
      <c r="O45" s="45">
        <f t="shared" si="4"/>
        <v>0</v>
      </c>
      <c r="P45" s="43">
        <v>21558787.800000001</v>
      </c>
      <c r="Q45" s="45">
        <f t="shared" si="5"/>
        <v>0</v>
      </c>
      <c r="R45" s="43">
        <v>21558787.800000001</v>
      </c>
      <c r="S45" s="30">
        <v>27616629</v>
      </c>
      <c r="T45" s="30">
        <f t="shared" si="6"/>
        <v>27616629</v>
      </c>
      <c r="U45" s="30">
        <f>T45/X45</f>
        <v>2969.53</v>
      </c>
      <c r="V45" s="43">
        <f>T45/X45</f>
        <v>2969.53</v>
      </c>
      <c r="W45" s="43">
        <f t="shared" si="0"/>
        <v>178171.80000000002</v>
      </c>
      <c r="X45" s="43">
        <v>9300</v>
      </c>
      <c r="Y45" s="43">
        <v>9300</v>
      </c>
      <c r="Z45" s="43">
        <v>0</v>
      </c>
      <c r="AA45" s="43">
        <v>0</v>
      </c>
      <c r="AB45" s="43"/>
      <c r="AC45" s="43">
        <f t="shared" si="1"/>
        <v>0</v>
      </c>
      <c r="AD45" s="43"/>
      <c r="AE45" s="43">
        <f t="shared" si="2"/>
        <v>0</v>
      </c>
      <c r="AF45" s="43">
        <f t="shared" si="7"/>
        <v>155</v>
      </c>
      <c r="AG45" s="43">
        <f t="shared" si="8"/>
        <v>155</v>
      </c>
      <c r="AH45" s="38">
        <v>45300</v>
      </c>
      <c r="AI45" s="38"/>
      <c r="AJ45" s="38"/>
      <c r="AK45" s="38">
        <v>45331</v>
      </c>
      <c r="AL45" s="38"/>
      <c r="AM45" s="48"/>
      <c r="AN45" s="42" t="s">
        <v>323</v>
      </c>
      <c r="AO45" s="42" t="s">
        <v>430</v>
      </c>
      <c r="AP45" s="42" t="s">
        <v>431</v>
      </c>
      <c r="AQ45" s="42" t="s">
        <v>432</v>
      </c>
      <c r="AR45" s="42" t="s">
        <v>94</v>
      </c>
      <c r="AS45" s="50">
        <v>0</v>
      </c>
      <c r="AT45" s="39">
        <v>100</v>
      </c>
      <c r="AU45" s="39" t="s">
        <v>389</v>
      </c>
      <c r="AV45" s="49">
        <v>60</v>
      </c>
      <c r="AW45" s="39" t="s">
        <v>62</v>
      </c>
      <c r="AX45" s="39">
        <v>10</v>
      </c>
      <c r="AY45" s="30">
        <v>2155878.7799999998</v>
      </c>
      <c r="AZ45" s="42" t="s">
        <v>97</v>
      </c>
    </row>
    <row r="46" spans="1:52" ht="50.25" customHeight="1" x14ac:dyDescent="0.25">
      <c r="A46" s="46" t="s">
        <v>433</v>
      </c>
      <c r="B46" s="38">
        <v>45174</v>
      </c>
      <c r="C46" s="42" t="s">
        <v>435</v>
      </c>
      <c r="D46" s="37" t="s">
        <v>434</v>
      </c>
      <c r="E46" s="41" t="s">
        <v>436</v>
      </c>
      <c r="F46" s="38" t="s">
        <v>434</v>
      </c>
      <c r="G46" s="39" t="s">
        <v>434</v>
      </c>
      <c r="H46" s="42"/>
      <c r="I46" s="42" t="s">
        <v>437</v>
      </c>
      <c r="J46" s="43">
        <v>161212603.05000001</v>
      </c>
      <c r="K46" s="43">
        <v>161212603.05000001</v>
      </c>
      <c r="L46" s="43"/>
      <c r="M46" s="43"/>
      <c r="N46" s="44">
        <f t="shared" si="3"/>
        <v>100</v>
      </c>
      <c r="O46" s="45">
        <f t="shared" si="4"/>
        <v>161212603.05000001</v>
      </c>
      <c r="P46" s="43"/>
      <c r="Q46" s="45">
        <f t="shared" si="5"/>
        <v>161212603.05000001</v>
      </c>
      <c r="R46" s="43">
        <v>0</v>
      </c>
      <c r="S46" s="30">
        <f>R46</f>
        <v>0</v>
      </c>
      <c r="T46" s="30">
        <f t="shared" si="6"/>
        <v>0</v>
      </c>
      <c r="U46" s="30" t="e">
        <f>T46/X46</f>
        <v>#DIV/0!</v>
      </c>
      <c r="V46" s="43" t="e">
        <f>T46/X46</f>
        <v>#DIV/0!</v>
      </c>
      <c r="W46" s="43" t="e">
        <f t="shared" si="0"/>
        <v>#DIV/0!</v>
      </c>
      <c r="X46" s="43">
        <v>0</v>
      </c>
      <c r="Y46" s="43">
        <v>0</v>
      </c>
      <c r="Z46" s="43">
        <v>0</v>
      </c>
      <c r="AA46" s="43">
        <v>0</v>
      </c>
      <c r="AB46" s="43"/>
      <c r="AC46" s="43" t="e">
        <f t="shared" si="1"/>
        <v>#DIV/0!</v>
      </c>
      <c r="AD46" s="43"/>
      <c r="AE46" s="43" t="e">
        <f t="shared" si="2"/>
        <v>#DIV/0!</v>
      </c>
      <c r="AF46" s="43" t="e">
        <f t="shared" si="7"/>
        <v>#DIV/0!</v>
      </c>
      <c r="AG46" s="43" t="e">
        <f t="shared" si="8"/>
        <v>#DIV/0!</v>
      </c>
      <c r="AH46" s="38">
        <v>45301</v>
      </c>
      <c r="AI46" s="38"/>
      <c r="AJ46" s="38"/>
      <c r="AK46" s="38"/>
      <c r="AL46" s="38"/>
      <c r="AM46" s="48"/>
      <c r="AN46" s="42"/>
      <c r="AO46" s="42"/>
      <c r="AP46" s="42"/>
      <c r="AQ46" s="42"/>
      <c r="AR46" s="42"/>
      <c r="AS46" s="50"/>
      <c r="AT46" s="39"/>
      <c r="AU46" s="39"/>
      <c r="AV46" s="49"/>
      <c r="AW46" s="39"/>
      <c r="AX46" s="39">
        <v>10</v>
      </c>
      <c r="AY46" s="30">
        <v>16121260.305</v>
      </c>
      <c r="AZ46" s="37" t="s">
        <v>434</v>
      </c>
    </row>
    <row r="47" spans="1:52" ht="50.25" customHeight="1" x14ac:dyDescent="0.25">
      <c r="A47" s="46" t="s">
        <v>438</v>
      </c>
      <c r="B47" s="38">
        <v>45175</v>
      </c>
      <c r="C47" s="42">
        <v>545</v>
      </c>
      <c r="D47" s="37" t="s">
        <v>439</v>
      </c>
      <c r="E47" s="41" t="s">
        <v>440</v>
      </c>
      <c r="F47" s="38">
        <v>45198</v>
      </c>
      <c r="G47" s="39" t="s">
        <v>441</v>
      </c>
      <c r="H47" s="42" t="s">
        <v>271</v>
      </c>
      <c r="I47" s="42" t="s">
        <v>442</v>
      </c>
      <c r="J47" s="43">
        <v>42364594.799999997</v>
      </c>
      <c r="K47" s="43">
        <v>42364594.799999997</v>
      </c>
      <c r="L47" s="43">
        <v>0</v>
      </c>
      <c r="M47" s="43">
        <v>0</v>
      </c>
      <c r="N47" s="44">
        <f t="shared" si="3"/>
        <v>0</v>
      </c>
      <c r="O47" s="45">
        <f t="shared" si="4"/>
        <v>0</v>
      </c>
      <c r="P47" s="43">
        <v>42364594.799999997</v>
      </c>
      <c r="Q47" s="45">
        <f t="shared" si="5"/>
        <v>0</v>
      </c>
      <c r="R47" s="43">
        <v>42364594.799999997</v>
      </c>
      <c r="S47" s="30">
        <v>46004164.799999997</v>
      </c>
      <c r="T47" s="30">
        <f t="shared" si="6"/>
        <v>46004164.799999997</v>
      </c>
      <c r="U47" s="30">
        <f>T47/X47</f>
        <v>2426.3799999999997</v>
      </c>
      <c r="V47" s="43">
        <f>T47/X47</f>
        <v>2426.3799999999997</v>
      </c>
      <c r="W47" s="43">
        <f t="shared" si="0"/>
        <v>72791.399999999994</v>
      </c>
      <c r="X47" s="43">
        <v>18960</v>
      </c>
      <c r="Y47" s="43">
        <v>18960</v>
      </c>
      <c r="Z47" s="43">
        <v>0</v>
      </c>
      <c r="AA47" s="43">
        <v>0</v>
      </c>
      <c r="AB47" s="43"/>
      <c r="AC47" s="43">
        <f t="shared" si="1"/>
        <v>0</v>
      </c>
      <c r="AD47" s="43"/>
      <c r="AE47" s="43">
        <f t="shared" si="2"/>
        <v>0</v>
      </c>
      <c r="AF47" s="43">
        <f t="shared" si="7"/>
        <v>632</v>
      </c>
      <c r="AG47" s="43">
        <f t="shared" si="8"/>
        <v>632</v>
      </c>
      <c r="AH47" s="38">
        <v>45300</v>
      </c>
      <c r="AI47" s="38"/>
      <c r="AJ47" s="38"/>
      <c r="AK47" s="38">
        <v>45331</v>
      </c>
      <c r="AL47" s="38"/>
      <c r="AM47" s="48"/>
      <c r="AN47" s="42" t="s">
        <v>323</v>
      </c>
      <c r="AO47" s="42" t="s">
        <v>443</v>
      </c>
      <c r="AP47" s="42" t="s">
        <v>444</v>
      </c>
      <c r="AQ47" s="42" t="s">
        <v>445</v>
      </c>
      <c r="AR47" s="42" t="s">
        <v>295</v>
      </c>
      <c r="AS47" s="50">
        <v>0</v>
      </c>
      <c r="AT47" s="39">
        <v>100</v>
      </c>
      <c r="AU47" s="39" t="s">
        <v>389</v>
      </c>
      <c r="AV47" s="49">
        <v>30</v>
      </c>
      <c r="AW47" s="39" t="s">
        <v>62</v>
      </c>
      <c r="AX47" s="39">
        <v>10</v>
      </c>
      <c r="AY47" s="30">
        <v>4236459.4800000004</v>
      </c>
      <c r="AZ47" s="42" t="s">
        <v>97</v>
      </c>
    </row>
    <row r="48" spans="1:52" ht="57" customHeight="1" x14ac:dyDescent="0.25">
      <c r="A48" s="46" t="s">
        <v>446</v>
      </c>
      <c r="B48" s="38">
        <v>45175</v>
      </c>
      <c r="C48" s="42">
        <v>545</v>
      </c>
      <c r="D48" s="37" t="s">
        <v>447</v>
      </c>
      <c r="E48" s="41" t="s">
        <v>448</v>
      </c>
      <c r="F48" s="38">
        <v>45198</v>
      </c>
      <c r="G48" s="39" t="s">
        <v>449</v>
      </c>
      <c r="H48" s="42" t="s">
        <v>271</v>
      </c>
      <c r="I48" s="42" t="s">
        <v>450</v>
      </c>
      <c r="J48" s="43">
        <v>11592979.199999999</v>
      </c>
      <c r="K48" s="43">
        <v>11592979.199999999</v>
      </c>
      <c r="L48" s="43">
        <v>0</v>
      </c>
      <c r="M48" s="43">
        <v>0</v>
      </c>
      <c r="N48" s="44">
        <f t="shared" si="3"/>
        <v>0</v>
      </c>
      <c r="O48" s="45">
        <f t="shared" si="4"/>
        <v>0</v>
      </c>
      <c r="P48" s="43">
        <v>11592979.199999999</v>
      </c>
      <c r="Q48" s="45">
        <f t="shared" si="5"/>
        <v>0</v>
      </c>
      <c r="R48" s="43">
        <v>11592979.199999999</v>
      </c>
      <c r="S48" s="30">
        <v>14491224</v>
      </c>
      <c r="T48" s="30">
        <f t="shared" si="6"/>
        <v>14491224</v>
      </c>
      <c r="U48" s="30">
        <f>T48/X48</f>
        <v>2683.56</v>
      </c>
      <c r="V48" s="43">
        <f>T48/X48</f>
        <v>2683.56</v>
      </c>
      <c r="W48" s="43">
        <f t="shared" si="0"/>
        <v>161013.6</v>
      </c>
      <c r="X48" s="43">
        <v>5400</v>
      </c>
      <c r="Y48" s="43">
        <v>5400</v>
      </c>
      <c r="Z48" s="43">
        <v>0</v>
      </c>
      <c r="AA48" s="43">
        <v>0</v>
      </c>
      <c r="AB48" s="43"/>
      <c r="AC48" s="43">
        <f t="shared" si="1"/>
        <v>0</v>
      </c>
      <c r="AD48" s="43"/>
      <c r="AE48" s="43">
        <f t="shared" si="2"/>
        <v>0</v>
      </c>
      <c r="AF48" s="43">
        <f t="shared" si="7"/>
        <v>90</v>
      </c>
      <c r="AG48" s="43">
        <f t="shared" si="8"/>
        <v>90</v>
      </c>
      <c r="AH48" s="38">
        <v>45300</v>
      </c>
      <c r="AI48" s="38"/>
      <c r="AJ48" s="38"/>
      <c r="AK48" s="38">
        <v>45331</v>
      </c>
      <c r="AL48" s="38"/>
      <c r="AM48" s="48"/>
      <c r="AN48" s="42" t="s">
        <v>323</v>
      </c>
      <c r="AO48" s="42" t="s">
        <v>430</v>
      </c>
      <c r="AP48" s="42" t="s">
        <v>451</v>
      </c>
      <c r="AQ48" s="42" t="s">
        <v>432</v>
      </c>
      <c r="AR48" s="42" t="s">
        <v>94</v>
      </c>
      <c r="AS48" s="50">
        <v>0</v>
      </c>
      <c r="AT48" s="39">
        <v>100</v>
      </c>
      <c r="AU48" s="39" t="s">
        <v>389</v>
      </c>
      <c r="AV48" s="49">
        <v>60</v>
      </c>
      <c r="AW48" s="39" t="s">
        <v>62</v>
      </c>
      <c r="AX48" s="39">
        <v>10</v>
      </c>
      <c r="AY48" s="30">
        <v>1159297.92</v>
      </c>
      <c r="AZ48" s="42" t="s">
        <v>97</v>
      </c>
    </row>
    <row r="49" spans="1:52" ht="57" customHeight="1" x14ac:dyDescent="0.25">
      <c r="A49" s="46" t="s">
        <v>452</v>
      </c>
      <c r="B49" s="38">
        <v>45175</v>
      </c>
      <c r="C49" s="42" t="s">
        <v>435</v>
      </c>
      <c r="D49" s="37" t="s">
        <v>453</v>
      </c>
      <c r="E49" s="41" t="s">
        <v>454</v>
      </c>
      <c r="F49" s="38">
        <v>45202</v>
      </c>
      <c r="G49" s="39" t="s">
        <v>455</v>
      </c>
      <c r="H49" s="42" t="s">
        <v>456</v>
      </c>
      <c r="I49" s="42" t="s">
        <v>457</v>
      </c>
      <c r="J49" s="43">
        <v>32334852.550000001</v>
      </c>
      <c r="K49" s="43">
        <v>32334852.550000001</v>
      </c>
      <c r="L49" s="43">
        <v>0</v>
      </c>
      <c r="M49" s="43">
        <v>0</v>
      </c>
      <c r="N49" s="44">
        <f t="shared" si="3"/>
        <v>51.772188489537427</v>
      </c>
      <c r="O49" s="45">
        <f t="shared" si="4"/>
        <v>16740460.810000001</v>
      </c>
      <c r="P49" s="43">
        <v>15594391.74</v>
      </c>
      <c r="Q49" s="45">
        <f t="shared" si="5"/>
        <v>16747922.100000001</v>
      </c>
      <c r="R49" s="43">
        <v>15586930.449999999</v>
      </c>
      <c r="S49" s="30">
        <f>R49</f>
        <v>15586930.449999999</v>
      </c>
      <c r="T49" s="30">
        <f t="shared" si="6"/>
        <v>15586930.449999999</v>
      </c>
      <c r="U49" s="30">
        <f>T49/X49</f>
        <v>44.169999999999995</v>
      </c>
      <c r="V49" s="43">
        <f>T49/X49</f>
        <v>44.169999999999995</v>
      </c>
      <c r="W49" s="43">
        <f t="shared" si="0"/>
        <v>2650.2</v>
      </c>
      <c r="X49" s="43">
        <v>352885</v>
      </c>
      <c r="Y49" s="43">
        <v>352885</v>
      </c>
      <c r="Z49" s="43">
        <v>0</v>
      </c>
      <c r="AA49" s="43">
        <v>0</v>
      </c>
      <c r="AB49" s="43"/>
      <c r="AC49" s="43">
        <f t="shared" si="1"/>
        <v>0</v>
      </c>
      <c r="AD49" s="43"/>
      <c r="AE49" s="43">
        <f t="shared" si="2"/>
        <v>0</v>
      </c>
      <c r="AF49" s="43">
        <f t="shared" si="7"/>
        <v>5881.416666666667</v>
      </c>
      <c r="AG49" s="43">
        <f t="shared" si="8"/>
        <v>5882</v>
      </c>
      <c r="AH49" s="38">
        <v>45301</v>
      </c>
      <c r="AI49" s="38"/>
      <c r="AJ49" s="38"/>
      <c r="AK49" s="38">
        <v>45332</v>
      </c>
      <c r="AL49" s="38"/>
      <c r="AM49" s="48"/>
      <c r="AN49" s="42"/>
      <c r="AO49" s="42" t="s">
        <v>458</v>
      </c>
      <c r="AP49" s="42" t="s">
        <v>459</v>
      </c>
      <c r="AQ49" s="42" t="s">
        <v>460</v>
      </c>
      <c r="AR49" s="42" t="s">
        <v>82</v>
      </c>
      <c r="AS49" s="50">
        <v>100</v>
      </c>
      <c r="AT49" s="39">
        <v>0</v>
      </c>
      <c r="AU49" s="39" t="s">
        <v>389</v>
      </c>
      <c r="AV49" s="49">
        <v>60</v>
      </c>
      <c r="AW49" s="39" t="s">
        <v>62</v>
      </c>
      <c r="AX49" s="39">
        <v>10</v>
      </c>
      <c r="AY49" s="30">
        <v>3233485.2549999999</v>
      </c>
      <c r="AZ49" s="42" t="s">
        <v>405</v>
      </c>
    </row>
    <row r="50" spans="1:52" ht="57" customHeight="1" x14ac:dyDescent="0.25">
      <c r="A50" s="46" t="s">
        <v>461</v>
      </c>
      <c r="B50" s="48">
        <v>45176</v>
      </c>
      <c r="C50" s="42">
        <v>545</v>
      </c>
      <c r="D50" s="37" t="s">
        <v>462</v>
      </c>
      <c r="E50" s="41" t="s">
        <v>463</v>
      </c>
      <c r="F50" s="38">
        <v>45201</v>
      </c>
      <c r="G50" s="39" t="s">
        <v>464</v>
      </c>
      <c r="H50" s="42" t="s">
        <v>271</v>
      </c>
      <c r="I50" s="42" t="s">
        <v>465</v>
      </c>
      <c r="J50" s="56">
        <v>33848512.5</v>
      </c>
      <c r="K50" s="56">
        <v>33848512.5</v>
      </c>
      <c r="L50" s="43">
        <v>0</v>
      </c>
      <c r="M50" s="43">
        <v>0</v>
      </c>
      <c r="N50" s="44">
        <f t="shared" si="3"/>
        <v>0</v>
      </c>
      <c r="O50" s="45">
        <f t="shared" si="4"/>
        <v>0</v>
      </c>
      <c r="P50" s="43">
        <v>33848512.5</v>
      </c>
      <c r="Q50" s="45">
        <f t="shared" si="5"/>
        <v>0</v>
      </c>
      <c r="R50" s="43">
        <v>33848512.5</v>
      </c>
      <c r="S50" s="30">
        <v>43937553</v>
      </c>
      <c r="T50" s="30">
        <f t="shared" si="6"/>
        <v>43937553</v>
      </c>
      <c r="U50" s="30">
        <f>T50/X50</f>
        <v>1455.85</v>
      </c>
      <c r="V50" s="43">
        <f>T50/X50</f>
        <v>1455.85</v>
      </c>
      <c r="W50" s="43">
        <f t="shared" si="0"/>
        <v>43675.5</v>
      </c>
      <c r="X50" s="43">
        <f>Y50+Z50</f>
        <v>30180</v>
      </c>
      <c r="Y50" s="43">
        <v>17730</v>
      </c>
      <c r="Z50" s="43">
        <v>12450</v>
      </c>
      <c r="AA50" s="43">
        <v>0</v>
      </c>
      <c r="AB50" s="43"/>
      <c r="AC50" s="43">
        <f t="shared" si="1"/>
        <v>0</v>
      </c>
      <c r="AD50" s="43"/>
      <c r="AE50" s="43">
        <f t="shared" si="2"/>
        <v>0</v>
      </c>
      <c r="AF50" s="43">
        <f t="shared" si="7"/>
        <v>1006</v>
      </c>
      <c r="AG50" s="43">
        <f t="shared" si="8"/>
        <v>1006</v>
      </c>
      <c r="AH50" s="38">
        <v>45300</v>
      </c>
      <c r="AI50" s="38">
        <v>45443</v>
      </c>
      <c r="AJ50" s="38"/>
      <c r="AK50" s="38">
        <v>45331</v>
      </c>
      <c r="AL50" s="38">
        <v>45474</v>
      </c>
      <c r="AM50" s="48"/>
      <c r="AN50" s="42" t="s">
        <v>323</v>
      </c>
      <c r="AO50" s="42" t="s">
        <v>443</v>
      </c>
      <c r="AP50" s="42" t="s">
        <v>466</v>
      </c>
      <c r="AQ50" s="42" t="s">
        <v>445</v>
      </c>
      <c r="AR50" s="42" t="s">
        <v>295</v>
      </c>
      <c r="AS50" s="50">
        <v>0</v>
      </c>
      <c r="AT50" s="39">
        <v>100</v>
      </c>
      <c r="AU50" s="39" t="s">
        <v>389</v>
      </c>
      <c r="AV50" s="49">
        <v>30</v>
      </c>
      <c r="AW50" s="39" t="s">
        <v>62</v>
      </c>
      <c r="AX50" s="39">
        <v>10</v>
      </c>
      <c r="AY50" s="30">
        <v>3384851.25</v>
      </c>
      <c r="AZ50" s="42" t="s">
        <v>328</v>
      </c>
    </row>
    <row r="51" spans="1:52" ht="57" customHeight="1" x14ac:dyDescent="0.25">
      <c r="A51" s="46" t="s">
        <v>467</v>
      </c>
      <c r="B51" s="48">
        <v>45176</v>
      </c>
      <c r="C51" s="42">
        <v>545</v>
      </c>
      <c r="D51" s="37" t="s">
        <v>468</v>
      </c>
      <c r="E51" s="41" t="s">
        <v>469</v>
      </c>
      <c r="F51" s="38">
        <v>45201</v>
      </c>
      <c r="G51" s="39" t="s">
        <v>470</v>
      </c>
      <c r="H51" s="42" t="s">
        <v>321</v>
      </c>
      <c r="I51" s="42" t="s">
        <v>471</v>
      </c>
      <c r="J51" s="56">
        <v>259547640</v>
      </c>
      <c r="K51" s="56">
        <v>259547640</v>
      </c>
      <c r="L51" s="43">
        <v>0</v>
      </c>
      <c r="M51" s="43">
        <v>0</v>
      </c>
      <c r="N51" s="44">
        <f t="shared" si="3"/>
        <v>0</v>
      </c>
      <c r="O51" s="45">
        <f t="shared" si="4"/>
        <v>0</v>
      </c>
      <c r="P51" s="43">
        <v>259547640</v>
      </c>
      <c r="Q51" s="45">
        <f t="shared" si="5"/>
        <v>0</v>
      </c>
      <c r="R51" s="43">
        <v>259547640</v>
      </c>
      <c r="S51" s="30">
        <v>336682280</v>
      </c>
      <c r="T51" s="30">
        <f t="shared" si="6"/>
        <v>336682280</v>
      </c>
      <c r="U51" s="30">
        <f>T51/X51</f>
        <v>521180</v>
      </c>
      <c r="V51" s="43">
        <f>T51/X51</f>
        <v>521180</v>
      </c>
      <c r="W51" s="43">
        <f t="shared" si="0"/>
        <v>1042360</v>
      </c>
      <c r="X51" s="43">
        <v>646</v>
      </c>
      <c r="Y51" s="43">
        <v>646</v>
      </c>
      <c r="Z51" s="43">
        <v>0</v>
      </c>
      <c r="AA51" s="43">
        <v>0</v>
      </c>
      <c r="AB51" s="43"/>
      <c r="AC51" s="43">
        <f t="shared" si="1"/>
        <v>0</v>
      </c>
      <c r="AD51" s="43"/>
      <c r="AE51" s="43">
        <f t="shared" si="2"/>
        <v>0</v>
      </c>
      <c r="AF51" s="43">
        <f t="shared" si="7"/>
        <v>323</v>
      </c>
      <c r="AG51" s="43">
        <f t="shared" si="8"/>
        <v>323</v>
      </c>
      <c r="AH51" s="38">
        <v>45300</v>
      </c>
      <c r="AI51" s="38"/>
      <c r="AJ51" s="38"/>
      <c r="AK51" s="38">
        <v>45331</v>
      </c>
      <c r="AL51" s="38"/>
      <c r="AM51" s="48"/>
      <c r="AN51" s="42" t="s">
        <v>323</v>
      </c>
      <c r="AO51" s="42" t="s">
        <v>472</v>
      </c>
      <c r="AP51" s="42" t="s">
        <v>473</v>
      </c>
      <c r="AQ51" s="42" t="s">
        <v>474</v>
      </c>
      <c r="AR51" s="42" t="s">
        <v>94</v>
      </c>
      <c r="AS51" s="50">
        <v>0</v>
      </c>
      <c r="AT51" s="39">
        <v>100</v>
      </c>
      <c r="AU51" s="39" t="s">
        <v>83</v>
      </c>
      <c r="AV51" s="49">
        <v>2</v>
      </c>
      <c r="AW51" s="39" t="s">
        <v>62</v>
      </c>
      <c r="AX51" s="39">
        <v>10</v>
      </c>
      <c r="AY51" s="30">
        <v>25954764</v>
      </c>
      <c r="AZ51" s="42" t="s">
        <v>97</v>
      </c>
    </row>
    <row r="52" spans="1:52" ht="57" customHeight="1" x14ac:dyDescent="0.25">
      <c r="A52" s="46" t="s">
        <v>475</v>
      </c>
      <c r="B52" s="48">
        <v>45176</v>
      </c>
      <c r="C52" s="42">
        <v>545</v>
      </c>
      <c r="D52" s="37" t="s">
        <v>476</v>
      </c>
      <c r="E52" s="41" t="s">
        <v>477</v>
      </c>
      <c r="F52" s="38">
        <v>45201</v>
      </c>
      <c r="G52" s="39" t="s">
        <v>478</v>
      </c>
      <c r="H52" s="42" t="s">
        <v>271</v>
      </c>
      <c r="I52" s="42" t="s">
        <v>479</v>
      </c>
      <c r="J52" s="56">
        <v>294623792.10000002</v>
      </c>
      <c r="K52" s="56">
        <v>294623792.10000002</v>
      </c>
      <c r="L52" s="43">
        <v>0</v>
      </c>
      <c r="M52" s="43">
        <v>0</v>
      </c>
      <c r="N52" s="44">
        <f t="shared" si="3"/>
        <v>0</v>
      </c>
      <c r="O52" s="45">
        <f t="shared" si="4"/>
        <v>0</v>
      </c>
      <c r="P52" s="43">
        <v>294623792.10000002</v>
      </c>
      <c r="Q52" s="45">
        <f t="shared" si="5"/>
        <v>0</v>
      </c>
      <c r="R52" s="43">
        <v>294623792.10000002</v>
      </c>
      <c r="S52" s="30">
        <v>344382865.19999999</v>
      </c>
      <c r="T52" s="30">
        <f t="shared" si="6"/>
        <v>344382865.19999999</v>
      </c>
      <c r="U52" s="30">
        <f>T52/X52</f>
        <v>970.53</v>
      </c>
      <c r="V52" s="43">
        <f>T52/X52</f>
        <v>970.53</v>
      </c>
      <c r="W52" s="43">
        <f t="shared" si="0"/>
        <v>29115.899999999998</v>
      </c>
      <c r="X52" s="43">
        <v>354840</v>
      </c>
      <c r="Y52" s="43">
        <v>254520</v>
      </c>
      <c r="Z52" s="43">
        <v>100320</v>
      </c>
      <c r="AA52" s="43">
        <v>0</v>
      </c>
      <c r="AB52" s="43"/>
      <c r="AC52" s="43">
        <f t="shared" si="1"/>
        <v>0</v>
      </c>
      <c r="AD52" s="43"/>
      <c r="AE52" s="43">
        <f t="shared" si="2"/>
        <v>0</v>
      </c>
      <c r="AF52" s="43">
        <f t="shared" si="7"/>
        <v>11828</v>
      </c>
      <c r="AG52" s="43">
        <f t="shared" si="8"/>
        <v>11828</v>
      </c>
      <c r="AH52" s="38">
        <v>45300</v>
      </c>
      <c r="AI52" s="38">
        <v>45443</v>
      </c>
      <c r="AJ52" s="38"/>
      <c r="AK52" s="38">
        <v>45331</v>
      </c>
      <c r="AL52" s="38">
        <v>45474</v>
      </c>
      <c r="AM52" s="48"/>
      <c r="AN52" s="42" t="s">
        <v>323</v>
      </c>
      <c r="AO52" s="42" t="s">
        <v>443</v>
      </c>
      <c r="AP52" s="42" t="s">
        <v>480</v>
      </c>
      <c r="AQ52" s="42" t="s">
        <v>445</v>
      </c>
      <c r="AR52" s="42" t="s">
        <v>295</v>
      </c>
      <c r="AS52" s="50">
        <v>0</v>
      </c>
      <c r="AT52" s="39">
        <v>100</v>
      </c>
      <c r="AU52" s="39" t="s">
        <v>389</v>
      </c>
      <c r="AV52" s="49">
        <v>30</v>
      </c>
      <c r="AW52" s="39" t="s">
        <v>62</v>
      </c>
      <c r="AX52" s="39">
        <v>10</v>
      </c>
      <c r="AY52" s="30">
        <v>29462379.210000001</v>
      </c>
      <c r="AZ52" s="42" t="s">
        <v>328</v>
      </c>
    </row>
    <row r="53" spans="1:52" ht="57" customHeight="1" x14ac:dyDescent="0.25">
      <c r="A53" s="46" t="s">
        <v>481</v>
      </c>
      <c r="B53" s="48">
        <v>45177</v>
      </c>
      <c r="C53" s="42">
        <v>545</v>
      </c>
      <c r="D53" s="37" t="s">
        <v>482</v>
      </c>
      <c r="E53" s="41" t="s">
        <v>483</v>
      </c>
      <c r="F53" s="38">
        <v>45201</v>
      </c>
      <c r="G53" s="39" t="s">
        <v>484</v>
      </c>
      <c r="H53" s="42" t="s">
        <v>485</v>
      </c>
      <c r="I53" s="42" t="s">
        <v>486</v>
      </c>
      <c r="J53" s="56">
        <v>215384400</v>
      </c>
      <c r="K53" s="56">
        <v>215384400</v>
      </c>
      <c r="L53" s="43">
        <v>0</v>
      </c>
      <c r="M53" s="43">
        <v>0</v>
      </c>
      <c r="N53" s="44">
        <f t="shared" si="3"/>
        <v>0</v>
      </c>
      <c r="O53" s="45">
        <f t="shared" si="4"/>
        <v>0</v>
      </c>
      <c r="P53" s="43">
        <v>215384400</v>
      </c>
      <c r="Q53" s="45">
        <f t="shared" si="5"/>
        <v>0</v>
      </c>
      <c r="R53" s="43">
        <v>215384400</v>
      </c>
      <c r="S53" s="30">
        <v>279833400</v>
      </c>
      <c r="T53" s="30">
        <f t="shared" si="6"/>
        <v>279833400</v>
      </c>
      <c r="U53" s="30">
        <f>T53/X53</f>
        <v>6930</v>
      </c>
      <c r="V53" s="43">
        <f>T53/X53</f>
        <v>6930</v>
      </c>
      <c r="W53" s="43">
        <f t="shared" si="0"/>
        <v>415800</v>
      </c>
      <c r="X53" s="43">
        <v>40380</v>
      </c>
      <c r="Y53" s="43">
        <v>40380</v>
      </c>
      <c r="Z53" s="43">
        <v>0</v>
      </c>
      <c r="AA53" s="43">
        <v>0</v>
      </c>
      <c r="AB53" s="43"/>
      <c r="AC53" s="43">
        <f t="shared" si="1"/>
        <v>0</v>
      </c>
      <c r="AD53" s="43"/>
      <c r="AE53" s="43">
        <f t="shared" si="2"/>
        <v>0</v>
      </c>
      <c r="AF53" s="43">
        <f t="shared" si="7"/>
        <v>673</v>
      </c>
      <c r="AG53" s="43">
        <f t="shared" si="8"/>
        <v>673</v>
      </c>
      <c r="AH53" s="38">
        <v>45322</v>
      </c>
      <c r="AI53" s="38"/>
      <c r="AJ53" s="38"/>
      <c r="AK53" s="38">
        <v>45352</v>
      </c>
      <c r="AL53" s="38"/>
      <c r="AM53" s="48"/>
      <c r="AN53" s="42" t="s">
        <v>323</v>
      </c>
      <c r="AO53" s="42" t="s">
        <v>487</v>
      </c>
      <c r="AP53" s="42" t="s">
        <v>488</v>
      </c>
      <c r="AQ53" s="42" t="s">
        <v>489</v>
      </c>
      <c r="AR53" s="42" t="s">
        <v>490</v>
      </c>
      <c r="AS53" s="50">
        <v>0</v>
      </c>
      <c r="AT53" s="39">
        <v>100</v>
      </c>
      <c r="AU53" s="39" t="s">
        <v>389</v>
      </c>
      <c r="AV53" s="49">
        <v>60</v>
      </c>
      <c r="AW53" s="39" t="s">
        <v>62</v>
      </c>
      <c r="AX53" s="39">
        <v>10</v>
      </c>
      <c r="AY53" s="30">
        <v>21538440</v>
      </c>
      <c r="AZ53" s="42" t="s">
        <v>97</v>
      </c>
    </row>
    <row r="54" spans="1:52" ht="57" customHeight="1" x14ac:dyDescent="0.25">
      <c r="A54" s="46" t="s">
        <v>491</v>
      </c>
      <c r="B54" s="48">
        <v>45181</v>
      </c>
      <c r="C54" s="42" t="s">
        <v>435</v>
      </c>
      <c r="D54" s="37" t="s">
        <v>492</v>
      </c>
      <c r="E54" s="41" t="s">
        <v>493</v>
      </c>
      <c r="F54" s="38" t="s">
        <v>492</v>
      </c>
      <c r="G54" s="39" t="s">
        <v>492</v>
      </c>
      <c r="H54" s="42" t="s">
        <v>492</v>
      </c>
      <c r="I54" s="42" t="s">
        <v>494</v>
      </c>
      <c r="J54" s="56">
        <v>3271104.3</v>
      </c>
      <c r="K54" s="56">
        <v>3271104.3</v>
      </c>
      <c r="L54" s="56"/>
      <c r="M54" s="56"/>
      <c r="N54" s="44">
        <f t="shared" si="3"/>
        <v>100</v>
      </c>
      <c r="O54" s="45">
        <f t="shared" si="4"/>
        <v>3271104.3</v>
      </c>
      <c r="P54" s="43"/>
      <c r="Q54" s="45">
        <f t="shared" si="5"/>
        <v>3271104.3</v>
      </c>
      <c r="R54" s="43">
        <v>0</v>
      </c>
      <c r="S54" s="30">
        <f>R54</f>
        <v>0</v>
      </c>
      <c r="T54" s="30">
        <f t="shared" si="6"/>
        <v>0</v>
      </c>
      <c r="U54" s="30" t="e">
        <f>T54/X54</f>
        <v>#DIV/0!</v>
      </c>
      <c r="V54" s="43" t="e">
        <f>T54/X54</f>
        <v>#DIV/0!</v>
      </c>
      <c r="W54" s="43" t="e">
        <f t="shared" si="0"/>
        <v>#DIV/0!</v>
      </c>
      <c r="X54" s="43">
        <v>0</v>
      </c>
      <c r="Y54" s="43">
        <v>0</v>
      </c>
      <c r="Z54" s="43">
        <v>0</v>
      </c>
      <c r="AA54" s="43">
        <v>0</v>
      </c>
      <c r="AB54" s="43"/>
      <c r="AC54" s="43" t="e">
        <f t="shared" si="1"/>
        <v>#DIV/0!</v>
      </c>
      <c r="AD54" s="43"/>
      <c r="AE54" s="43" t="e">
        <f t="shared" si="2"/>
        <v>#DIV/0!</v>
      </c>
      <c r="AF54" s="43" t="e">
        <f t="shared" si="7"/>
        <v>#DIV/0!</v>
      </c>
      <c r="AG54" s="43" t="e">
        <f t="shared" si="8"/>
        <v>#DIV/0!</v>
      </c>
      <c r="AH54" s="38">
        <v>45301</v>
      </c>
      <c r="AI54" s="38"/>
      <c r="AJ54" s="38"/>
      <c r="AK54" s="38">
        <v>45332</v>
      </c>
      <c r="AL54" s="38"/>
      <c r="AM54" s="48"/>
      <c r="AN54" s="42"/>
      <c r="AO54" s="42"/>
      <c r="AP54" s="42"/>
      <c r="AQ54" s="42"/>
      <c r="AR54" s="42"/>
      <c r="AS54" s="50"/>
      <c r="AT54" s="39"/>
      <c r="AU54" s="39"/>
      <c r="AV54" s="49"/>
      <c r="AW54" s="39"/>
      <c r="AX54" s="39">
        <v>10</v>
      </c>
      <c r="AY54" s="30">
        <v>327110.43</v>
      </c>
      <c r="AZ54" s="42" t="s">
        <v>492</v>
      </c>
    </row>
    <row r="55" spans="1:52" ht="57" customHeight="1" x14ac:dyDescent="0.25">
      <c r="A55" s="46" t="s">
        <v>495</v>
      </c>
      <c r="B55" s="48">
        <v>45181</v>
      </c>
      <c r="C55" s="42" t="s">
        <v>496</v>
      </c>
      <c r="D55" s="37" t="s">
        <v>434</v>
      </c>
      <c r="E55" s="41" t="s">
        <v>497</v>
      </c>
      <c r="F55" s="38" t="s">
        <v>434</v>
      </c>
      <c r="G55" s="39" t="s">
        <v>498</v>
      </c>
      <c r="H55" s="42" t="s">
        <v>434</v>
      </c>
      <c r="I55" s="42" t="s">
        <v>499</v>
      </c>
      <c r="J55" s="56">
        <v>445239478.80000001</v>
      </c>
      <c r="K55" s="56">
        <v>445239478.80000001</v>
      </c>
      <c r="L55" s="56"/>
      <c r="M55" s="56"/>
      <c r="N55" s="44">
        <f t="shared" si="3"/>
        <v>100</v>
      </c>
      <c r="O55" s="45">
        <f t="shared" si="4"/>
        <v>445239478.80000001</v>
      </c>
      <c r="P55" s="43"/>
      <c r="Q55" s="45">
        <f t="shared" si="5"/>
        <v>445239478.80000001</v>
      </c>
      <c r="R55" s="43">
        <v>0</v>
      </c>
      <c r="S55" s="30">
        <f>R55</f>
        <v>0</v>
      </c>
      <c r="T55" s="30">
        <f t="shared" si="6"/>
        <v>0</v>
      </c>
      <c r="U55" s="30" t="e">
        <f>T55/X55</f>
        <v>#DIV/0!</v>
      </c>
      <c r="V55" s="43" t="e">
        <f>T55/X55</f>
        <v>#DIV/0!</v>
      </c>
      <c r="W55" s="43" t="e">
        <f t="shared" si="0"/>
        <v>#DIV/0!</v>
      </c>
      <c r="X55" s="43">
        <v>0</v>
      </c>
      <c r="Y55" s="43">
        <v>0</v>
      </c>
      <c r="Z55" s="43">
        <v>0</v>
      </c>
      <c r="AA55" s="43">
        <v>0</v>
      </c>
      <c r="AB55" s="43"/>
      <c r="AC55" s="43" t="e">
        <f t="shared" si="1"/>
        <v>#DIV/0!</v>
      </c>
      <c r="AD55" s="43"/>
      <c r="AE55" s="43" t="e">
        <f t="shared" si="2"/>
        <v>#DIV/0!</v>
      </c>
      <c r="AF55" s="43" t="e">
        <f t="shared" si="7"/>
        <v>#DIV/0!</v>
      </c>
      <c r="AG55" s="43" t="e">
        <f t="shared" si="8"/>
        <v>#DIV/0!</v>
      </c>
      <c r="AH55" s="38">
        <v>45301</v>
      </c>
      <c r="AI55" s="38"/>
      <c r="AJ55" s="38"/>
      <c r="AK55" s="38">
        <v>45332</v>
      </c>
      <c r="AL55" s="38"/>
      <c r="AM55" s="48"/>
      <c r="AN55" s="42"/>
      <c r="AO55" s="42"/>
      <c r="AP55" s="42"/>
      <c r="AQ55" s="42"/>
      <c r="AR55" s="42"/>
      <c r="AS55" s="50"/>
      <c r="AT55" s="39"/>
      <c r="AU55" s="39"/>
      <c r="AV55" s="49"/>
      <c r="AW55" s="39"/>
      <c r="AX55" s="39">
        <v>10</v>
      </c>
      <c r="AY55" s="30">
        <v>44523947.880000003</v>
      </c>
      <c r="AZ55" s="42" t="s">
        <v>434</v>
      </c>
    </row>
    <row r="56" spans="1:52" ht="57" customHeight="1" x14ac:dyDescent="0.25">
      <c r="A56" s="46" t="s">
        <v>500</v>
      </c>
      <c r="B56" s="48">
        <v>45182</v>
      </c>
      <c r="C56" s="42">
        <v>545</v>
      </c>
      <c r="D56" s="37" t="s">
        <v>501</v>
      </c>
      <c r="E56" s="41" t="s">
        <v>502</v>
      </c>
      <c r="F56" s="38">
        <v>45202</v>
      </c>
      <c r="G56" s="39" t="s">
        <v>503</v>
      </c>
      <c r="H56" s="42" t="s">
        <v>504</v>
      </c>
      <c r="I56" s="42" t="s">
        <v>505</v>
      </c>
      <c r="J56" s="56">
        <v>242453837.5</v>
      </c>
      <c r="K56" s="56">
        <v>242453837.5</v>
      </c>
      <c r="L56" s="56">
        <v>0</v>
      </c>
      <c r="M56" s="56">
        <v>0</v>
      </c>
      <c r="N56" s="44">
        <f t="shared" si="3"/>
        <v>0</v>
      </c>
      <c r="O56" s="45">
        <f t="shared" si="4"/>
        <v>0</v>
      </c>
      <c r="P56" s="43">
        <v>242453837.5</v>
      </c>
      <c r="Q56" s="45">
        <f t="shared" si="5"/>
        <v>0</v>
      </c>
      <c r="R56" s="43">
        <v>242453837.5</v>
      </c>
      <c r="S56" s="30">
        <v>305064714.5</v>
      </c>
      <c r="T56" s="30">
        <f t="shared" si="6"/>
        <v>305064714.5</v>
      </c>
      <c r="U56" s="30">
        <f>T56/X56</f>
        <v>1004.99</v>
      </c>
      <c r="V56" s="43">
        <f>T56/X56</f>
        <v>1004.99</v>
      </c>
      <c r="W56" s="43">
        <f t="shared" si="0"/>
        <v>50249.5</v>
      </c>
      <c r="X56" s="43">
        <f>Y56+Z56</f>
        <v>303550</v>
      </c>
      <c r="Y56" s="43">
        <v>255600</v>
      </c>
      <c r="Z56" s="43">
        <v>47950</v>
      </c>
      <c r="AA56" s="43">
        <v>0</v>
      </c>
      <c r="AB56" s="43"/>
      <c r="AC56" s="43">
        <f t="shared" si="1"/>
        <v>0</v>
      </c>
      <c r="AD56" s="43"/>
      <c r="AE56" s="43">
        <f t="shared" si="2"/>
        <v>0</v>
      </c>
      <c r="AF56" s="43">
        <f t="shared" si="7"/>
        <v>6071</v>
      </c>
      <c r="AG56" s="43">
        <f t="shared" si="8"/>
        <v>6071</v>
      </c>
      <c r="AH56" s="38">
        <v>45322</v>
      </c>
      <c r="AI56" s="38">
        <v>45412</v>
      </c>
      <c r="AJ56" s="38"/>
      <c r="AK56" s="38">
        <v>45352</v>
      </c>
      <c r="AL56" s="38">
        <v>45442</v>
      </c>
      <c r="AM56" s="48"/>
      <c r="AN56" s="42"/>
      <c r="AO56" s="42" t="s">
        <v>506</v>
      </c>
      <c r="AP56" s="42" t="s">
        <v>507</v>
      </c>
      <c r="AQ56" s="42" t="s">
        <v>508</v>
      </c>
      <c r="AR56" s="42" t="s">
        <v>60</v>
      </c>
      <c r="AS56" s="50">
        <v>0</v>
      </c>
      <c r="AT56" s="39">
        <v>100</v>
      </c>
      <c r="AU56" s="39" t="s">
        <v>327</v>
      </c>
      <c r="AV56" s="49">
        <v>50</v>
      </c>
      <c r="AW56" s="39" t="s">
        <v>62</v>
      </c>
      <c r="AX56" s="39">
        <v>10</v>
      </c>
      <c r="AY56" s="30">
        <v>24245383.75</v>
      </c>
      <c r="AZ56" s="42" t="s">
        <v>405</v>
      </c>
    </row>
    <row r="57" spans="1:52" ht="63" customHeight="1" x14ac:dyDescent="0.25">
      <c r="A57" s="46" t="s">
        <v>509</v>
      </c>
      <c r="B57" s="38">
        <v>45196</v>
      </c>
      <c r="C57" s="39" t="s">
        <v>435</v>
      </c>
      <c r="D57" s="37" t="s">
        <v>510</v>
      </c>
      <c r="E57" s="41" t="s">
        <v>511</v>
      </c>
      <c r="F57" s="38">
        <v>45216</v>
      </c>
      <c r="G57" s="39" t="s">
        <v>512</v>
      </c>
      <c r="H57" s="42" t="s">
        <v>54</v>
      </c>
      <c r="I57" s="42" t="s">
        <v>513</v>
      </c>
      <c r="J57" s="43">
        <v>161212603.05000001</v>
      </c>
      <c r="K57" s="43">
        <v>161212603.05000001</v>
      </c>
      <c r="L57" s="56">
        <v>0</v>
      </c>
      <c r="M57" s="56">
        <v>0</v>
      </c>
      <c r="N57" s="44">
        <f t="shared" si="3"/>
        <v>0</v>
      </c>
      <c r="O57" s="45">
        <f t="shared" si="4"/>
        <v>0</v>
      </c>
      <c r="P57" s="43">
        <v>161212603.05000001</v>
      </c>
      <c r="Q57" s="45">
        <f t="shared" si="5"/>
        <v>0</v>
      </c>
      <c r="R57" s="43">
        <v>161212603.05000001</v>
      </c>
      <c r="S57" s="30">
        <f t="shared" ref="S57:S66" si="9">R57</f>
        <v>161212603.05000001</v>
      </c>
      <c r="T57" s="30">
        <f t="shared" si="6"/>
        <v>161212603.05000001</v>
      </c>
      <c r="U57" s="30">
        <f>T57/X57</f>
        <v>414.21000000000004</v>
      </c>
      <c r="V57" s="43">
        <f>T57/X57</f>
        <v>414.21000000000004</v>
      </c>
      <c r="W57" s="43">
        <f t="shared" si="0"/>
        <v>12426.300000000001</v>
      </c>
      <c r="X57" s="43">
        <v>389205</v>
      </c>
      <c r="Y57" s="43">
        <v>389205</v>
      </c>
      <c r="Z57" s="43">
        <v>0</v>
      </c>
      <c r="AA57" s="43">
        <v>0</v>
      </c>
      <c r="AB57" s="43"/>
      <c r="AC57" s="43">
        <f t="shared" si="1"/>
        <v>0</v>
      </c>
      <c r="AD57" s="43"/>
      <c r="AE57" s="43">
        <f t="shared" si="2"/>
        <v>0</v>
      </c>
      <c r="AF57" s="43">
        <f t="shared" si="7"/>
        <v>12973.5</v>
      </c>
      <c r="AG57" s="43">
        <f t="shared" si="8"/>
        <v>12974</v>
      </c>
      <c r="AH57" s="38">
        <v>45366</v>
      </c>
      <c r="AI57" s="38"/>
      <c r="AJ57" s="38"/>
      <c r="AK57" s="38">
        <v>45397</v>
      </c>
      <c r="AL57" s="38"/>
      <c r="AM57" s="48"/>
      <c r="AN57" s="42"/>
      <c r="AO57" s="42" t="s">
        <v>514</v>
      </c>
      <c r="AP57" s="42" t="s">
        <v>515</v>
      </c>
      <c r="AQ57" s="42" t="s">
        <v>516</v>
      </c>
      <c r="AR57" s="42" t="s">
        <v>60</v>
      </c>
      <c r="AS57" s="50">
        <v>0</v>
      </c>
      <c r="AT57" s="39">
        <v>100</v>
      </c>
      <c r="AU57" s="39" t="s">
        <v>389</v>
      </c>
      <c r="AV57" s="49">
        <v>30</v>
      </c>
      <c r="AW57" s="39" t="s">
        <v>62</v>
      </c>
      <c r="AX57" s="39">
        <v>10</v>
      </c>
      <c r="AY57" s="30">
        <f>(J57*10)/100</f>
        <v>16121260.305</v>
      </c>
      <c r="AZ57" s="42" t="s">
        <v>405</v>
      </c>
    </row>
    <row r="58" spans="1:52" ht="44.25" customHeight="1" x14ac:dyDescent="0.25">
      <c r="A58" s="46" t="s">
        <v>517</v>
      </c>
      <c r="B58" s="48">
        <v>45211</v>
      </c>
      <c r="C58" s="42">
        <v>545</v>
      </c>
      <c r="D58" s="37" t="s">
        <v>518</v>
      </c>
      <c r="E58" s="41" t="s">
        <v>519</v>
      </c>
      <c r="F58" s="38">
        <v>45230</v>
      </c>
      <c r="G58" s="39" t="s">
        <v>520</v>
      </c>
      <c r="H58" s="42" t="s">
        <v>504</v>
      </c>
      <c r="I58" s="42" t="s">
        <v>521</v>
      </c>
      <c r="J58" s="56">
        <v>7108442.8799999999</v>
      </c>
      <c r="K58" s="56">
        <v>7108442.8799999999</v>
      </c>
      <c r="L58" s="56">
        <v>0</v>
      </c>
      <c r="M58" s="56">
        <v>0</v>
      </c>
      <c r="N58" s="44">
        <f t="shared" si="3"/>
        <v>0</v>
      </c>
      <c r="O58" s="45">
        <f t="shared" si="4"/>
        <v>0</v>
      </c>
      <c r="P58" s="43">
        <v>7108442.8799999999</v>
      </c>
      <c r="Q58" s="45">
        <f t="shared" si="5"/>
        <v>0</v>
      </c>
      <c r="R58" s="43">
        <v>7108442.8799999999</v>
      </c>
      <c r="S58" s="30">
        <f t="shared" si="9"/>
        <v>7108442.8799999999</v>
      </c>
      <c r="T58" s="30">
        <f t="shared" si="6"/>
        <v>7108442.8799999999</v>
      </c>
      <c r="U58" s="30">
        <f>T58/X58</f>
        <v>31.9</v>
      </c>
      <c r="V58" s="43">
        <f>T58/X58</f>
        <v>31.9</v>
      </c>
      <c r="W58" s="43">
        <f t="shared" si="0"/>
        <v>888555.36</v>
      </c>
      <c r="X58" s="43">
        <v>222835.20000000001</v>
      </c>
      <c r="Y58" s="43">
        <v>222835.20000000001</v>
      </c>
      <c r="Z58" s="43">
        <v>0</v>
      </c>
      <c r="AA58" s="43">
        <v>0</v>
      </c>
      <c r="AB58" s="43"/>
      <c r="AC58" s="43">
        <f t="shared" si="1"/>
        <v>0</v>
      </c>
      <c r="AD58" s="43"/>
      <c r="AE58" s="43">
        <f t="shared" si="2"/>
        <v>0</v>
      </c>
      <c r="AF58" s="43">
        <f t="shared" si="7"/>
        <v>8</v>
      </c>
      <c r="AG58" s="43">
        <f t="shared" si="8"/>
        <v>8</v>
      </c>
      <c r="AH58" s="38">
        <v>45300</v>
      </c>
      <c r="AI58" s="38"/>
      <c r="AJ58" s="38"/>
      <c r="AK58" s="38">
        <v>45332</v>
      </c>
      <c r="AL58" s="38"/>
      <c r="AM58" s="48"/>
      <c r="AN58" s="42"/>
      <c r="AO58" s="42" t="s">
        <v>522</v>
      </c>
      <c r="AP58" s="42" t="s">
        <v>523</v>
      </c>
      <c r="AQ58" s="42" t="s">
        <v>524</v>
      </c>
      <c r="AR58" s="42" t="s">
        <v>525</v>
      </c>
      <c r="AS58" s="50">
        <v>0</v>
      </c>
      <c r="AT58" s="39">
        <v>100</v>
      </c>
      <c r="AU58" s="39" t="s">
        <v>327</v>
      </c>
      <c r="AV58" s="54">
        <v>27854.400000000001</v>
      </c>
      <c r="AW58" s="39" t="s">
        <v>221</v>
      </c>
      <c r="AX58" s="39">
        <v>10</v>
      </c>
      <c r="AY58" s="30">
        <f>(J58*10)/100</f>
        <v>710844.28799999994</v>
      </c>
      <c r="AZ58" s="42" t="s">
        <v>97</v>
      </c>
    </row>
    <row r="59" spans="1:52" ht="44.25" customHeight="1" x14ac:dyDescent="0.25">
      <c r="A59" s="46" t="s">
        <v>526</v>
      </c>
      <c r="B59" s="48">
        <v>45211</v>
      </c>
      <c r="C59" s="42">
        <v>545</v>
      </c>
      <c r="D59" s="37" t="s">
        <v>527</v>
      </c>
      <c r="E59" s="41" t="s">
        <v>528</v>
      </c>
      <c r="F59" s="38">
        <v>45230</v>
      </c>
      <c r="G59" s="39" t="s">
        <v>529</v>
      </c>
      <c r="H59" s="42" t="s">
        <v>88</v>
      </c>
      <c r="I59" s="42" t="s">
        <v>530</v>
      </c>
      <c r="J59" s="56">
        <v>17806060.800000001</v>
      </c>
      <c r="K59" s="56">
        <v>17806060.800000001</v>
      </c>
      <c r="L59" s="56">
        <v>0</v>
      </c>
      <c r="M59" s="56">
        <v>0</v>
      </c>
      <c r="N59" s="44">
        <f t="shared" si="3"/>
        <v>0</v>
      </c>
      <c r="O59" s="45">
        <f t="shared" si="4"/>
        <v>0</v>
      </c>
      <c r="P59" s="43">
        <v>17806060.800000001</v>
      </c>
      <c r="Q59" s="45">
        <f t="shared" si="5"/>
        <v>0</v>
      </c>
      <c r="R59" s="43">
        <v>17806060.800000001</v>
      </c>
      <c r="S59" s="30">
        <f t="shared" si="9"/>
        <v>17806060.800000001</v>
      </c>
      <c r="T59" s="30">
        <f t="shared" si="6"/>
        <v>17806060.800000001</v>
      </c>
      <c r="U59" s="30">
        <f>T59/X59</f>
        <v>247306.40000000002</v>
      </c>
      <c r="V59" s="43">
        <f>T59/X59</f>
        <v>247306.40000000002</v>
      </c>
      <c r="W59" s="43">
        <f t="shared" si="0"/>
        <v>2967676.8000000003</v>
      </c>
      <c r="X59" s="43">
        <v>72</v>
      </c>
      <c r="Y59" s="43">
        <v>72</v>
      </c>
      <c r="Z59" s="43">
        <v>0</v>
      </c>
      <c r="AA59" s="43">
        <v>0</v>
      </c>
      <c r="AB59" s="43"/>
      <c r="AC59" s="43">
        <f t="shared" si="1"/>
        <v>0</v>
      </c>
      <c r="AD59" s="43"/>
      <c r="AE59" s="43">
        <f t="shared" si="2"/>
        <v>0</v>
      </c>
      <c r="AF59" s="43">
        <f t="shared" si="7"/>
        <v>6</v>
      </c>
      <c r="AG59" s="43">
        <f t="shared" si="8"/>
        <v>6</v>
      </c>
      <c r="AH59" s="38">
        <v>45300</v>
      </c>
      <c r="AI59" s="38"/>
      <c r="AJ59" s="38"/>
      <c r="AK59" s="38">
        <v>45331</v>
      </c>
      <c r="AL59" s="38"/>
      <c r="AM59" s="48"/>
      <c r="AN59" s="42" t="s">
        <v>531</v>
      </c>
      <c r="AO59" s="42" t="s">
        <v>377</v>
      </c>
      <c r="AP59" s="42" t="s">
        <v>378</v>
      </c>
      <c r="AQ59" s="42" t="s">
        <v>532</v>
      </c>
      <c r="AR59" s="42" t="s">
        <v>60</v>
      </c>
      <c r="AS59" s="50">
        <v>0</v>
      </c>
      <c r="AT59" s="39">
        <v>100</v>
      </c>
      <c r="AU59" s="39" t="s">
        <v>83</v>
      </c>
      <c r="AV59" s="49">
        <v>12</v>
      </c>
      <c r="AW59" s="39" t="s">
        <v>62</v>
      </c>
      <c r="AX59" s="39">
        <v>10</v>
      </c>
      <c r="AY59" s="30">
        <f>(J59*10)/100</f>
        <v>1780606.08</v>
      </c>
      <c r="AZ59" s="42" t="s">
        <v>97</v>
      </c>
    </row>
    <row r="60" spans="1:52" ht="44.25" customHeight="1" x14ac:dyDescent="0.25">
      <c r="A60" s="46" t="s">
        <v>533</v>
      </c>
      <c r="B60" s="48">
        <v>45211</v>
      </c>
      <c r="C60" s="42" t="s">
        <v>496</v>
      </c>
      <c r="D60" s="37" t="s">
        <v>534</v>
      </c>
      <c r="E60" s="41" t="s">
        <v>535</v>
      </c>
      <c r="F60" s="38">
        <v>45230</v>
      </c>
      <c r="G60" s="39" t="s">
        <v>536</v>
      </c>
      <c r="H60" s="42" t="s">
        <v>141</v>
      </c>
      <c r="I60" s="42" t="s">
        <v>499</v>
      </c>
      <c r="J60" s="56">
        <v>288944067.75</v>
      </c>
      <c r="K60" s="56">
        <v>288944067.75</v>
      </c>
      <c r="L60" s="56">
        <v>0</v>
      </c>
      <c r="M60" s="56">
        <v>0</v>
      </c>
      <c r="N60" s="44">
        <f t="shared" si="3"/>
        <v>0</v>
      </c>
      <c r="O60" s="45">
        <f t="shared" si="4"/>
        <v>0</v>
      </c>
      <c r="P60" s="43">
        <v>288944067.75</v>
      </c>
      <c r="Q60" s="45">
        <f t="shared" si="5"/>
        <v>0</v>
      </c>
      <c r="R60" s="43">
        <v>288944067.75</v>
      </c>
      <c r="S60" s="30">
        <f t="shared" si="9"/>
        <v>288944067.75</v>
      </c>
      <c r="T60" s="30">
        <f t="shared" si="6"/>
        <v>288944067.75</v>
      </c>
      <c r="U60" s="30">
        <f>T60/X60</f>
        <v>574.54999999999995</v>
      </c>
      <c r="V60" s="43">
        <f>T60/X60</f>
        <v>574.54999999999995</v>
      </c>
      <c r="W60" s="43">
        <f t="shared" si="0"/>
        <v>108015.4</v>
      </c>
      <c r="X60" s="43">
        <v>502905</v>
      </c>
      <c r="Y60" s="43">
        <v>502905</v>
      </c>
      <c r="Z60" s="43">
        <v>0</v>
      </c>
      <c r="AA60" s="43">
        <v>0</v>
      </c>
      <c r="AB60" s="43"/>
      <c r="AC60" s="43">
        <f t="shared" si="1"/>
        <v>0</v>
      </c>
      <c r="AD60" s="43"/>
      <c r="AE60" s="43">
        <f t="shared" si="2"/>
        <v>0</v>
      </c>
      <c r="AF60" s="43">
        <f t="shared" si="7"/>
        <v>2675.0265957446809</v>
      </c>
      <c r="AG60" s="43">
        <f t="shared" si="8"/>
        <v>2676</v>
      </c>
      <c r="AH60" s="38">
        <v>45301</v>
      </c>
      <c r="AI60" s="38"/>
      <c r="AJ60" s="38"/>
      <c r="AK60" s="38">
        <v>45332</v>
      </c>
      <c r="AL60" s="38"/>
      <c r="AM60" s="48"/>
      <c r="AN60" s="42"/>
      <c r="AO60" s="42" t="s">
        <v>537</v>
      </c>
      <c r="AP60" s="42" t="s">
        <v>538</v>
      </c>
      <c r="AQ60" s="42" t="s">
        <v>539</v>
      </c>
      <c r="AR60" s="42" t="s">
        <v>82</v>
      </c>
      <c r="AS60" s="50">
        <v>100</v>
      </c>
      <c r="AT60" s="39">
        <v>0</v>
      </c>
      <c r="AU60" s="39" t="s">
        <v>389</v>
      </c>
      <c r="AV60" s="49">
        <v>188</v>
      </c>
      <c r="AW60" s="39" t="s">
        <v>62</v>
      </c>
      <c r="AX60" s="39">
        <v>10</v>
      </c>
      <c r="AY60" s="30">
        <f>(J60*10)/100</f>
        <v>28894406.774999999</v>
      </c>
      <c r="AZ60" s="42" t="s">
        <v>97</v>
      </c>
    </row>
    <row r="61" spans="1:52" ht="44.25" customHeight="1" x14ac:dyDescent="0.25">
      <c r="A61" s="46" t="s">
        <v>540</v>
      </c>
      <c r="B61" s="48">
        <v>45211</v>
      </c>
      <c r="C61" s="42">
        <v>545</v>
      </c>
      <c r="D61" s="37" t="s">
        <v>541</v>
      </c>
      <c r="E61" s="41" t="s">
        <v>542</v>
      </c>
      <c r="F61" s="38">
        <v>45230</v>
      </c>
      <c r="G61" s="39" t="s">
        <v>543</v>
      </c>
      <c r="H61" s="42" t="s">
        <v>88</v>
      </c>
      <c r="I61" s="42" t="s">
        <v>341</v>
      </c>
      <c r="J61" s="56">
        <v>24780777.600000001</v>
      </c>
      <c r="K61" s="56">
        <v>24780777.600000001</v>
      </c>
      <c r="L61" s="56">
        <v>0</v>
      </c>
      <c r="M61" s="56">
        <v>0</v>
      </c>
      <c r="N61" s="44">
        <f t="shared" si="3"/>
        <v>0</v>
      </c>
      <c r="O61" s="45">
        <f t="shared" si="4"/>
        <v>0</v>
      </c>
      <c r="P61" s="56">
        <v>24780777.600000001</v>
      </c>
      <c r="Q61" s="45">
        <f t="shared" si="5"/>
        <v>0</v>
      </c>
      <c r="R61" s="43">
        <v>24780777.600000001</v>
      </c>
      <c r="S61" s="30">
        <f t="shared" si="9"/>
        <v>24780777.600000001</v>
      </c>
      <c r="T61" s="30">
        <f t="shared" si="6"/>
        <v>24780777.600000001</v>
      </c>
      <c r="U61" s="30">
        <f>T61/X61</f>
        <v>25813.31</v>
      </c>
      <c r="V61" s="43">
        <f>T61/X61</f>
        <v>25813.31</v>
      </c>
      <c r="W61" s="43">
        <f t="shared" si="0"/>
        <v>774399.3</v>
      </c>
      <c r="X61" s="43">
        <v>960</v>
      </c>
      <c r="Y61" s="43">
        <v>960</v>
      </c>
      <c r="Z61" s="43">
        <v>0</v>
      </c>
      <c r="AA61" s="43">
        <v>0</v>
      </c>
      <c r="AB61" s="43"/>
      <c r="AC61" s="43">
        <f t="shared" si="1"/>
        <v>0</v>
      </c>
      <c r="AD61" s="43"/>
      <c r="AE61" s="43">
        <f t="shared" si="2"/>
        <v>0</v>
      </c>
      <c r="AF61" s="43">
        <f t="shared" si="7"/>
        <v>32</v>
      </c>
      <c r="AG61" s="43">
        <f t="shared" si="8"/>
        <v>32</v>
      </c>
      <c r="AH61" s="38">
        <v>45300</v>
      </c>
      <c r="AI61" s="38"/>
      <c r="AJ61" s="38"/>
      <c r="AK61" s="38">
        <v>45332</v>
      </c>
      <c r="AL61" s="38"/>
      <c r="AM61" s="48"/>
      <c r="AN61" s="42"/>
      <c r="AO61" s="42" t="s">
        <v>342</v>
      </c>
      <c r="AP61" s="42" t="s">
        <v>343</v>
      </c>
      <c r="AQ61" s="42" t="s">
        <v>344</v>
      </c>
      <c r="AR61" s="42" t="s">
        <v>345</v>
      </c>
      <c r="AS61" s="50">
        <v>0</v>
      </c>
      <c r="AT61" s="39">
        <v>100</v>
      </c>
      <c r="AU61" s="39" t="s">
        <v>346</v>
      </c>
      <c r="AV61" s="49">
        <v>30</v>
      </c>
      <c r="AW61" s="39" t="s">
        <v>62</v>
      </c>
      <c r="AX61" s="39">
        <v>10</v>
      </c>
      <c r="AY61" s="30">
        <f>(J61*10)/100</f>
        <v>2478077.7599999998</v>
      </c>
      <c r="AZ61" s="42" t="s">
        <v>97</v>
      </c>
    </row>
    <row r="62" spans="1:52" ht="44.25" customHeight="1" x14ac:dyDescent="0.25">
      <c r="A62" s="46" t="s">
        <v>544</v>
      </c>
      <c r="B62" s="48">
        <v>45215</v>
      </c>
      <c r="C62" s="42">
        <v>545</v>
      </c>
      <c r="D62" s="37" t="s">
        <v>545</v>
      </c>
      <c r="E62" s="41" t="s">
        <v>546</v>
      </c>
      <c r="F62" s="38">
        <v>45237</v>
      </c>
      <c r="G62" s="39" t="s">
        <v>547</v>
      </c>
      <c r="H62" s="42" t="s">
        <v>88</v>
      </c>
      <c r="I62" s="42" t="s">
        <v>416</v>
      </c>
      <c r="J62" s="56">
        <v>5420807.7000000002</v>
      </c>
      <c r="K62" s="56">
        <v>5420807.7000000002</v>
      </c>
      <c r="L62" s="56">
        <v>0</v>
      </c>
      <c r="M62" s="56">
        <v>0</v>
      </c>
      <c r="N62" s="44">
        <f t="shared" si="3"/>
        <v>0</v>
      </c>
      <c r="O62" s="45">
        <f t="shared" si="4"/>
        <v>0</v>
      </c>
      <c r="P62" s="43">
        <v>5420807.7000000002</v>
      </c>
      <c r="Q62" s="45">
        <f t="shared" si="5"/>
        <v>0</v>
      </c>
      <c r="R62" s="43">
        <v>5420807.7000000002</v>
      </c>
      <c r="S62" s="30">
        <f t="shared" si="9"/>
        <v>5420807.7000000002</v>
      </c>
      <c r="T62" s="30">
        <f t="shared" si="6"/>
        <v>5420807.7000000002</v>
      </c>
      <c r="U62" s="30">
        <f>T62/X62</f>
        <v>25813.370000000003</v>
      </c>
      <c r="V62" s="43">
        <f>T62/X62</f>
        <v>25813.370000000003</v>
      </c>
      <c r="W62" s="43">
        <f t="shared" si="0"/>
        <v>387200.55000000005</v>
      </c>
      <c r="X62" s="43">
        <v>210</v>
      </c>
      <c r="Y62" s="43">
        <v>210</v>
      </c>
      <c r="Z62" s="43">
        <v>0</v>
      </c>
      <c r="AA62" s="43">
        <v>0</v>
      </c>
      <c r="AB62" s="43"/>
      <c r="AC62" s="43">
        <f t="shared" si="1"/>
        <v>0</v>
      </c>
      <c r="AD62" s="43"/>
      <c r="AE62" s="43">
        <f t="shared" si="2"/>
        <v>0</v>
      </c>
      <c r="AF62" s="43">
        <f t="shared" si="7"/>
        <v>14</v>
      </c>
      <c r="AG62" s="43">
        <f t="shared" si="8"/>
        <v>14</v>
      </c>
      <c r="AH62" s="38">
        <v>45300</v>
      </c>
      <c r="AI62" s="38"/>
      <c r="AJ62" s="38"/>
      <c r="AK62" s="38">
        <v>45332</v>
      </c>
      <c r="AL62" s="38"/>
      <c r="AM62" s="48"/>
      <c r="AN62" s="42"/>
      <c r="AO62" s="42" t="s">
        <v>342</v>
      </c>
      <c r="AP62" s="42" t="s">
        <v>548</v>
      </c>
      <c r="AQ62" s="42" t="s">
        <v>549</v>
      </c>
      <c r="AR62" s="42" t="s">
        <v>345</v>
      </c>
      <c r="AS62" s="50">
        <v>0</v>
      </c>
      <c r="AT62" s="39">
        <v>100</v>
      </c>
      <c r="AU62" s="39" t="s">
        <v>346</v>
      </c>
      <c r="AV62" s="49">
        <v>15</v>
      </c>
      <c r="AW62" s="39" t="s">
        <v>62</v>
      </c>
      <c r="AX62" s="39">
        <v>10</v>
      </c>
      <c r="AY62" s="30">
        <f>(J62*10)/100</f>
        <v>542080.77</v>
      </c>
      <c r="AZ62" s="42" t="s">
        <v>97</v>
      </c>
    </row>
    <row r="63" spans="1:52" ht="126" x14ac:dyDescent="0.25">
      <c r="A63" s="46" t="s">
        <v>550</v>
      </c>
      <c r="B63" s="38">
        <v>45215</v>
      </c>
      <c r="C63" s="39">
        <v>545</v>
      </c>
      <c r="D63" s="37" t="s">
        <v>551</v>
      </c>
      <c r="E63" s="41" t="s">
        <v>552</v>
      </c>
      <c r="F63" s="38">
        <v>45237</v>
      </c>
      <c r="G63" s="39" t="s">
        <v>553</v>
      </c>
      <c r="H63" s="42" t="s">
        <v>88</v>
      </c>
      <c r="I63" s="42" t="s">
        <v>368</v>
      </c>
      <c r="J63" s="43">
        <v>17806060.800000001</v>
      </c>
      <c r="K63" s="43">
        <v>17806060.800000001</v>
      </c>
      <c r="L63" s="56">
        <v>0</v>
      </c>
      <c r="M63" s="56">
        <v>0</v>
      </c>
      <c r="N63" s="44">
        <f t="shared" si="3"/>
        <v>0</v>
      </c>
      <c r="O63" s="45">
        <v>17806060.800000001</v>
      </c>
      <c r="P63" s="43">
        <v>17806060.800000001</v>
      </c>
      <c r="Q63" s="45">
        <f t="shared" si="5"/>
        <v>0</v>
      </c>
      <c r="R63" s="43">
        <v>17806060.800000001</v>
      </c>
      <c r="S63" s="30">
        <f t="shared" si="9"/>
        <v>17806060.800000001</v>
      </c>
      <c r="T63" s="30">
        <f t="shared" si="6"/>
        <v>17806060.800000001</v>
      </c>
      <c r="U63" s="30">
        <f>T63/X63</f>
        <v>618266</v>
      </c>
      <c r="V63" s="43">
        <f>T63/X63</f>
        <v>618266</v>
      </c>
      <c r="W63" s="43">
        <f t="shared" si="0"/>
        <v>5935353.5999999996</v>
      </c>
      <c r="X63" s="43">
        <v>28.8</v>
      </c>
      <c r="Y63" s="43">
        <v>28.8</v>
      </c>
      <c r="Z63" s="43">
        <v>0</v>
      </c>
      <c r="AA63" s="43">
        <v>0</v>
      </c>
      <c r="AB63" s="43"/>
      <c r="AC63" s="43">
        <f t="shared" si="1"/>
        <v>0</v>
      </c>
      <c r="AD63" s="43"/>
      <c r="AE63" s="43">
        <f t="shared" si="2"/>
        <v>0</v>
      </c>
      <c r="AF63" s="43">
        <f t="shared" si="7"/>
        <v>3</v>
      </c>
      <c r="AG63" s="43">
        <f t="shared" si="8"/>
        <v>3</v>
      </c>
      <c r="AH63" s="38">
        <v>45300</v>
      </c>
      <c r="AI63" s="38"/>
      <c r="AJ63" s="38"/>
      <c r="AK63" s="38">
        <v>45332</v>
      </c>
      <c r="AL63" s="38"/>
      <c r="AM63" s="48"/>
      <c r="AN63" s="42"/>
      <c r="AO63" s="42" t="s">
        <v>369</v>
      </c>
      <c r="AP63" s="42" t="s">
        <v>554</v>
      </c>
      <c r="AQ63" s="42" t="s">
        <v>371</v>
      </c>
      <c r="AR63" s="42" t="s">
        <v>60</v>
      </c>
      <c r="AS63" s="50">
        <v>0</v>
      </c>
      <c r="AT63" s="39">
        <v>100</v>
      </c>
      <c r="AU63" s="39" t="s">
        <v>83</v>
      </c>
      <c r="AV63" s="54">
        <v>9.6</v>
      </c>
      <c r="AW63" s="39" t="s">
        <v>62</v>
      </c>
      <c r="AX63" s="39">
        <v>10</v>
      </c>
      <c r="AY63" s="30">
        <f>(J63*10)/100</f>
        <v>1780606.08</v>
      </c>
      <c r="AZ63" s="42" t="s">
        <v>97</v>
      </c>
    </row>
    <row r="64" spans="1:52" ht="85.5" customHeight="1" x14ac:dyDescent="0.25">
      <c r="A64" s="46" t="s">
        <v>555</v>
      </c>
      <c r="B64" s="38">
        <v>45217</v>
      </c>
      <c r="C64" s="39">
        <v>545</v>
      </c>
      <c r="D64" s="37" t="s">
        <v>556</v>
      </c>
      <c r="E64" s="41" t="s">
        <v>557</v>
      </c>
      <c r="F64" s="38">
        <v>45237</v>
      </c>
      <c r="G64" s="39" t="s">
        <v>558</v>
      </c>
      <c r="H64" s="42" t="s">
        <v>504</v>
      </c>
      <c r="I64" s="42" t="s">
        <v>505</v>
      </c>
      <c r="J64" s="43">
        <v>2210956</v>
      </c>
      <c r="K64" s="43">
        <v>2210956</v>
      </c>
      <c r="L64" s="56">
        <v>0</v>
      </c>
      <c r="M64" s="56">
        <v>0</v>
      </c>
      <c r="N64" s="44">
        <f t="shared" si="3"/>
        <v>0</v>
      </c>
      <c r="O64" s="45">
        <v>2210956</v>
      </c>
      <c r="P64" s="43">
        <v>2210956</v>
      </c>
      <c r="Q64" s="45">
        <f t="shared" si="5"/>
        <v>0</v>
      </c>
      <c r="R64" s="43">
        <v>2210956</v>
      </c>
      <c r="S64" s="30">
        <f t="shared" si="9"/>
        <v>2210956</v>
      </c>
      <c r="T64" s="30">
        <f t="shared" si="6"/>
        <v>2210956</v>
      </c>
      <c r="U64" s="30">
        <f>T64/X64</f>
        <v>1004.98</v>
      </c>
      <c r="V64" s="43">
        <f>T64/X64</f>
        <v>1004.98</v>
      </c>
      <c r="W64" s="43">
        <f t="shared" si="0"/>
        <v>50249</v>
      </c>
      <c r="X64" s="43">
        <v>2200</v>
      </c>
      <c r="Y64" s="43">
        <v>2200</v>
      </c>
      <c r="Z64" s="43">
        <v>0</v>
      </c>
      <c r="AA64" s="43">
        <v>0</v>
      </c>
      <c r="AB64" s="43"/>
      <c r="AC64" s="43">
        <f t="shared" si="1"/>
        <v>0</v>
      </c>
      <c r="AD64" s="43"/>
      <c r="AE64" s="43">
        <f t="shared" si="2"/>
        <v>0</v>
      </c>
      <c r="AF64" s="43">
        <f t="shared" si="7"/>
        <v>44</v>
      </c>
      <c r="AG64" s="43">
        <f t="shared" si="8"/>
        <v>44</v>
      </c>
      <c r="AH64" s="38">
        <v>45300</v>
      </c>
      <c r="AI64" s="38"/>
      <c r="AJ64" s="38"/>
      <c r="AK64" s="38">
        <v>45332</v>
      </c>
      <c r="AL64" s="38"/>
      <c r="AM64" s="48"/>
      <c r="AN64" s="42"/>
      <c r="AO64" s="42" t="s">
        <v>559</v>
      </c>
      <c r="AP64" s="42" t="s">
        <v>560</v>
      </c>
      <c r="AQ64" s="42" t="s">
        <v>561</v>
      </c>
      <c r="AR64" s="42" t="s">
        <v>60</v>
      </c>
      <c r="AS64" s="50">
        <v>0</v>
      </c>
      <c r="AT64" s="39">
        <v>100</v>
      </c>
      <c r="AU64" s="39" t="s">
        <v>327</v>
      </c>
      <c r="AV64" s="49">
        <v>50</v>
      </c>
      <c r="AW64" s="39" t="s">
        <v>221</v>
      </c>
      <c r="AX64" s="39">
        <v>10</v>
      </c>
      <c r="AY64" s="30">
        <f>(J64*10)/100</f>
        <v>221095.6</v>
      </c>
      <c r="AZ64" s="42" t="s">
        <v>97</v>
      </c>
    </row>
    <row r="65" spans="1:52" ht="75" x14ac:dyDescent="0.25">
      <c r="A65" s="46" t="s">
        <v>562</v>
      </c>
      <c r="B65" s="38">
        <v>45217</v>
      </c>
      <c r="C65" s="39">
        <v>545</v>
      </c>
      <c r="D65" s="37" t="s">
        <v>563</v>
      </c>
      <c r="E65" s="41" t="s">
        <v>564</v>
      </c>
      <c r="F65" s="38">
        <v>45237</v>
      </c>
      <c r="G65" s="39" t="s">
        <v>565</v>
      </c>
      <c r="H65" s="42" t="s">
        <v>566</v>
      </c>
      <c r="I65" s="42" t="s">
        <v>567</v>
      </c>
      <c r="J65" s="43">
        <v>3519984.6</v>
      </c>
      <c r="K65" s="43">
        <v>3519984.6</v>
      </c>
      <c r="L65" s="56">
        <v>0</v>
      </c>
      <c r="M65" s="56">
        <v>0</v>
      </c>
      <c r="N65" s="44">
        <f t="shared" si="3"/>
        <v>0</v>
      </c>
      <c r="O65" s="45">
        <v>3519984.6</v>
      </c>
      <c r="P65" s="43">
        <v>3519984.6</v>
      </c>
      <c r="Q65" s="45">
        <f t="shared" si="5"/>
        <v>0</v>
      </c>
      <c r="R65" s="43">
        <v>3519984.6</v>
      </c>
      <c r="S65" s="30">
        <f t="shared" si="9"/>
        <v>3519984.6</v>
      </c>
      <c r="T65" s="30">
        <f t="shared" si="6"/>
        <v>3519984.6</v>
      </c>
      <c r="U65" s="30">
        <f>T65/X65</f>
        <v>5333.31</v>
      </c>
      <c r="V65" s="43">
        <f>T65/X65</f>
        <v>5333.31</v>
      </c>
      <c r="W65" s="43">
        <f t="shared" si="0"/>
        <v>319998.60000000003</v>
      </c>
      <c r="X65" s="43">
        <v>660</v>
      </c>
      <c r="Y65" s="43">
        <v>660</v>
      </c>
      <c r="Z65" s="43">
        <v>0</v>
      </c>
      <c r="AA65" s="43">
        <v>0</v>
      </c>
      <c r="AB65" s="43"/>
      <c r="AC65" s="43">
        <f t="shared" si="1"/>
        <v>0</v>
      </c>
      <c r="AD65" s="43"/>
      <c r="AE65" s="43">
        <f t="shared" si="2"/>
        <v>0</v>
      </c>
      <c r="AF65" s="43">
        <f t="shared" si="7"/>
        <v>11</v>
      </c>
      <c r="AG65" s="43">
        <f t="shared" si="8"/>
        <v>11</v>
      </c>
      <c r="AH65" s="38">
        <v>45300</v>
      </c>
      <c r="AI65" s="38"/>
      <c r="AJ65" s="38"/>
      <c r="AK65" s="38">
        <v>45332</v>
      </c>
      <c r="AL65" s="38"/>
      <c r="AM65" s="48"/>
      <c r="AN65" s="42"/>
      <c r="AO65" s="42" t="s">
        <v>568</v>
      </c>
      <c r="AP65" s="42" t="s">
        <v>569</v>
      </c>
      <c r="AQ65" s="42" t="s">
        <v>570</v>
      </c>
      <c r="AR65" s="42" t="s">
        <v>82</v>
      </c>
      <c r="AS65" s="50">
        <v>100</v>
      </c>
      <c r="AT65" s="39">
        <v>0</v>
      </c>
      <c r="AU65" s="39" t="s">
        <v>389</v>
      </c>
      <c r="AV65" s="49">
        <v>60</v>
      </c>
      <c r="AW65" s="39" t="s">
        <v>62</v>
      </c>
      <c r="AX65" s="39">
        <v>10</v>
      </c>
      <c r="AY65" s="30">
        <f>(J65*10)/100</f>
        <v>351998.46</v>
      </c>
      <c r="AZ65" s="42" t="s">
        <v>97</v>
      </c>
    </row>
    <row r="66" spans="1:52" ht="94.5" x14ac:dyDescent="0.25">
      <c r="A66" s="46" t="s">
        <v>571</v>
      </c>
      <c r="B66" s="38">
        <v>45219</v>
      </c>
      <c r="C66" s="39">
        <v>545</v>
      </c>
      <c r="D66" s="37" t="s">
        <v>572</v>
      </c>
      <c r="E66" s="41" t="s">
        <v>573</v>
      </c>
      <c r="F66" s="38">
        <v>45240</v>
      </c>
      <c r="G66" s="39" t="s">
        <v>574</v>
      </c>
      <c r="H66" s="42" t="s">
        <v>321</v>
      </c>
      <c r="I66" s="42" t="s">
        <v>322</v>
      </c>
      <c r="J66" s="43">
        <v>18087484.800000001</v>
      </c>
      <c r="K66" s="43">
        <v>18087484.800000001</v>
      </c>
      <c r="L66" s="56">
        <v>0</v>
      </c>
      <c r="M66" s="56">
        <v>0</v>
      </c>
      <c r="N66" s="44">
        <f t="shared" si="3"/>
        <v>0</v>
      </c>
      <c r="O66" s="45">
        <v>18087484.800000001</v>
      </c>
      <c r="P66" s="43">
        <v>18087484.800000001</v>
      </c>
      <c r="Q66" s="45">
        <f t="shared" si="5"/>
        <v>0</v>
      </c>
      <c r="R66" s="43">
        <v>18087484.800000001</v>
      </c>
      <c r="S66" s="30">
        <f t="shared" si="9"/>
        <v>18087484.800000001</v>
      </c>
      <c r="T66" s="30">
        <f t="shared" si="6"/>
        <v>18087484.800000001</v>
      </c>
      <c r="U66" s="30">
        <f>T66/X66</f>
        <v>10766.36</v>
      </c>
      <c r="V66" s="43">
        <f>T66/X66</f>
        <v>10766.36</v>
      </c>
      <c r="W66" s="43">
        <f t="shared" si="0"/>
        <v>1507290.4000000001</v>
      </c>
      <c r="X66" s="43">
        <v>1680</v>
      </c>
      <c r="Y66" s="43">
        <v>1680</v>
      </c>
      <c r="Z66" s="43">
        <v>0</v>
      </c>
      <c r="AA66" s="43">
        <v>0</v>
      </c>
      <c r="AB66" s="43"/>
      <c r="AC66" s="43">
        <f t="shared" si="1"/>
        <v>0</v>
      </c>
      <c r="AD66" s="43"/>
      <c r="AE66" s="43">
        <f t="shared" si="2"/>
        <v>0</v>
      </c>
      <c r="AF66" s="43">
        <f t="shared" si="7"/>
        <v>12</v>
      </c>
      <c r="AG66" s="43">
        <f t="shared" si="8"/>
        <v>12</v>
      </c>
      <c r="AH66" s="38">
        <v>45300</v>
      </c>
      <c r="AI66" s="38"/>
      <c r="AJ66" s="38"/>
      <c r="AK66" s="38">
        <v>45332</v>
      </c>
      <c r="AL66" s="38"/>
      <c r="AM66" s="48"/>
      <c r="AN66" s="42" t="s">
        <v>575</v>
      </c>
      <c r="AO66" s="42" t="s">
        <v>324</v>
      </c>
      <c r="AP66" s="42" t="s">
        <v>325</v>
      </c>
      <c r="AQ66" s="42" t="s">
        <v>326</v>
      </c>
      <c r="AR66" s="42" t="s">
        <v>148</v>
      </c>
      <c r="AS66" s="50">
        <v>0</v>
      </c>
      <c r="AT66" s="39">
        <v>100</v>
      </c>
      <c r="AU66" s="39" t="s">
        <v>327</v>
      </c>
      <c r="AV66" s="49">
        <v>140</v>
      </c>
      <c r="AW66" s="39" t="s">
        <v>62</v>
      </c>
      <c r="AX66" s="39">
        <v>10</v>
      </c>
      <c r="AY66" s="30">
        <f>(J66*10)/100</f>
        <v>1808748.48</v>
      </c>
      <c r="AZ66" s="42" t="s">
        <v>97</v>
      </c>
    </row>
    <row r="67" spans="1:52" ht="75" x14ac:dyDescent="0.25">
      <c r="A67" s="46" t="s">
        <v>576</v>
      </c>
      <c r="B67" s="38">
        <v>45219</v>
      </c>
      <c r="C67" s="39">
        <v>545</v>
      </c>
      <c r="D67" s="37" t="s">
        <v>577</v>
      </c>
      <c r="E67" s="41" t="s">
        <v>578</v>
      </c>
      <c r="F67" s="38">
        <v>45240</v>
      </c>
      <c r="G67" s="39" t="s">
        <v>579</v>
      </c>
      <c r="H67" s="42" t="s">
        <v>54</v>
      </c>
      <c r="I67" s="42" t="s">
        <v>580</v>
      </c>
      <c r="J67" s="43">
        <v>96768822.079999998</v>
      </c>
      <c r="K67" s="43">
        <v>96768822.079999998</v>
      </c>
      <c r="L67" s="56">
        <v>0</v>
      </c>
      <c r="M67" s="56">
        <v>0</v>
      </c>
      <c r="N67" s="44">
        <f t="shared" si="3"/>
        <v>0</v>
      </c>
      <c r="O67" s="45">
        <v>96768822.079999998</v>
      </c>
      <c r="P67" s="43">
        <v>96768822.079999998</v>
      </c>
      <c r="Q67" s="45">
        <f t="shared" si="5"/>
        <v>0</v>
      </c>
      <c r="R67" s="43">
        <v>96768822.079999998</v>
      </c>
      <c r="S67" s="30">
        <v>125663073.48</v>
      </c>
      <c r="T67" s="30">
        <f t="shared" si="6"/>
        <v>125663073.48</v>
      </c>
      <c r="U67" s="30">
        <f>T67/X67</f>
        <v>1281.9100000000001</v>
      </c>
      <c r="V67" s="43">
        <f>T67/X67</f>
        <v>1281.9100000000001</v>
      </c>
      <c r="W67" s="43">
        <f t="shared" ref="W67:W130" si="10">V67*AV67</f>
        <v>35893.480000000003</v>
      </c>
      <c r="X67" s="43">
        <f>Y67</f>
        <v>98028</v>
      </c>
      <c r="Y67" s="43">
        <v>98028</v>
      </c>
      <c r="Z67" s="43">
        <v>0</v>
      </c>
      <c r="AA67" s="43">
        <v>0</v>
      </c>
      <c r="AB67" s="43"/>
      <c r="AC67" s="43">
        <f t="shared" si="1"/>
        <v>0</v>
      </c>
      <c r="AD67" s="43"/>
      <c r="AE67" s="43">
        <f t="shared" si="2"/>
        <v>0</v>
      </c>
      <c r="AF67" s="43">
        <f t="shared" si="7"/>
        <v>3501</v>
      </c>
      <c r="AG67" s="43">
        <f t="shared" si="8"/>
        <v>3501</v>
      </c>
      <c r="AH67" s="38">
        <v>45352</v>
      </c>
      <c r="AI67" s="38"/>
      <c r="AJ67" s="38"/>
      <c r="AK67" s="38">
        <v>45383</v>
      </c>
      <c r="AL67" s="38"/>
      <c r="AM67" s="48"/>
      <c r="AN67" s="42" t="s">
        <v>323</v>
      </c>
      <c r="AO67" s="42" t="s">
        <v>581</v>
      </c>
      <c r="AP67" s="42" t="s">
        <v>582</v>
      </c>
      <c r="AQ67" s="42" t="s">
        <v>583</v>
      </c>
      <c r="AR67" s="42" t="s">
        <v>388</v>
      </c>
      <c r="AS67" s="50">
        <v>0</v>
      </c>
      <c r="AT67" s="39">
        <v>100</v>
      </c>
      <c r="AU67" s="39" t="s">
        <v>389</v>
      </c>
      <c r="AV67" s="49">
        <v>28</v>
      </c>
      <c r="AW67" s="39" t="s">
        <v>62</v>
      </c>
      <c r="AX67" s="39">
        <v>10</v>
      </c>
      <c r="AY67" s="30">
        <f>(J67*10)/100</f>
        <v>9676882.2079999987</v>
      </c>
      <c r="AZ67" s="42" t="s">
        <v>405</v>
      </c>
    </row>
    <row r="68" spans="1:52" ht="75" x14ac:dyDescent="0.25">
      <c r="A68" s="46" t="s">
        <v>584</v>
      </c>
      <c r="B68" s="38">
        <v>45222</v>
      </c>
      <c r="C68" s="39">
        <v>545</v>
      </c>
      <c r="D68" s="37" t="s">
        <v>585</v>
      </c>
      <c r="E68" s="41" t="s">
        <v>586</v>
      </c>
      <c r="F68" s="38">
        <v>45243</v>
      </c>
      <c r="G68" s="39" t="s">
        <v>587</v>
      </c>
      <c r="H68" s="42" t="s">
        <v>271</v>
      </c>
      <c r="I68" s="42" t="s">
        <v>588</v>
      </c>
      <c r="J68" s="43">
        <v>21516462</v>
      </c>
      <c r="K68" s="43">
        <v>21516462</v>
      </c>
      <c r="L68" s="56">
        <v>0</v>
      </c>
      <c r="M68" s="56">
        <v>0</v>
      </c>
      <c r="N68" s="44">
        <f t="shared" si="3"/>
        <v>0</v>
      </c>
      <c r="O68" s="45">
        <v>21516462</v>
      </c>
      <c r="P68" s="43">
        <v>21516462</v>
      </c>
      <c r="Q68" s="45">
        <f t="shared" si="5"/>
        <v>0</v>
      </c>
      <c r="R68" s="43">
        <v>21516462</v>
      </c>
      <c r="S68" s="30">
        <v>27076896</v>
      </c>
      <c r="T68" s="30">
        <f t="shared" si="6"/>
        <v>27076896</v>
      </c>
      <c r="U68" s="30">
        <f>T68/X68</f>
        <v>4029.3</v>
      </c>
      <c r="V68" s="43">
        <f>T68/X68</f>
        <v>4029.3</v>
      </c>
      <c r="W68" s="43">
        <f t="shared" si="10"/>
        <v>241758</v>
      </c>
      <c r="X68" s="43">
        <v>6720</v>
      </c>
      <c r="Y68" s="43">
        <v>6720</v>
      </c>
      <c r="Z68" s="43">
        <v>0</v>
      </c>
      <c r="AA68" s="43">
        <v>0</v>
      </c>
      <c r="AB68" s="43"/>
      <c r="AC68" s="43">
        <f t="shared" ref="AC68:AC131" si="11">AB68*V68</f>
        <v>0</v>
      </c>
      <c r="AD68" s="43"/>
      <c r="AE68" s="43">
        <f t="shared" ref="AE68:AE131" si="12">AD68*V68</f>
        <v>0</v>
      </c>
      <c r="AF68" s="43">
        <f t="shared" si="7"/>
        <v>112</v>
      </c>
      <c r="AG68" s="43">
        <f t="shared" si="8"/>
        <v>112</v>
      </c>
      <c r="AH68" s="38">
        <v>45306</v>
      </c>
      <c r="AI68" s="38"/>
      <c r="AJ68" s="38"/>
      <c r="AK68" s="38">
        <v>45337</v>
      </c>
      <c r="AL68" s="38"/>
      <c r="AM68" s="48"/>
      <c r="AN68" s="42" t="s">
        <v>323</v>
      </c>
      <c r="AO68" s="42" t="s">
        <v>589</v>
      </c>
      <c r="AP68" s="42" t="s">
        <v>590</v>
      </c>
      <c r="AQ68" s="42" t="s">
        <v>591</v>
      </c>
      <c r="AR68" s="42" t="s">
        <v>94</v>
      </c>
      <c r="AS68" s="50">
        <v>0</v>
      </c>
      <c r="AT68" s="39">
        <v>100</v>
      </c>
      <c r="AU68" s="39" t="s">
        <v>389</v>
      </c>
      <c r="AV68" s="49">
        <v>60</v>
      </c>
      <c r="AW68" s="39" t="s">
        <v>62</v>
      </c>
      <c r="AX68" s="39">
        <v>10</v>
      </c>
      <c r="AY68" s="30">
        <f>(J68*10)/100</f>
        <v>2151646.2000000002</v>
      </c>
      <c r="AZ68" s="42" t="s">
        <v>97</v>
      </c>
    </row>
    <row r="69" spans="1:52" ht="75" x14ac:dyDescent="0.25">
      <c r="A69" s="46" t="s">
        <v>592</v>
      </c>
      <c r="B69" s="38">
        <v>45222</v>
      </c>
      <c r="C69" s="39">
        <v>545</v>
      </c>
      <c r="D69" s="37" t="s">
        <v>434</v>
      </c>
      <c r="E69" s="41" t="s">
        <v>593</v>
      </c>
      <c r="F69" s="38" t="s">
        <v>434</v>
      </c>
      <c r="G69" s="39" t="s">
        <v>434</v>
      </c>
      <c r="H69" s="42" t="s">
        <v>434</v>
      </c>
      <c r="I69" s="42" t="s">
        <v>594</v>
      </c>
      <c r="J69" s="43">
        <v>11962491.300000001</v>
      </c>
      <c r="K69" s="43">
        <v>11962491.300000001</v>
      </c>
      <c r="L69" s="43"/>
      <c r="M69" s="43"/>
      <c r="N69" s="44">
        <f t="shared" si="3"/>
        <v>100</v>
      </c>
      <c r="O69" s="45">
        <v>11962491.300000001</v>
      </c>
      <c r="P69" s="43"/>
      <c r="Q69" s="45">
        <f t="shared" si="5"/>
        <v>11962491.300000001</v>
      </c>
      <c r="R69" s="43">
        <v>0</v>
      </c>
      <c r="S69" s="30">
        <f t="shared" ref="S69:S80" si="13">R69</f>
        <v>0</v>
      </c>
      <c r="T69" s="30">
        <f t="shared" si="6"/>
        <v>0</v>
      </c>
      <c r="U69" s="30" t="e">
        <f>T69/X69</f>
        <v>#DIV/0!</v>
      </c>
      <c r="V69" s="43" t="e">
        <f>T69/X69</f>
        <v>#DIV/0!</v>
      </c>
      <c r="W69" s="43" t="e">
        <f t="shared" si="10"/>
        <v>#DIV/0!</v>
      </c>
      <c r="X69" s="43">
        <v>0</v>
      </c>
      <c r="Y69" s="43">
        <v>0</v>
      </c>
      <c r="Z69" s="43">
        <v>0</v>
      </c>
      <c r="AA69" s="43">
        <v>0</v>
      </c>
      <c r="AB69" s="43"/>
      <c r="AC69" s="43" t="e">
        <f t="shared" si="11"/>
        <v>#DIV/0!</v>
      </c>
      <c r="AD69" s="43"/>
      <c r="AE69" s="43" t="e">
        <f t="shared" si="12"/>
        <v>#DIV/0!</v>
      </c>
      <c r="AF69" s="43" t="e">
        <f t="shared" si="7"/>
        <v>#DIV/0!</v>
      </c>
      <c r="AG69" s="43" t="e">
        <f t="shared" si="8"/>
        <v>#DIV/0!</v>
      </c>
      <c r="AH69" s="38"/>
      <c r="AI69" s="38"/>
      <c r="AJ69" s="38"/>
      <c r="AK69" s="38"/>
      <c r="AL69" s="38"/>
      <c r="AM69" s="48"/>
      <c r="AN69" s="42"/>
      <c r="AO69" s="42"/>
      <c r="AP69" s="42"/>
      <c r="AQ69" s="42"/>
      <c r="AR69" s="42"/>
      <c r="AS69" s="50"/>
      <c r="AT69" s="39"/>
      <c r="AU69" s="39"/>
      <c r="AV69" s="49"/>
      <c r="AW69" s="39"/>
      <c r="AX69" s="39">
        <v>10</v>
      </c>
      <c r="AY69" s="30">
        <f>(J69*10)/100</f>
        <v>1196249.1299999999</v>
      </c>
      <c r="AZ69" s="42" t="s">
        <v>434</v>
      </c>
    </row>
    <row r="70" spans="1:52" ht="75" x14ac:dyDescent="0.25">
      <c r="A70" s="46" t="s">
        <v>595</v>
      </c>
      <c r="B70" s="38">
        <v>45223</v>
      </c>
      <c r="C70" s="39">
        <v>545</v>
      </c>
      <c r="D70" s="37" t="s">
        <v>434</v>
      </c>
      <c r="E70" s="41" t="s">
        <v>596</v>
      </c>
      <c r="F70" s="38" t="s">
        <v>434</v>
      </c>
      <c r="G70" s="39" t="s">
        <v>434</v>
      </c>
      <c r="H70" s="42" t="s">
        <v>434</v>
      </c>
      <c r="I70" s="42" t="s">
        <v>597</v>
      </c>
      <c r="J70" s="43">
        <v>11225026.560000001</v>
      </c>
      <c r="K70" s="43">
        <v>11225026.560000001</v>
      </c>
      <c r="L70" s="43"/>
      <c r="M70" s="43"/>
      <c r="N70" s="44">
        <f t="shared" si="3"/>
        <v>100</v>
      </c>
      <c r="O70" s="45">
        <v>11225026.560000001</v>
      </c>
      <c r="P70" s="43"/>
      <c r="Q70" s="45">
        <f t="shared" si="5"/>
        <v>11225026.560000001</v>
      </c>
      <c r="R70" s="43">
        <v>0</v>
      </c>
      <c r="S70" s="30">
        <f t="shared" si="13"/>
        <v>0</v>
      </c>
      <c r="T70" s="30">
        <f t="shared" si="6"/>
        <v>0</v>
      </c>
      <c r="U70" s="30" t="e">
        <f>T70/X70</f>
        <v>#DIV/0!</v>
      </c>
      <c r="V70" s="43" t="e">
        <f>T70/X70</f>
        <v>#DIV/0!</v>
      </c>
      <c r="W70" s="43" t="e">
        <f t="shared" si="10"/>
        <v>#DIV/0!</v>
      </c>
      <c r="X70" s="43">
        <v>0</v>
      </c>
      <c r="Y70" s="43">
        <v>0</v>
      </c>
      <c r="Z70" s="43">
        <v>0</v>
      </c>
      <c r="AA70" s="43">
        <v>0</v>
      </c>
      <c r="AB70" s="43"/>
      <c r="AC70" s="43" t="e">
        <f t="shared" si="11"/>
        <v>#DIV/0!</v>
      </c>
      <c r="AD70" s="43"/>
      <c r="AE70" s="43" t="e">
        <f t="shared" si="12"/>
        <v>#DIV/0!</v>
      </c>
      <c r="AF70" s="43" t="e">
        <f t="shared" si="7"/>
        <v>#DIV/0!</v>
      </c>
      <c r="AG70" s="43" t="e">
        <f t="shared" si="8"/>
        <v>#DIV/0!</v>
      </c>
      <c r="AH70" s="38"/>
      <c r="AI70" s="38"/>
      <c r="AJ70" s="38"/>
      <c r="AK70" s="38"/>
      <c r="AL70" s="38"/>
      <c r="AM70" s="48"/>
      <c r="AN70" s="42"/>
      <c r="AO70" s="42"/>
      <c r="AP70" s="42"/>
      <c r="AQ70" s="42"/>
      <c r="AR70" s="42"/>
      <c r="AS70" s="50"/>
      <c r="AT70" s="39"/>
      <c r="AU70" s="39"/>
      <c r="AV70" s="49"/>
      <c r="AW70" s="39"/>
      <c r="AX70" s="39">
        <v>10</v>
      </c>
      <c r="AY70" s="30">
        <f>(J70*10)/100</f>
        <v>1122502.6560000002</v>
      </c>
      <c r="AZ70" s="42" t="s">
        <v>434</v>
      </c>
    </row>
    <row r="71" spans="1:52" ht="75" x14ac:dyDescent="0.25">
      <c r="A71" s="46" t="s">
        <v>598</v>
      </c>
      <c r="B71" s="38">
        <v>45225</v>
      </c>
      <c r="C71" s="39">
        <v>545</v>
      </c>
      <c r="D71" s="37" t="s">
        <v>599</v>
      </c>
      <c r="E71" s="41" t="s">
        <v>600</v>
      </c>
      <c r="F71" s="38">
        <v>45254</v>
      </c>
      <c r="G71" s="39" t="s">
        <v>601</v>
      </c>
      <c r="H71" s="42" t="s">
        <v>88</v>
      </c>
      <c r="I71" s="42" t="s">
        <v>602</v>
      </c>
      <c r="J71" s="43">
        <v>12464242.560000001</v>
      </c>
      <c r="K71" s="43">
        <v>12464242.560000001</v>
      </c>
      <c r="L71" s="43">
        <v>0</v>
      </c>
      <c r="M71" s="43">
        <v>0</v>
      </c>
      <c r="N71" s="44">
        <f t="shared" si="3"/>
        <v>0</v>
      </c>
      <c r="O71" s="45">
        <v>12464242.560000001</v>
      </c>
      <c r="P71" s="43">
        <v>12464242.560000001</v>
      </c>
      <c r="Q71" s="45">
        <f t="shared" si="5"/>
        <v>0</v>
      </c>
      <c r="R71" s="43">
        <v>12464242.560000001</v>
      </c>
      <c r="S71" s="30">
        <f t="shared" si="13"/>
        <v>12464242.560000001</v>
      </c>
      <c r="T71" s="30">
        <f t="shared" si="6"/>
        <v>12464242.560000001</v>
      </c>
      <c r="U71" s="30">
        <f>T71/X71</f>
        <v>247306.40000000002</v>
      </c>
      <c r="V71" s="43">
        <f>T71/X71</f>
        <v>247306.40000000002</v>
      </c>
      <c r="W71" s="43">
        <f t="shared" si="10"/>
        <v>2077373.7600000002</v>
      </c>
      <c r="X71" s="43">
        <v>50.4</v>
      </c>
      <c r="Y71" s="43">
        <v>50.4</v>
      </c>
      <c r="Z71" s="43">
        <v>0</v>
      </c>
      <c r="AA71" s="43">
        <v>0</v>
      </c>
      <c r="AB71" s="43"/>
      <c r="AC71" s="43">
        <f t="shared" si="11"/>
        <v>0</v>
      </c>
      <c r="AD71" s="43"/>
      <c r="AE71" s="43">
        <f t="shared" si="12"/>
        <v>0</v>
      </c>
      <c r="AF71" s="43">
        <f t="shared" si="7"/>
        <v>6</v>
      </c>
      <c r="AG71" s="43">
        <f t="shared" si="8"/>
        <v>6</v>
      </c>
      <c r="AH71" s="38">
        <v>45306</v>
      </c>
      <c r="AI71" s="38">
        <v>45536</v>
      </c>
      <c r="AJ71" s="38"/>
      <c r="AK71" s="38">
        <v>45337</v>
      </c>
      <c r="AL71" s="38">
        <v>45200</v>
      </c>
      <c r="AM71" s="48"/>
      <c r="AN71" s="42" t="s">
        <v>603</v>
      </c>
      <c r="AO71" s="42" t="s">
        <v>604</v>
      </c>
      <c r="AP71" s="42" t="s">
        <v>605</v>
      </c>
      <c r="AQ71" s="42" t="s">
        <v>606</v>
      </c>
      <c r="AR71" s="42" t="s">
        <v>60</v>
      </c>
      <c r="AS71" s="50">
        <v>0</v>
      </c>
      <c r="AT71" s="39">
        <v>100</v>
      </c>
      <c r="AU71" s="39" t="s">
        <v>83</v>
      </c>
      <c r="AV71" s="49">
        <v>8.4</v>
      </c>
      <c r="AW71" s="39" t="s">
        <v>62</v>
      </c>
      <c r="AX71" s="39">
        <v>10</v>
      </c>
      <c r="AY71" s="30">
        <f>(J71*10)/100</f>
        <v>1246424.2560000001</v>
      </c>
      <c r="AZ71" s="42" t="s">
        <v>97</v>
      </c>
    </row>
    <row r="72" spans="1:52" ht="157.5" x14ac:dyDescent="0.25">
      <c r="A72" s="46" t="s">
        <v>607</v>
      </c>
      <c r="B72" s="38">
        <v>45230</v>
      </c>
      <c r="C72" s="39">
        <v>1416</v>
      </c>
      <c r="D72" s="37" t="s">
        <v>608</v>
      </c>
      <c r="E72" s="41" t="s">
        <v>609</v>
      </c>
      <c r="F72" s="38">
        <v>45250</v>
      </c>
      <c r="G72" s="39" t="s">
        <v>610</v>
      </c>
      <c r="H72" s="42" t="s">
        <v>54</v>
      </c>
      <c r="I72" s="42" t="s">
        <v>611</v>
      </c>
      <c r="J72" s="43">
        <v>265649669</v>
      </c>
      <c r="K72" s="43">
        <v>265649669</v>
      </c>
      <c r="L72" s="43">
        <v>0</v>
      </c>
      <c r="M72" s="43">
        <v>0</v>
      </c>
      <c r="N72" s="44">
        <f t="shared" si="3"/>
        <v>0</v>
      </c>
      <c r="O72" s="45">
        <f t="shared" ref="O72:O135" si="14">J72-P72</f>
        <v>0</v>
      </c>
      <c r="P72" s="43">
        <v>265649669</v>
      </c>
      <c r="Q72" s="45">
        <f t="shared" si="5"/>
        <v>0</v>
      </c>
      <c r="R72" s="43">
        <v>265649669</v>
      </c>
      <c r="S72" s="30">
        <f t="shared" si="13"/>
        <v>265649669</v>
      </c>
      <c r="T72" s="30">
        <f t="shared" si="6"/>
        <v>265649669</v>
      </c>
      <c r="U72" s="30">
        <f>T72/X72</f>
        <v>25791.23</v>
      </c>
      <c r="V72" s="43">
        <f>T72/X72</f>
        <v>25791.23</v>
      </c>
      <c r="W72" s="43">
        <f t="shared" si="10"/>
        <v>257912.3</v>
      </c>
      <c r="X72" s="43">
        <v>10300</v>
      </c>
      <c r="Y72" s="43">
        <v>10300</v>
      </c>
      <c r="Z72" s="43">
        <v>0</v>
      </c>
      <c r="AA72" s="43">
        <v>0</v>
      </c>
      <c r="AB72" s="43">
        <v>0</v>
      </c>
      <c r="AC72" s="43">
        <f t="shared" si="11"/>
        <v>0</v>
      </c>
      <c r="AD72" s="43">
        <v>10300</v>
      </c>
      <c r="AE72" s="43">
        <f t="shared" si="12"/>
        <v>265649669</v>
      </c>
      <c r="AF72" s="43">
        <f t="shared" si="7"/>
        <v>1030</v>
      </c>
      <c r="AG72" s="43">
        <f t="shared" si="8"/>
        <v>1030</v>
      </c>
      <c r="AH72" s="38">
        <v>45301</v>
      </c>
      <c r="AI72" s="38"/>
      <c r="AJ72" s="38"/>
      <c r="AK72" s="38">
        <v>45332</v>
      </c>
      <c r="AL72" s="38"/>
      <c r="AM72" s="48"/>
      <c r="AN72" s="42" t="s">
        <v>612</v>
      </c>
      <c r="AO72" s="42" t="s">
        <v>613</v>
      </c>
      <c r="AP72" s="42" t="s">
        <v>614</v>
      </c>
      <c r="AQ72" s="42" t="s">
        <v>615</v>
      </c>
      <c r="AR72" s="42" t="s">
        <v>94</v>
      </c>
      <c r="AS72" s="50">
        <v>0</v>
      </c>
      <c r="AT72" s="39">
        <v>100</v>
      </c>
      <c r="AU72" s="39" t="s">
        <v>83</v>
      </c>
      <c r="AV72" s="49">
        <v>10</v>
      </c>
      <c r="AW72" s="39" t="s">
        <v>62</v>
      </c>
      <c r="AX72" s="39">
        <v>10</v>
      </c>
      <c r="AY72" s="30">
        <f>(J72*10)/100</f>
        <v>26564966.899999999</v>
      </c>
      <c r="AZ72" s="42" t="s">
        <v>97</v>
      </c>
    </row>
    <row r="73" spans="1:52" ht="78.75" x14ac:dyDescent="0.25">
      <c r="A73" s="46" t="s">
        <v>616</v>
      </c>
      <c r="B73" s="38">
        <v>45230</v>
      </c>
      <c r="C73" s="39">
        <v>1416</v>
      </c>
      <c r="D73" s="37" t="s">
        <v>617</v>
      </c>
      <c r="E73" s="41" t="s">
        <v>618</v>
      </c>
      <c r="F73" s="38">
        <v>45250</v>
      </c>
      <c r="G73" s="39" t="s">
        <v>619</v>
      </c>
      <c r="H73" s="42" t="s">
        <v>54</v>
      </c>
      <c r="I73" s="42" t="s">
        <v>611</v>
      </c>
      <c r="J73" s="43">
        <v>299436180.30000001</v>
      </c>
      <c r="K73" s="43">
        <v>299436180.30000001</v>
      </c>
      <c r="L73" s="43">
        <v>0</v>
      </c>
      <c r="M73" s="43">
        <v>0</v>
      </c>
      <c r="N73" s="44">
        <f t="shared" si="3"/>
        <v>0</v>
      </c>
      <c r="O73" s="45">
        <f t="shared" si="14"/>
        <v>0</v>
      </c>
      <c r="P73" s="43">
        <v>299436180.30000001</v>
      </c>
      <c r="Q73" s="45">
        <f t="shared" si="5"/>
        <v>0</v>
      </c>
      <c r="R73" s="43">
        <f t="shared" ref="R73:R80" si="15">P73</f>
        <v>299436180.30000001</v>
      </c>
      <c r="S73" s="30">
        <f t="shared" si="13"/>
        <v>299436180.30000001</v>
      </c>
      <c r="T73" s="30">
        <f t="shared" si="6"/>
        <v>299436180.30000001</v>
      </c>
      <c r="U73" s="30">
        <f>T73/X73</f>
        <v>25791.23</v>
      </c>
      <c r="V73" s="43">
        <f>T73/X73</f>
        <v>25791.23</v>
      </c>
      <c r="W73" s="43">
        <f t="shared" si="10"/>
        <v>257912.3</v>
      </c>
      <c r="X73" s="43">
        <v>11610</v>
      </c>
      <c r="Y73" s="43">
        <v>11610</v>
      </c>
      <c r="Z73" s="43">
        <v>0</v>
      </c>
      <c r="AA73" s="43">
        <v>0</v>
      </c>
      <c r="AB73" s="43">
        <v>0</v>
      </c>
      <c r="AC73" s="43">
        <f t="shared" si="11"/>
        <v>0</v>
      </c>
      <c r="AD73" s="43">
        <v>11610</v>
      </c>
      <c r="AE73" s="43">
        <f t="shared" si="12"/>
        <v>299436180.30000001</v>
      </c>
      <c r="AF73" s="43">
        <f t="shared" si="7"/>
        <v>1161</v>
      </c>
      <c r="AG73" s="43">
        <f t="shared" si="8"/>
        <v>1161</v>
      </c>
      <c r="AH73" s="38">
        <v>45301</v>
      </c>
      <c r="AI73" s="38"/>
      <c r="AJ73" s="38"/>
      <c r="AK73" s="38">
        <v>45332</v>
      </c>
      <c r="AL73" s="38"/>
      <c r="AM73" s="48"/>
      <c r="AN73" s="42" t="s">
        <v>620</v>
      </c>
      <c r="AO73" s="42" t="s">
        <v>613</v>
      </c>
      <c r="AP73" s="42" t="s">
        <v>614</v>
      </c>
      <c r="AQ73" s="42" t="s">
        <v>615</v>
      </c>
      <c r="AR73" s="42" t="s">
        <v>94</v>
      </c>
      <c r="AS73" s="50">
        <v>0</v>
      </c>
      <c r="AT73" s="39">
        <v>100</v>
      </c>
      <c r="AU73" s="39" t="s">
        <v>83</v>
      </c>
      <c r="AV73" s="49">
        <v>10</v>
      </c>
      <c r="AW73" s="39" t="s">
        <v>62</v>
      </c>
      <c r="AX73" s="39">
        <v>10</v>
      </c>
      <c r="AY73" s="30">
        <f>(J73*10)/100</f>
        <v>29943618.030000001</v>
      </c>
      <c r="AZ73" s="42" t="s">
        <v>97</v>
      </c>
    </row>
    <row r="74" spans="1:52" ht="220.5" x14ac:dyDescent="0.25">
      <c r="A74" s="46" t="s">
        <v>621</v>
      </c>
      <c r="B74" s="38">
        <v>45230</v>
      </c>
      <c r="C74" s="39">
        <v>1416</v>
      </c>
      <c r="D74" s="37" t="s">
        <v>622</v>
      </c>
      <c r="E74" s="41" t="s">
        <v>623</v>
      </c>
      <c r="F74" s="38">
        <v>45250</v>
      </c>
      <c r="G74" s="39" t="s">
        <v>624</v>
      </c>
      <c r="H74" s="42" t="s">
        <v>54</v>
      </c>
      <c r="I74" s="42" t="s">
        <v>611</v>
      </c>
      <c r="J74" s="43">
        <v>296857057.30000001</v>
      </c>
      <c r="K74" s="43">
        <v>296857057.30000001</v>
      </c>
      <c r="L74" s="43">
        <v>0</v>
      </c>
      <c r="M74" s="43">
        <v>0</v>
      </c>
      <c r="N74" s="44">
        <f t="shared" si="3"/>
        <v>0</v>
      </c>
      <c r="O74" s="45">
        <f t="shared" si="14"/>
        <v>0</v>
      </c>
      <c r="P74" s="43">
        <v>296857057.30000001</v>
      </c>
      <c r="Q74" s="45">
        <f t="shared" si="5"/>
        <v>0</v>
      </c>
      <c r="R74" s="43">
        <f t="shared" si="15"/>
        <v>296857057.30000001</v>
      </c>
      <c r="S74" s="30">
        <f t="shared" si="13"/>
        <v>296857057.30000001</v>
      </c>
      <c r="T74" s="30">
        <f t="shared" si="6"/>
        <v>296857057.30000001</v>
      </c>
      <c r="U74" s="30">
        <f>T74/X74</f>
        <v>25791.23</v>
      </c>
      <c r="V74" s="43">
        <f>T74/X74</f>
        <v>25791.23</v>
      </c>
      <c r="W74" s="43">
        <f t="shared" si="10"/>
        <v>257912.3</v>
      </c>
      <c r="X74" s="43">
        <v>11510</v>
      </c>
      <c r="Y74" s="43">
        <v>11510</v>
      </c>
      <c r="Z74" s="43">
        <v>0</v>
      </c>
      <c r="AA74" s="43">
        <v>0</v>
      </c>
      <c r="AB74" s="43">
        <v>0</v>
      </c>
      <c r="AC74" s="43">
        <f t="shared" si="11"/>
        <v>0</v>
      </c>
      <c r="AD74" s="43">
        <v>11510</v>
      </c>
      <c r="AE74" s="43">
        <f t="shared" si="12"/>
        <v>296857057.30000001</v>
      </c>
      <c r="AF74" s="43">
        <f t="shared" si="7"/>
        <v>1151</v>
      </c>
      <c r="AG74" s="43">
        <f t="shared" si="8"/>
        <v>1151</v>
      </c>
      <c r="AH74" s="38">
        <v>45301</v>
      </c>
      <c r="AI74" s="38"/>
      <c r="AJ74" s="38"/>
      <c r="AK74" s="38">
        <v>45332</v>
      </c>
      <c r="AL74" s="38"/>
      <c r="AM74" s="48"/>
      <c r="AN74" s="42" t="s">
        <v>625</v>
      </c>
      <c r="AO74" s="42" t="s">
        <v>613</v>
      </c>
      <c r="AP74" s="42" t="s">
        <v>614</v>
      </c>
      <c r="AQ74" s="42" t="s">
        <v>615</v>
      </c>
      <c r="AR74" s="42" t="s">
        <v>94</v>
      </c>
      <c r="AS74" s="50">
        <v>0</v>
      </c>
      <c r="AT74" s="39">
        <v>100</v>
      </c>
      <c r="AU74" s="39" t="s">
        <v>83</v>
      </c>
      <c r="AV74" s="49">
        <v>10</v>
      </c>
      <c r="AW74" s="39" t="s">
        <v>62</v>
      </c>
      <c r="AX74" s="39">
        <v>10</v>
      </c>
      <c r="AY74" s="30">
        <f>(J74*10)/100</f>
        <v>29685705.73</v>
      </c>
      <c r="AZ74" s="42" t="s">
        <v>97</v>
      </c>
    </row>
    <row r="75" spans="1:52" ht="204.75" x14ac:dyDescent="0.25">
      <c r="A75" s="46" t="s">
        <v>626</v>
      </c>
      <c r="B75" s="38">
        <v>45230</v>
      </c>
      <c r="C75" s="39">
        <v>1416</v>
      </c>
      <c r="D75" s="37" t="s">
        <v>627</v>
      </c>
      <c r="E75" s="41" t="s">
        <v>628</v>
      </c>
      <c r="F75" s="38">
        <v>45250</v>
      </c>
      <c r="G75" s="39" t="s">
        <v>629</v>
      </c>
      <c r="H75" s="42" t="s">
        <v>54</v>
      </c>
      <c r="I75" s="42" t="s">
        <v>611</v>
      </c>
      <c r="J75" s="43">
        <v>296341232.69999999</v>
      </c>
      <c r="K75" s="43">
        <v>296341232.69999999</v>
      </c>
      <c r="L75" s="43">
        <v>0</v>
      </c>
      <c r="M75" s="43">
        <v>0</v>
      </c>
      <c r="N75" s="44">
        <f t="shared" si="3"/>
        <v>0</v>
      </c>
      <c r="O75" s="45">
        <f t="shared" si="14"/>
        <v>0</v>
      </c>
      <c r="P75" s="43">
        <v>296341232.69999999</v>
      </c>
      <c r="Q75" s="45">
        <f t="shared" si="5"/>
        <v>0</v>
      </c>
      <c r="R75" s="43">
        <f t="shared" si="15"/>
        <v>296341232.69999999</v>
      </c>
      <c r="S75" s="30">
        <f t="shared" si="13"/>
        <v>296341232.69999999</v>
      </c>
      <c r="T75" s="30">
        <f t="shared" si="6"/>
        <v>296341232.69999999</v>
      </c>
      <c r="U75" s="30">
        <f>T75/X75</f>
        <v>25791.23</v>
      </c>
      <c r="V75" s="43">
        <f>T75/X75</f>
        <v>25791.23</v>
      </c>
      <c r="W75" s="43">
        <f t="shared" si="10"/>
        <v>257912.3</v>
      </c>
      <c r="X75" s="43">
        <v>11490</v>
      </c>
      <c r="Y75" s="43">
        <v>11490</v>
      </c>
      <c r="Z75" s="43">
        <v>0</v>
      </c>
      <c r="AA75" s="43">
        <v>0</v>
      </c>
      <c r="AB75" s="43">
        <v>0</v>
      </c>
      <c r="AC75" s="43">
        <f t="shared" si="11"/>
        <v>0</v>
      </c>
      <c r="AD75" s="43">
        <v>11490</v>
      </c>
      <c r="AE75" s="43">
        <f t="shared" si="12"/>
        <v>296341232.69999999</v>
      </c>
      <c r="AF75" s="43">
        <f t="shared" si="7"/>
        <v>1149</v>
      </c>
      <c r="AG75" s="43">
        <f t="shared" si="8"/>
        <v>1149</v>
      </c>
      <c r="AH75" s="38">
        <v>45301</v>
      </c>
      <c r="AI75" s="38"/>
      <c r="AJ75" s="38"/>
      <c r="AK75" s="38">
        <v>45332</v>
      </c>
      <c r="AL75" s="38"/>
      <c r="AM75" s="48"/>
      <c r="AN75" s="42" t="s">
        <v>630</v>
      </c>
      <c r="AO75" s="42" t="s">
        <v>613</v>
      </c>
      <c r="AP75" s="42" t="s">
        <v>614</v>
      </c>
      <c r="AQ75" s="42" t="s">
        <v>615</v>
      </c>
      <c r="AR75" s="42" t="s">
        <v>94</v>
      </c>
      <c r="AS75" s="50">
        <v>0</v>
      </c>
      <c r="AT75" s="39">
        <v>100</v>
      </c>
      <c r="AU75" s="39" t="s">
        <v>83</v>
      </c>
      <c r="AV75" s="49">
        <v>10</v>
      </c>
      <c r="AW75" s="39" t="s">
        <v>62</v>
      </c>
      <c r="AX75" s="39">
        <v>10</v>
      </c>
      <c r="AY75" s="30">
        <f>(J75*10)/100</f>
        <v>29634123.27</v>
      </c>
      <c r="AZ75" s="42" t="s">
        <v>97</v>
      </c>
    </row>
    <row r="76" spans="1:52" ht="78.75" x14ac:dyDescent="0.25">
      <c r="A76" s="46" t="s">
        <v>631</v>
      </c>
      <c r="B76" s="38">
        <v>45230</v>
      </c>
      <c r="C76" s="39">
        <v>1416</v>
      </c>
      <c r="D76" s="37" t="s">
        <v>632</v>
      </c>
      <c r="E76" s="41" t="s">
        <v>633</v>
      </c>
      <c r="F76" s="38">
        <v>45250</v>
      </c>
      <c r="G76" s="39" t="s">
        <v>634</v>
      </c>
      <c r="H76" s="42" t="s">
        <v>54</v>
      </c>
      <c r="I76" s="42" t="s">
        <v>611</v>
      </c>
      <c r="J76" s="43">
        <v>291698811.30000001</v>
      </c>
      <c r="K76" s="43">
        <v>291698811.30000001</v>
      </c>
      <c r="L76" s="43">
        <v>0</v>
      </c>
      <c r="M76" s="43">
        <v>0</v>
      </c>
      <c r="N76" s="44">
        <f t="shared" si="3"/>
        <v>0</v>
      </c>
      <c r="O76" s="45">
        <f t="shared" si="14"/>
        <v>0</v>
      </c>
      <c r="P76" s="43">
        <v>291698811.30000001</v>
      </c>
      <c r="Q76" s="45">
        <f t="shared" si="5"/>
        <v>0</v>
      </c>
      <c r="R76" s="43">
        <f t="shared" si="15"/>
        <v>291698811.30000001</v>
      </c>
      <c r="S76" s="30">
        <f t="shared" si="13"/>
        <v>291698811.30000001</v>
      </c>
      <c r="T76" s="30">
        <f t="shared" si="6"/>
        <v>291698811.30000001</v>
      </c>
      <c r="U76" s="30">
        <f>T76/X76</f>
        <v>25791.23</v>
      </c>
      <c r="V76" s="43">
        <f>T76/X76</f>
        <v>25791.23</v>
      </c>
      <c r="W76" s="43">
        <f t="shared" si="10"/>
        <v>257912.3</v>
      </c>
      <c r="X76" s="43">
        <v>11310</v>
      </c>
      <c r="Y76" s="43">
        <v>11310</v>
      </c>
      <c r="Z76" s="43">
        <v>0</v>
      </c>
      <c r="AA76" s="43">
        <v>0</v>
      </c>
      <c r="AB76" s="43">
        <v>0</v>
      </c>
      <c r="AC76" s="43">
        <f t="shared" si="11"/>
        <v>0</v>
      </c>
      <c r="AD76" s="43">
        <v>11310</v>
      </c>
      <c r="AE76" s="43">
        <f t="shared" si="12"/>
        <v>291698811.30000001</v>
      </c>
      <c r="AF76" s="43">
        <f t="shared" si="7"/>
        <v>1131</v>
      </c>
      <c r="AG76" s="43">
        <f t="shared" si="8"/>
        <v>1131</v>
      </c>
      <c r="AH76" s="38">
        <v>45301</v>
      </c>
      <c r="AI76" s="38"/>
      <c r="AJ76" s="38"/>
      <c r="AK76" s="38">
        <v>45332</v>
      </c>
      <c r="AL76" s="38"/>
      <c r="AM76" s="48"/>
      <c r="AN76" s="42" t="s">
        <v>635</v>
      </c>
      <c r="AO76" s="42" t="s">
        <v>613</v>
      </c>
      <c r="AP76" s="42" t="s">
        <v>614</v>
      </c>
      <c r="AQ76" s="42" t="s">
        <v>615</v>
      </c>
      <c r="AR76" s="42" t="s">
        <v>94</v>
      </c>
      <c r="AS76" s="50">
        <v>0</v>
      </c>
      <c r="AT76" s="39">
        <v>100</v>
      </c>
      <c r="AU76" s="39" t="s">
        <v>83</v>
      </c>
      <c r="AV76" s="49">
        <v>10</v>
      </c>
      <c r="AW76" s="39" t="s">
        <v>62</v>
      </c>
      <c r="AX76" s="39">
        <v>10</v>
      </c>
      <c r="AY76" s="30">
        <f>(J76*10)/100</f>
        <v>29169881.129999999</v>
      </c>
      <c r="AZ76" s="42" t="s">
        <v>636</v>
      </c>
    </row>
    <row r="77" spans="1:52" ht="173.25" x14ac:dyDescent="0.25">
      <c r="A77" s="46" t="s">
        <v>637</v>
      </c>
      <c r="B77" s="38">
        <v>45230</v>
      </c>
      <c r="C77" s="39">
        <v>1416</v>
      </c>
      <c r="D77" s="37" t="s">
        <v>638</v>
      </c>
      <c r="E77" s="41" t="s">
        <v>639</v>
      </c>
      <c r="F77" s="38">
        <v>45250</v>
      </c>
      <c r="G77" s="39" t="s">
        <v>640</v>
      </c>
      <c r="H77" s="42" t="s">
        <v>54</v>
      </c>
      <c r="I77" s="42" t="s">
        <v>611</v>
      </c>
      <c r="J77" s="43">
        <v>291440899</v>
      </c>
      <c r="K77" s="43">
        <v>291440899</v>
      </c>
      <c r="L77" s="43">
        <v>0</v>
      </c>
      <c r="M77" s="43">
        <v>0</v>
      </c>
      <c r="N77" s="44">
        <f t="shared" si="3"/>
        <v>0</v>
      </c>
      <c r="O77" s="45">
        <f t="shared" si="14"/>
        <v>0</v>
      </c>
      <c r="P77" s="43">
        <v>291440899</v>
      </c>
      <c r="Q77" s="45">
        <f t="shared" si="5"/>
        <v>0</v>
      </c>
      <c r="R77" s="43">
        <f t="shared" si="15"/>
        <v>291440899</v>
      </c>
      <c r="S77" s="30">
        <f t="shared" si="13"/>
        <v>291440899</v>
      </c>
      <c r="T77" s="30">
        <f t="shared" si="6"/>
        <v>291440899</v>
      </c>
      <c r="U77" s="30">
        <f>T77/X77</f>
        <v>25791.23</v>
      </c>
      <c r="V77" s="43">
        <f>T77/X77</f>
        <v>25791.23</v>
      </c>
      <c r="W77" s="43">
        <f t="shared" si="10"/>
        <v>257912.3</v>
      </c>
      <c r="X77" s="43">
        <v>11300</v>
      </c>
      <c r="Y77" s="43">
        <v>11300</v>
      </c>
      <c r="Z77" s="43">
        <v>0</v>
      </c>
      <c r="AA77" s="43">
        <v>0</v>
      </c>
      <c r="AB77" s="43">
        <v>0</v>
      </c>
      <c r="AC77" s="43">
        <f t="shared" si="11"/>
        <v>0</v>
      </c>
      <c r="AD77" s="43">
        <v>11300</v>
      </c>
      <c r="AE77" s="43">
        <f t="shared" si="12"/>
        <v>291440899</v>
      </c>
      <c r="AF77" s="43">
        <f t="shared" si="7"/>
        <v>1130</v>
      </c>
      <c r="AG77" s="43">
        <f t="shared" si="8"/>
        <v>1130</v>
      </c>
      <c r="AH77" s="38">
        <v>45301</v>
      </c>
      <c r="AI77" s="38"/>
      <c r="AJ77" s="38"/>
      <c r="AK77" s="38">
        <v>45332</v>
      </c>
      <c r="AL77" s="38"/>
      <c r="AM77" s="48"/>
      <c r="AN77" s="42" t="s">
        <v>641</v>
      </c>
      <c r="AO77" s="42" t="s">
        <v>613</v>
      </c>
      <c r="AP77" s="42" t="s">
        <v>614</v>
      </c>
      <c r="AQ77" s="42" t="s">
        <v>615</v>
      </c>
      <c r="AR77" s="42" t="s">
        <v>94</v>
      </c>
      <c r="AS77" s="50">
        <v>0</v>
      </c>
      <c r="AT77" s="39">
        <v>100</v>
      </c>
      <c r="AU77" s="39" t="s">
        <v>83</v>
      </c>
      <c r="AV77" s="49">
        <v>10</v>
      </c>
      <c r="AW77" s="39" t="s">
        <v>62</v>
      </c>
      <c r="AX77" s="39">
        <v>10</v>
      </c>
      <c r="AY77" s="30">
        <f>(J77*10)/100</f>
        <v>29144089.899999999</v>
      </c>
      <c r="AZ77" s="42" t="s">
        <v>636</v>
      </c>
    </row>
    <row r="78" spans="1:52" ht="78.75" x14ac:dyDescent="0.25">
      <c r="A78" s="46" t="s">
        <v>642</v>
      </c>
      <c r="B78" s="38">
        <v>45230</v>
      </c>
      <c r="C78" s="39">
        <v>1416</v>
      </c>
      <c r="D78" s="37" t="s">
        <v>643</v>
      </c>
      <c r="E78" s="41" t="s">
        <v>644</v>
      </c>
      <c r="F78" s="38">
        <v>45250</v>
      </c>
      <c r="G78" s="39" t="s">
        <v>645</v>
      </c>
      <c r="H78" s="42" t="s">
        <v>54</v>
      </c>
      <c r="I78" s="42" t="s">
        <v>611</v>
      </c>
      <c r="J78" s="43">
        <v>295051671.19999999</v>
      </c>
      <c r="K78" s="43">
        <v>295051671.19999999</v>
      </c>
      <c r="L78" s="43">
        <v>0</v>
      </c>
      <c r="M78" s="43">
        <v>0</v>
      </c>
      <c r="N78" s="44">
        <f t="shared" si="3"/>
        <v>0</v>
      </c>
      <c r="O78" s="45">
        <f t="shared" si="14"/>
        <v>0</v>
      </c>
      <c r="P78" s="43">
        <v>295051671.19999999</v>
      </c>
      <c r="Q78" s="45">
        <f t="shared" si="5"/>
        <v>0</v>
      </c>
      <c r="R78" s="43">
        <f t="shared" si="15"/>
        <v>295051671.19999999</v>
      </c>
      <c r="S78" s="30">
        <f t="shared" si="13"/>
        <v>295051671.19999999</v>
      </c>
      <c r="T78" s="30">
        <f t="shared" si="6"/>
        <v>295051671.19999999</v>
      </c>
      <c r="U78" s="30">
        <f>T78/X78</f>
        <v>25791.23</v>
      </c>
      <c r="V78" s="43">
        <f>T78/X78</f>
        <v>25791.23</v>
      </c>
      <c r="W78" s="43">
        <f t="shared" si="10"/>
        <v>257912.3</v>
      </c>
      <c r="X78" s="43">
        <v>11440</v>
      </c>
      <c r="Y78" s="43">
        <v>11440</v>
      </c>
      <c r="Z78" s="43">
        <v>0</v>
      </c>
      <c r="AA78" s="43">
        <v>0</v>
      </c>
      <c r="AB78" s="43">
        <v>0</v>
      </c>
      <c r="AC78" s="43">
        <f t="shared" si="11"/>
        <v>0</v>
      </c>
      <c r="AD78" s="43">
        <v>11440</v>
      </c>
      <c r="AE78" s="43">
        <f t="shared" si="12"/>
        <v>295051671.19999999</v>
      </c>
      <c r="AF78" s="43">
        <f t="shared" si="7"/>
        <v>1144</v>
      </c>
      <c r="AG78" s="43">
        <f t="shared" si="8"/>
        <v>1144</v>
      </c>
      <c r="AH78" s="38">
        <v>45301</v>
      </c>
      <c r="AI78" s="38"/>
      <c r="AJ78" s="38"/>
      <c r="AK78" s="38">
        <v>45332</v>
      </c>
      <c r="AL78" s="38"/>
      <c r="AM78" s="48"/>
      <c r="AN78" s="42" t="s">
        <v>646</v>
      </c>
      <c r="AO78" s="42" t="s">
        <v>613</v>
      </c>
      <c r="AP78" s="42" t="s">
        <v>614</v>
      </c>
      <c r="AQ78" s="42" t="s">
        <v>615</v>
      </c>
      <c r="AR78" s="42" t="s">
        <v>94</v>
      </c>
      <c r="AS78" s="50">
        <v>0</v>
      </c>
      <c r="AT78" s="39">
        <v>100</v>
      </c>
      <c r="AU78" s="39" t="s">
        <v>83</v>
      </c>
      <c r="AV78" s="49">
        <v>10</v>
      </c>
      <c r="AW78" s="39" t="s">
        <v>62</v>
      </c>
      <c r="AX78" s="39">
        <v>10</v>
      </c>
      <c r="AY78" s="30">
        <f>(J78*10)/100</f>
        <v>29505167.120000001</v>
      </c>
      <c r="AZ78" s="42" t="s">
        <v>636</v>
      </c>
    </row>
    <row r="79" spans="1:52" ht="252" x14ac:dyDescent="0.25">
      <c r="A79" s="46" t="s">
        <v>647</v>
      </c>
      <c r="B79" s="38">
        <v>45230</v>
      </c>
      <c r="C79" s="39">
        <v>1416</v>
      </c>
      <c r="D79" s="37" t="s">
        <v>648</v>
      </c>
      <c r="E79" s="41" t="s">
        <v>649</v>
      </c>
      <c r="F79" s="38">
        <v>45250</v>
      </c>
      <c r="G79" s="39" t="s">
        <v>650</v>
      </c>
      <c r="H79" s="42" t="s">
        <v>54</v>
      </c>
      <c r="I79" s="42" t="s">
        <v>611</v>
      </c>
      <c r="J79" s="43">
        <v>195755435.69999999</v>
      </c>
      <c r="K79" s="43">
        <v>195755435.69999999</v>
      </c>
      <c r="L79" s="43">
        <v>0</v>
      </c>
      <c r="M79" s="43">
        <v>0</v>
      </c>
      <c r="N79" s="44">
        <f t="shared" si="3"/>
        <v>0</v>
      </c>
      <c r="O79" s="45">
        <f t="shared" si="14"/>
        <v>0</v>
      </c>
      <c r="P79" s="43">
        <v>195755435.69999999</v>
      </c>
      <c r="Q79" s="45">
        <f t="shared" si="5"/>
        <v>0</v>
      </c>
      <c r="R79" s="43">
        <f t="shared" si="15"/>
        <v>195755435.69999999</v>
      </c>
      <c r="S79" s="30">
        <f t="shared" si="13"/>
        <v>195755435.69999999</v>
      </c>
      <c r="T79" s="30">
        <f t="shared" si="6"/>
        <v>195755435.69999999</v>
      </c>
      <c r="U79" s="30">
        <f>T79/X79</f>
        <v>25791.23</v>
      </c>
      <c r="V79" s="43">
        <f>T79/X79</f>
        <v>25791.23</v>
      </c>
      <c r="W79" s="43">
        <f t="shared" si="10"/>
        <v>257912.3</v>
      </c>
      <c r="X79" s="43">
        <v>7590</v>
      </c>
      <c r="Y79" s="43">
        <v>7590</v>
      </c>
      <c r="Z79" s="43">
        <v>0</v>
      </c>
      <c r="AA79" s="43">
        <v>0</v>
      </c>
      <c r="AB79" s="43">
        <v>0</v>
      </c>
      <c r="AC79" s="43">
        <f t="shared" si="11"/>
        <v>0</v>
      </c>
      <c r="AD79" s="43">
        <v>7590</v>
      </c>
      <c r="AE79" s="43">
        <f t="shared" si="12"/>
        <v>195755435.69999999</v>
      </c>
      <c r="AF79" s="43">
        <f t="shared" si="7"/>
        <v>759</v>
      </c>
      <c r="AG79" s="43">
        <f t="shared" si="8"/>
        <v>759</v>
      </c>
      <c r="AH79" s="38">
        <v>45301</v>
      </c>
      <c r="AI79" s="38"/>
      <c r="AJ79" s="38"/>
      <c r="AK79" s="38">
        <v>45332</v>
      </c>
      <c r="AL79" s="38"/>
      <c r="AM79" s="48"/>
      <c r="AN79" s="42" t="s">
        <v>651</v>
      </c>
      <c r="AO79" s="42" t="s">
        <v>613</v>
      </c>
      <c r="AP79" s="42" t="s">
        <v>614</v>
      </c>
      <c r="AQ79" s="42" t="s">
        <v>615</v>
      </c>
      <c r="AR79" s="42" t="s">
        <v>94</v>
      </c>
      <c r="AS79" s="50">
        <v>0</v>
      </c>
      <c r="AT79" s="39">
        <v>100</v>
      </c>
      <c r="AU79" s="39" t="s">
        <v>83</v>
      </c>
      <c r="AV79" s="49">
        <v>10</v>
      </c>
      <c r="AW79" s="39" t="s">
        <v>62</v>
      </c>
      <c r="AX79" s="39">
        <v>10</v>
      </c>
      <c r="AY79" s="30">
        <f>(J79*10)/100</f>
        <v>19575543.57</v>
      </c>
      <c r="AZ79" s="42" t="s">
        <v>636</v>
      </c>
    </row>
    <row r="80" spans="1:52" ht="69" customHeight="1" x14ac:dyDescent="0.25">
      <c r="A80" s="46" t="s">
        <v>652</v>
      </c>
      <c r="B80" s="38">
        <v>45230</v>
      </c>
      <c r="C80" s="39">
        <v>1416</v>
      </c>
      <c r="D80" s="37" t="s">
        <v>653</v>
      </c>
      <c r="E80" s="41" t="s">
        <v>654</v>
      </c>
      <c r="F80" s="38">
        <v>45250</v>
      </c>
      <c r="G80" s="39" t="s">
        <v>655</v>
      </c>
      <c r="H80" s="42" t="s">
        <v>54</v>
      </c>
      <c r="I80" s="42" t="s">
        <v>611</v>
      </c>
      <c r="J80" s="43">
        <v>279576933.19999999</v>
      </c>
      <c r="K80" s="43">
        <v>279576933.19999999</v>
      </c>
      <c r="L80" s="43">
        <v>0</v>
      </c>
      <c r="M80" s="43">
        <v>0</v>
      </c>
      <c r="N80" s="44">
        <f t="shared" si="3"/>
        <v>0</v>
      </c>
      <c r="O80" s="45">
        <f t="shared" si="14"/>
        <v>0</v>
      </c>
      <c r="P80" s="43">
        <v>279576933.19999999</v>
      </c>
      <c r="Q80" s="45">
        <f t="shared" si="5"/>
        <v>0</v>
      </c>
      <c r="R80" s="43">
        <f t="shared" si="15"/>
        <v>279576933.19999999</v>
      </c>
      <c r="S80" s="30">
        <f t="shared" si="13"/>
        <v>279576933.19999999</v>
      </c>
      <c r="T80" s="30">
        <f t="shared" si="6"/>
        <v>279576933.19999999</v>
      </c>
      <c r="U80" s="30">
        <f>T80/X80</f>
        <v>25791.23</v>
      </c>
      <c r="V80" s="43">
        <f>T80/X80</f>
        <v>25791.23</v>
      </c>
      <c r="W80" s="43">
        <f t="shared" si="10"/>
        <v>257912.3</v>
      </c>
      <c r="X80" s="43">
        <v>10840</v>
      </c>
      <c r="Y80" s="43">
        <v>10840</v>
      </c>
      <c r="Z80" s="43">
        <v>0</v>
      </c>
      <c r="AA80" s="43">
        <v>0</v>
      </c>
      <c r="AB80" s="43">
        <v>0</v>
      </c>
      <c r="AC80" s="43">
        <f t="shared" si="11"/>
        <v>0</v>
      </c>
      <c r="AD80" s="43">
        <v>10840</v>
      </c>
      <c r="AE80" s="43">
        <f t="shared" si="12"/>
        <v>279576933.19999999</v>
      </c>
      <c r="AF80" s="43">
        <f t="shared" si="7"/>
        <v>1084</v>
      </c>
      <c r="AG80" s="43">
        <f t="shared" si="8"/>
        <v>1084</v>
      </c>
      <c r="AH80" s="38">
        <v>45301</v>
      </c>
      <c r="AI80" s="38"/>
      <c r="AJ80" s="38"/>
      <c r="AK80" s="38">
        <v>45332</v>
      </c>
      <c r="AL80" s="38"/>
      <c r="AM80" s="48"/>
      <c r="AN80" s="42" t="s">
        <v>656</v>
      </c>
      <c r="AO80" s="42" t="s">
        <v>613</v>
      </c>
      <c r="AP80" s="42" t="s">
        <v>614</v>
      </c>
      <c r="AQ80" s="42" t="s">
        <v>615</v>
      </c>
      <c r="AR80" s="42" t="s">
        <v>94</v>
      </c>
      <c r="AS80" s="50">
        <v>0</v>
      </c>
      <c r="AT80" s="39">
        <v>100</v>
      </c>
      <c r="AU80" s="39" t="s">
        <v>83</v>
      </c>
      <c r="AV80" s="49">
        <v>10</v>
      </c>
      <c r="AW80" s="39" t="s">
        <v>62</v>
      </c>
      <c r="AX80" s="39">
        <v>10</v>
      </c>
      <c r="AY80" s="30">
        <f>(J80*10)/100</f>
        <v>27957693.32</v>
      </c>
      <c r="AZ80" s="42" t="s">
        <v>636</v>
      </c>
    </row>
    <row r="81" spans="1:52" ht="69" customHeight="1" x14ac:dyDescent="0.25">
      <c r="A81" s="46" t="s">
        <v>657</v>
      </c>
      <c r="B81" s="48">
        <v>45237</v>
      </c>
      <c r="C81" s="42">
        <v>545</v>
      </c>
      <c r="D81" s="37" t="s">
        <v>658</v>
      </c>
      <c r="E81" s="41" t="s">
        <v>659</v>
      </c>
      <c r="F81" s="38">
        <v>45258</v>
      </c>
      <c r="G81" s="39" t="s">
        <v>660</v>
      </c>
      <c r="H81" s="42" t="s">
        <v>271</v>
      </c>
      <c r="I81" s="42" t="s">
        <v>594</v>
      </c>
      <c r="J81" s="56">
        <v>13158732.6</v>
      </c>
      <c r="K81" s="56">
        <v>13158732.6</v>
      </c>
      <c r="L81" s="43">
        <v>0</v>
      </c>
      <c r="M81" s="43">
        <v>0</v>
      </c>
      <c r="N81" s="44">
        <f t="shared" si="3"/>
        <v>0</v>
      </c>
      <c r="O81" s="45">
        <f t="shared" si="14"/>
        <v>0</v>
      </c>
      <c r="P81" s="43">
        <v>13158732.6</v>
      </c>
      <c r="Q81" s="45">
        <f t="shared" si="5"/>
        <v>0</v>
      </c>
      <c r="R81" s="43">
        <v>13158732.6</v>
      </c>
      <c r="S81" s="30">
        <v>16788727.800000001</v>
      </c>
      <c r="T81" s="30">
        <f t="shared" si="6"/>
        <v>16788727.800000001</v>
      </c>
      <c r="U81" s="30">
        <f>T81/X81</f>
        <v>5041.66</v>
      </c>
      <c r="V81" s="43">
        <f>T81/X81</f>
        <v>5041.66</v>
      </c>
      <c r="W81" s="43">
        <f t="shared" si="10"/>
        <v>453749.39999999997</v>
      </c>
      <c r="X81" s="43">
        <v>3330</v>
      </c>
      <c r="Y81" s="43">
        <v>1530</v>
      </c>
      <c r="Z81" s="43">
        <v>1800</v>
      </c>
      <c r="AA81" s="43">
        <v>0</v>
      </c>
      <c r="AB81" s="43"/>
      <c r="AC81" s="43">
        <f t="shared" si="11"/>
        <v>0</v>
      </c>
      <c r="AD81" s="43"/>
      <c r="AE81" s="43">
        <f t="shared" si="12"/>
        <v>0</v>
      </c>
      <c r="AF81" s="43">
        <f t="shared" si="7"/>
        <v>37</v>
      </c>
      <c r="AG81" s="43">
        <f t="shared" si="8"/>
        <v>37</v>
      </c>
      <c r="AH81" s="38">
        <v>45322</v>
      </c>
      <c r="AI81" s="38">
        <v>45352</v>
      </c>
      <c r="AJ81" s="38"/>
      <c r="AK81" s="38">
        <v>45382</v>
      </c>
      <c r="AL81" s="38">
        <v>45383</v>
      </c>
      <c r="AM81" s="48"/>
      <c r="AN81" s="42" t="s">
        <v>323</v>
      </c>
      <c r="AO81" s="42" t="s">
        <v>661</v>
      </c>
      <c r="AP81" s="42" t="s">
        <v>662</v>
      </c>
      <c r="AQ81" s="42" t="s">
        <v>663</v>
      </c>
      <c r="AR81" s="42" t="s">
        <v>388</v>
      </c>
      <c r="AS81" s="50">
        <v>0</v>
      </c>
      <c r="AT81" s="39">
        <v>100</v>
      </c>
      <c r="AU81" s="39" t="s">
        <v>389</v>
      </c>
      <c r="AV81" s="49">
        <v>90</v>
      </c>
      <c r="AW81" s="39" t="s">
        <v>62</v>
      </c>
      <c r="AX81" s="39">
        <v>10</v>
      </c>
      <c r="AY81" s="30">
        <f>(J81*10)/100</f>
        <v>1315873.26</v>
      </c>
      <c r="AZ81" s="42" t="s">
        <v>328</v>
      </c>
    </row>
    <row r="82" spans="1:52" ht="69" customHeight="1" x14ac:dyDescent="0.25">
      <c r="A82" s="46" t="s">
        <v>664</v>
      </c>
      <c r="B82" s="48">
        <v>45239</v>
      </c>
      <c r="C82" s="42">
        <v>545</v>
      </c>
      <c r="D82" s="37" t="s">
        <v>434</v>
      </c>
      <c r="E82" s="42"/>
      <c r="F82" s="38" t="s">
        <v>434</v>
      </c>
      <c r="G82" s="39" t="s">
        <v>434</v>
      </c>
      <c r="H82" s="42" t="s">
        <v>434</v>
      </c>
      <c r="I82" s="42" t="s">
        <v>665</v>
      </c>
      <c r="J82" s="56">
        <v>4595525000</v>
      </c>
      <c r="K82" s="56">
        <v>4595525000</v>
      </c>
      <c r="L82" s="56"/>
      <c r="M82" s="56"/>
      <c r="N82" s="44">
        <f t="shared" si="3"/>
        <v>100</v>
      </c>
      <c r="O82" s="45">
        <f t="shared" si="14"/>
        <v>4595525000</v>
      </c>
      <c r="P82" s="43"/>
      <c r="Q82" s="45">
        <f t="shared" si="5"/>
        <v>4595525000</v>
      </c>
      <c r="R82" s="43">
        <v>0</v>
      </c>
      <c r="S82" s="30">
        <f t="shared" ref="S82:S91" si="16">R82</f>
        <v>0</v>
      </c>
      <c r="T82" s="30">
        <f t="shared" si="6"/>
        <v>0</v>
      </c>
      <c r="U82" s="30" t="e">
        <f>T82/X82</f>
        <v>#DIV/0!</v>
      </c>
      <c r="V82" s="43" t="e">
        <f>T82/X82</f>
        <v>#DIV/0!</v>
      </c>
      <c r="W82" s="43" t="e">
        <f t="shared" si="10"/>
        <v>#DIV/0!</v>
      </c>
      <c r="X82" s="43">
        <v>0</v>
      </c>
      <c r="Y82" s="43">
        <v>0</v>
      </c>
      <c r="Z82" s="43">
        <v>0</v>
      </c>
      <c r="AA82" s="43">
        <v>0</v>
      </c>
      <c r="AB82" s="43"/>
      <c r="AC82" s="43" t="e">
        <f t="shared" si="11"/>
        <v>#DIV/0!</v>
      </c>
      <c r="AD82" s="43"/>
      <c r="AE82" s="43" t="e">
        <f t="shared" si="12"/>
        <v>#DIV/0!</v>
      </c>
      <c r="AF82" s="43" t="e">
        <f t="shared" si="7"/>
        <v>#DIV/0!</v>
      </c>
      <c r="AG82" s="43" t="e">
        <f t="shared" si="8"/>
        <v>#DIV/0!</v>
      </c>
      <c r="AH82" s="38">
        <v>45657</v>
      </c>
      <c r="AI82" s="38"/>
      <c r="AJ82" s="38"/>
      <c r="AK82" s="38"/>
      <c r="AL82" s="38"/>
      <c r="AM82" s="48"/>
      <c r="AN82" s="42"/>
      <c r="AO82" s="42"/>
      <c r="AP82" s="42"/>
      <c r="AQ82" s="42"/>
      <c r="AR82" s="42"/>
      <c r="AS82" s="50"/>
      <c r="AT82" s="39"/>
      <c r="AU82" s="39"/>
      <c r="AV82" s="49"/>
      <c r="AW82" s="39"/>
      <c r="AX82" s="39">
        <v>10</v>
      </c>
      <c r="AY82" s="30">
        <f>(J82*10)/100</f>
        <v>459552500</v>
      </c>
      <c r="AZ82" s="42" t="s">
        <v>434</v>
      </c>
    </row>
    <row r="83" spans="1:52" ht="69" customHeight="1" x14ac:dyDescent="0.25">
      <c r="A83" s="46" t="s">
        <v>666</v>
      </c>
      <c r="B83" s="48">
        <v>45243</v>
      </c>
      <c r="C83" s="42">
        <v>1416</v>
      </c>
      <c r="D83" s="37" t="s">
        <v>667</v>
      </c>
      <c r="E83" s="41" t="s">
        <v>668</v>
      </c>
      <c r="F83" s="38">
        <v>45264</v>
      </c>
      <c r="G83" s="39" t="s">
        <v>669</v>
      </c>
      <c r="H83" s="42" t="s">
        <v>670</v>
      </c>
      <c r="I83" s="42" t="s">
        <v>671</v>
      </c>
      <c r="J83" s="56">
        <v>5403201.5</v>
      </c>
      <c r="K83" s="56">
        <v>5403201.5</v>
      </c>
      <c r="L83" s="56">
        <v>0</v>
      </c>
      <c r="M83" s="56">
        <v>0</v>
      </c>
      <c r="N83" s="44">
        <f t="shared" si="3"/>
        <v>13.501400974959019</v>
      </c>
      <c r="O83" s="45">
        <f t="shared" si="14"/>
        <v>729507.90000000037</v>
      </c>
      <c r="P83" s="43">
        <v>4673693.5999999996</v>
      </c>
      <c r="Q83" s="45">
        <f t="shared" si="5"/>
        <v>729507.90000000037</v>
      </c>
      <c r="R83" s="43">
        <v>4673693.5999999996</v>
      </c>
      <c r="S83" s="30">
        <f t="shared" si="16"/>
        <v>4673693.5999999996</v>
      </c>
      <c r="T83" s="30">
        <f t="shared" si="6"/>
        <v>4673693.5999999996</v>
      </c>
      <c r="U83" s="30">
        <f>T83/X83</f>
        <v>557.71999999999991</v>
      </c>
      <c r="V83" s="43">
        <f>T83/X83</f>
        <v>557.71999999999991</v>
      </c>
      <c r="W83" s="43">
        <f t="shared" si="10"/>
        <v>11154.399999999998</v>
      </c>
      <c r="X83" s="43">
        <v>8380</v>
      </c>
      <c r="Y83" s="43">
        <v>8380</v>
      </c>
      <c r="Z83" s="43">
        <v>0</v>
      </c>
      <c r="AA83" s="43">
        <v>0</v>
      </c>
      <c r="AB83" s="43">
        <v>0</v>
      </c>
      <c r="AC83" s="43">
        <f t="shared" si="11"/>
        <v>0</v>
      </c>
      <c r="AD83" s="43">
        <v>8380</v>
      </c>
      <c r="AE83" s="43">
        <f t="shared" si="12"/>
        <v>4673693.5999999996</v>
      </c>
      <c r="AF83" s="43">
        <f t="shared" si="7"/>
        <v>419</v>
      </c>
      <c r="AG83" s="43">
        <f t="shared" si="8"/>
        <v>419</v>
      </c>
      <c r="AH83" s="38">
        <v>45301</v>
      </c>
      <c r="AI83" s="38"/>
      <c r="AJ83" s="38"/>
      <c r="AK83" s="38">
        <v>45332</v>
      </c>
      <c r="AL83" s="38"/>
      <c r="AM83" s="48"/>
      <c r="AN83" s="42"/>
      <c r="AO83" s="42" t="s">
        <v>672</v>
      </c>
      <c r="AP83" s="42" t="s">
        <v>673</v>
      </c>
      <c r="AQ83" s="42" t="s">
        <v>674</v>
      </c>
      <c r="AR83" s="42" t="s">
        <v>82</v>
      </c>
      <c r="AS83" s="50">
        <v>100</v>
      </c>
      <c r="AT83" s="39">
        <v>0</v>
      </c>
      <c r="AU83" s="39" t="s">
        <v>83</v>
      </c>
      <c r="AV83" s="49">
        <v>20</v>
      </c>
      <c r="AW83" s="39" t="s">
        <v>62</v>
      </c>
      <c r="AX83" s="39">
        <v>10</v>
      </c>
      <c r="AY83" s="30">
        <f>(J83*10)/100</f>
        <v>540320.15</v>
      </c>
      <c r="AZ83" s="42" t="s">
        <v>97</v>
      </c>
    </row>
    <row r="84" spans="1:52" ht="69" customHeight="1" x14ac:dyDescent="0.25">
      <c r="A84" s="46" t="s">
        <v>675</v>
      </c>
      <c r="B84" s="48">
        <v>45243</v>
      </c>
      <c r="C84" s="42">
        <v>1416</v>
      </c>
      <c r="D84" s="37" t="s">
        <v>676</v>
      </c>
      <c r="E84" s="41" t="s">
        <v>677</v>
      </c>
      <c r="F84" s="38">
        <v>45264</v>
      </c>
      <c r="G84" s="39" t="s">
        <v>678</v>
      </c>
      <c r="H84" s="42" t="s">
        <v>679</v>
      </c>
      <c r="I84" s="42" t="s">
        <v>680</v>
      </c>
      <c r="J84" s="56">
        <v>4459520</v>
      </c>
      <c r="K84" s="56">
        <v>4459520</v>
      </c>
      <c r="L84" s="56">
        <v>0</v>
      </c>
      <c r="M84" s="56">
        <v>0</v>
      </c>
      <c r="N84" s="44">
        <f t="shared" si="3"/>
        <v>0</v>
      </c>
      <c r="O84" s="45">
        <f t="shared" si="14"/>
        <v>0</v>
      </c>
      <c r="P84" s="43">
        <v>4459520</v>
      </c>
      <c r="Q84" s="45">
        <f t="shared" si="5"/>
        <v>0</v>
      </c>
      <c r="R84" s="43">
        <v>4459520</v>
      </c>
      <c r="S84" s="30">
        <f t="shared" si="16"/>
        <v>4459520</v>
      </c>
      <c r="T84" s="30">
        <f t="shared" si="6"/>
        <v>4459520</v>
      </c>
      <c r="U84" s="30">
        <f>T84/X84</f>
        <v>10.72</v>
      </c>
      <c r="V84" s="43">
        <f>T84/X84</f>
        <v>10.72</v>
      </c>
      <c r="W84" s="43" t="e">
        <f t="shared" si="10"/>
        <v>#VALUE!</v>
      </c>
      <c r="X84" s="43">
        <v>416000</v>
      </c>
      <c r="Y84" s="43">
        <v>416000</v>
      </c>
      <c r="Z84" s="43">
        <v>0</v>
      </c>
      <c r="AA84" s="43">
        <v>0</v>
      </c>
      <c r="AB84" s="43">
        <v>0</v>
      </c>
      <c r="AC84" s="43">
        <f t="shared" si="11"/>
        <v>0</v>
      </c>
      <c r="AD84" s="43">
        <v>416000</v>
      </c>
      <c r="AE84" s="43">
        <f t="shared" si="12"/>
        <v>4459520</v>
      </c>
      <c r="AF84" s="43" t="e">
        <f t="shared" si="7"/>
        <v>#VALUE!</v>
      </c>
      <c r="AG84" s="43" t="e">
        <f t="shared" si="8"/>
        <v>#VALUE!</v>
      </c>
      <c r="AH84" s="38">
        <v>45301</v>
      </c>
      <c r="AI84" s="38"/>
      <c r="AJ84" s="38"/>
      <c r="AK84" s="38">
        <v>45332</v>
      </c>
      <c r="AL84" s="38"/>
      <c r="AM84" s="48"/>
      <c r="AN84" s="42"/>
      <c r="AO84" s="42" t="s">
        <v>681</v>
      </c>
      <c r="AP84" s="42" t="s">
        <v>682</v>
      </c>
      <c r="AQ84" s="42" t="s">
        <v>683</v>
      </c>
      <c r="AR84" s="42" t="s">
        <v>684</v>
      </c>
      <c r="AS84" s="50">
        <v>0</v>
      </c>
      <c r="AT84" s="39">
        <v>100</v>
      </c>
      <c r="AU84" s="39" t="s">
        <v>95</v>
      </c>
      <c r="AV84" s="53" t="s">
        <v>685</v>
      </c>
      <c r="AW84" s="39" t="s">
        <v>62</v>
      </c>
      <c r="AX84" s="39">
        <v>10</v>
      </c>
      <c r="AY84" s="30">
        <f>(J84*10)/100</f>
        <v>445952</v>
      </c>
      <c r="AZ84" s="42" t="s">
        <v>97</v>
      </c>
    </row>
    <row r="85" spans="1:52" ht="69" customHeight="1" x14ac:dyDescent="0.25">
      <c r="A85" s="46" t="s">
        <v>686</v>
      </c>
      <c r="B85" s="48">
        <v>45243</v>
      </c>
      <c r="C85" s="42">
        <v>1416</v>
      </c>
      <c r="D85" s="37" t="s">
        <v>687</v>
      </c>
      <c r="E85" s="41" t="s">
        <v>688</v>
      </c>
      <c r="F85" s="38">
        <v>45264</v>
      </c>
      <c r="G85" s="39" t="s">
        <v>689</v>
      </c>
      <c r="H85" s="42" t="s">
        <v>679</v>
      </c>
      <c r="I85" s="42" t="s">
        <v>690</v>
      </c>
      <c r="J85" s="56">
        <v>3530112</v>
      </c>
      <c r="K85" s="56">
        <v>3530112</v>
      </c>
      <c r="L85" s="56">
        <v>0</v>
      </c>
      <c r="M85" s="56">
        <v>0</v>
      </c>
      <c r="N85" s="44">
        <f t="shared" si="3"/>
        <v>0</v>
      </c>
      <c r="O85" s="45">
        <f t="shared" si="14"/>
        <v>0</v>
      </c>
      <c r="P85" s="43">
        <v>3530112</v>
      </c>
      <c r="Q85" s="45">
        <f t="shared" si="5"/>
        <v>0</v>
      </c>
      <c r="R85" s="43">
        <v>3530112</v>
      </c>
      <c r="S85" s="30">
        <f t="shared" si="16"/>
        <v>3530112</v>
      </c>
      <c r="T85" s="30">
        <f t="shared" si="6"/>
        <v>3530112</v>
      </c>
      <c r="U85" s="30">
        <f>T85/X85</f>
        <v>12.68</v>
      </c>
      <c r="V85" s="43">
        <f>T85/X85</f>
        <v>12.68</v>
      </c>
      <c r="W85" s="43">
        <f t="shared" si="10"/>
        <v>15216</v>
      </c>
      <c r="X85" s="43">
        <v>278400</v>
      </c>
      <c r="Y85" s="43">
        <v>278400</v>
      </c>
      <c r="Z85" s="43">
        <v>0</v>
      </c>
      <c r="AA85" s="43">
        <v>0</v>
      </c>
      <c r="AB85" s="43">
        <v>0</v>
      </c>
      <c r="AC85" s="43">
        <f t="shared" si="11"/>
        <v>0</v>
      </c>
      <c r="AD85" s="43">
        <v>278400</v>
      </c>
      <c r="AE85" s="43">
        <f t="shared" si="12"/>
        <v>3530112</v>
      </c>
      <c r="AF85" s="43">
        <f t="shared" si="7"/>
        <v>232</v>
      </c>
      <c r="AG85" s="43">
        <f t="shared" si="8"/>
        <v>232</v>
      </c>
      <c r="AH85" s="38">
        <v>45301</v>
      </c>
      <c r="AI85" s="38"/>
      <c r="AJ85" s="38"/>
      <c r="AK85" s="38">
        <v>45332</v>
      </c>
      <c r="AL85" s="38"/>
      <c r="AM85" s="48"/>
      <c r="AN85" s="42"/>
      <c r="AO85" s="42" t="s">
        <v>691</v>
      </c>
      <c r="AP85" s="42" t="s">
        <v>692</v>
      </c>
      <c r="AQ85" s="42" t="s">
        <v>693</v>
      </c>
      <c r="AR85" s="42" t="s">
        <v>94</v>
      </c>
      <c r="AS85" s="50">
        <v>0</v>
      </c>
      <c r="AT85" s="39">
        <v>100</v>
      </c>
      <c r="AU85" s="39" t="s">
        <v>95</v>
      </c>
      <c r="AV85" s="49">
        <v>1200</v>
      </c>
      <c r="AW85" s="39" t="s">
        <v>62</v>
      </c>
      <c r="AX85" s="39">
        <v>10</v>
      </c>
      <c r="AY85" s="30">
        <f>(J85*10)/100</f>
        <v>353011.20000000001</v>
      </c>
      <c r="AZ85" s="42" t="s">
        <v>97</v>
      </c>
    </row>
    <row r="86" spans="1:52" ht="69" customHeight="1" x14ac:dyDescent="0.25">
      <c r="A86" s="46" t="s">
        <v>694</v>
      </c>
      <c r="B86" s="48">
        <v>45243</v>
      </c>
      <c r="C86" s="42">
        <v>1416</v>
      </c>
      <c r="D86" s="37" t="s">
        <v>695</v>
      </c>
      <c r="E86" s="41" t="s">
        <v>696</v>
      </c>
      <c r="F86" s="38">
        <v>45264</v>
      </c>
      <c r="G86" s="39" t="s">
        <v>697</v>
      </c>
      <c r="H86" s="42" t="s">
        <v>679</v>
      </c>
      <c r="I86" s="42" t="s">
        <v>698</v>
      </c>
      <c r="J86" s="56">
        <v>20764800</v>
      </c>
      <c r="K86" s="56">
        <v>20764800</v>
      </c>
      <c r="L86" s="56">
        <v>0</v>
      </c>
      <c r="M86" s="56">
        <v>0</v>
      </c>
      <c r="N86" s="44">
        <f t="shared" si="3"/>
        <v>0</v>
      </c>
      <c r="O86" s="45">
        <f t="shared" si="14"/>
        <v>0</v>
      </c>
      <c r="P86" s="43">
        <v>20764800</v>
      </c>
      <c r="Q86" s="45">
        <f t="shared" si="5"/>
        <v>0</v>
      </c>
      <c r="R86" s="43">
        <v>20764800</v>
      </c>
      <c r="S86" s="30">
        <f t="shared" si="16"/>
        <v>20764800</v>
      </c>
      <c r="T86" s="30">
        <f t="shared" si="6"/>
        <v>20764800</v>
      </c>
      <c r="U86" s="30">
        <f>T86/X86</f>
        <v>12.36</v>
      </c>
      <c r="V86" s="43">
        <f>T86/X86</f>
        <v>12.36</v>
      </c>
      <c r="W86" s="43">
        <f t="shared" si="10"/>
        <v>6180</v>
      </c>
      <c r="X86" s="43">
        <v>1680000</v>
      </c>
      <c r="Y86" s="43">
        <v>1680000</v>
      </c>
      <c r="Z86" s="43">
        <v>0</v>
      </c>
      <c r="AA86" s="43">
        <v>0</v>
      </c>
      <c r="AB86" s="43">
        <v>0</v>
      </c>
      <c r="AC86" s="43">
        <f t="shared" si="11"/>
        <v>0</v>
      </c>
      <c r="AD86" s="43">
        <v>1680000</v>
      </c>
      <c r="AE86" s="43">
        <f t="shared" si="12"/>
        <v>20764800</v>
      </c>
      <c r="AF86" s="43">
        <f t="shared" si="7"/>
        <v>3360</v>
      </c>
      <c r="AG86" s="43">
        <f t="shared" si="8"/>
        <v>3360</v>
      </c>
      <c r="AH86" s="38">
        <v>45301</v>
      </c>
      <c r="AI86" s="38"/>
      <c r="AJ86" s="38"/>
      <c r="AK86" s="38">
        <v>45332</v>
      </c>
      <c r="AL86" s="38"/>
      <c r="AM86" s="48"/>
      <c r="AN86" s="42"/>
      <c r="AO86" s="42" t="s">
        <v>91</v>
      </c>
      <c r="AP86" s="42" t="s">
        <v>699</v>
      </c>
      <c r="AQ86" s="42" t="s">
        <v>93</v>
      </c>
      <c r="AR86" s="42" t="s">
        <v>148</v>
      </c>
      <c r="AS86" s="50">
        <v>0</v>
      </c>
      <c r="AT86" s="39">
        <v>100</v>
      </c>
      <c r="AU86" s="39" t="s">
        <v>95</v>
      </c>
      <c r="AV86" s="49">
        <v>500</v>
      </c>
      <c r="AW86" s="39" t="s">
        <v>62</v>
      </c>
      <c r="AX86" s="39">
        <v>10</v>
      </c>
      <c r="AY86" s="30">
        <f>(J86*10)/100</f>
        <v>2076480</v>
      </c>
      <c r="AZ86" s="42" t="s">
        <v>405</v>
      </c>
    </row>
    <row r="87" spans="1:52" ht="66" customHeight="1" x14ac:dyDescent="0.25">
      <c r="A87" s="46" t="s">
        <v>700</v>
      </c>
      <c r="B87" s="48">
        <v>45243</v>
      </c>
      <c r="C87" s="42">
        <v>1416</v>
      </c>
      <c r="D87" s="37" t="s">
        <v>701</v>
      </c>
      <c r="E87" s="41" t="s">
        <v>702</v>
      </c>
      <c r="F87" s="38">
        <v>45264</v>
      </c>
      <c r="G87" s="39" t="s">
        <v>703</v>
      </c>
      <c r="H87" s="42" t="s">
        <v>679</v>
      </c>
      <c r="I87" s="42" t="s">
        <v>704</v>
      </c>
      <c r="J87" s="56">
        <v>5343840</v>
      </c>
      <c r="K87" s="56">
        <v>5343840</v>
      </c>
      <c r="L87" s="56">
        <v>0</v>
      </c>
      <c r="M87" s="56">
        <v>0</v>
      </c>
      <c r="N87" s="44">
        <f t="shared" si="3"/>
        <v>0</v>
      </c>
      <c r="O87" s="45">
        <f t="shared" si="14"/>
        <v>0</v>
      </c>
      <c r="P87" s="43">
        <v>5343840</v>
      </c>
      <c r="Q87" s="45">
        <f t="shared" si="5"/>
        <v>0</v>
      </c>
      <c r="R87" s="43">
        <v>5343840</v>
      </c>
      <c r="S87" s="30">
        <f t="shared" si="16"/>
        <v>5343840</v>
      </c>
      <c r="T87" s="30">
        <f t="shared" si="6"/>
        <v>5343840</v>
      </c>
      <c r="U87" s="30">
        <f>T87/X87</f>
        <v>12.37</v>
      </c>
      <c r="V87" s="43">
        <f>T87/X87</f>
        <v>12.37</v>
      </c>
      <c r="W87" s="43">
        <f t="shared" si="10"/>
        <v>37110</v>
      </c>
      <c r="X87" s="43">
        <v>432000</v>
      </c>
      <c r="Y87" s="43">
        <v>432000</v>
      </c>
      <c r="Z87" s="43">
        <v>0</v>
      </c>
      <c r="AA87" s="43">
        <v>0</v>
      </c>
      <c r="AB87" s="43">
        <v>0</v>
      </c>
      <c r="AC87" s="43">
        <f t="shared" si="11"/>
        <v>0</v>
      </c>
      <c r="AD87" s="43">
        <v>432000</v>
      </c>
      <c r="AE87" s="43">
        <f t="shared" si="12"/>
        <v>5343840</v>
      </c>
      <c r="AF87" s="43">
        <f t="shared" si="7"/>
        <v>144</v>
      </c>
      <c r="AG87" s="43">
        <f t="shared" si="8"/>
        <v>144</v>
      </c>
      <c r="AH87" s="38">
        <v>45301</v>
      </c>
      <c r="AI87" s="38"/>
      <c r="AJ87" s="38"/>
      <c r="AK87" s="38">
        <v>45332</v>
      </c>
      <c r="AL87" s="38"/>
      <c r="AM87" s="48"/>
      <c r="AN87" s="42"/>
      <c r="AO87" s="42" t="s">
        <v>91</v>
      </c>
      <c r="AP87" s="42" t="s">
        <v>705</v>
      </c>
      <c r="AQ87" s="42" t="s">
        <v>93</v>
      </c>
      <c r="AR87" s="42" t="s">
        <v>148</v>
      </c>
      <c r="AS87" s="50">
        <v>0</v>
      </c>
      <c r="AT87" s="39">
        <v>100</v>
      </c>
      <c r="AU87" s="39" t="s">
        <v>95</v>
      </c>
      <c r="AV87" s="49">
        <v>3000</v>
      </c>
      <c r="AW87" s="39" t="s">
        <v>62</v>
      </c>
      <c r="AX87" s="39">
        <v>10</v>
      </c>
      <c r="AY87" s="30">
        <f>(J87*10)/100</f>
        <v>534384</v>
      </c>
      <c r="AZ87" s="42" t="s">
        <v>97</v>
      </c>
    </row>
    <row r="88" spans="1:52" ht="66" customHeight="1" x14ac:dyDescent="0.25">
      <c r="A88" s="46" t="s">
        <v>706</v>
      </c>
      <c r="B88" s="48">
        <v>45245</v>
      </c>
      <c r="C88" s="42">
        <v>1416</v>
      </c>
      <c r="D88" s="37" t="s">
        <v>707</v>
      </c>
      <c r="E88" s="41" t="s">
        <v>708</v>
      </c>
      <c r="F88" s="38">
        <v>45265</v>
      </c>
      <c r="G88" s="39" t="s">
        <v>709</v>
      </c>
      <c r="H88" s="42" t="s">
        <v>679</v>
      </c>
      <c r="I88" s="42" t="s">
        <v>710</v>
      </c>
      <c r="J88" s="56">
        <v>54898060</v>
      </c>
      <c r="K88" s="56">
        <v>54898060</v>
      </c>
      <c r="L88" s="56">
        <v>0</v>
      </c>
      <c r="M88" s="56">
        <v>0</v>
      </c>
      <c r="N88" s="44">
        <f t="shared" si="3"/>
        <v>0</v>
      </c>
      <c r="O88" s="45">
        <f t="shared" si="14"/>
        <v>0</v>
      </c>
      <c r="P88" s="43">
        <v>54898060</v>
      </c>
      <c r="Q88" s="45">
        <f t="shared" si="5"/>
        <v>0</v>
      </c>
      <c r="R88" s="43">
        <v>54898060</v>
      </c>
      <c r="S88" s="30">
        <f t="shared" si="16"/>
        <v>54898060</v>
      </c>
      <c r="T88" s="30">
        <f t="shared" si="6"/>
        <v>54898060</v>
      </c>
      <c r="U88" s="30">
        <f>T88/X88</f>
        <v>12.37</v>
      </c>
      <c r="V88" s="43">
        <f>T88/X88</f>
        <v>12.37</v>
      </c>
      <c r="W88" s="43">
        <f t="shared" si="10"/>
        <v>12370</v>
      </c>
      <c r="X88" s="43">
        <v>4438000</v>
      </c>
      <c r="Y88" s="43">
        <v>4438000</v>
      </c>
      <c r="Z88" s="43">
        <v>0</v>
      </c>
      <c r="AA88" s="43">
        <v>0</v>
      </c>
      <c r="AB88" s="43">
        <v>0</v>
      </c>
      <c r="AC88" s="43">
        <f t="shared" si="11"/>
        <v>0</v>
      </c>
      <c r="AD88" s="43">
        <v>4438000</v>
      </c>
      <c r="AE88" s="43">
        <f t="shared" si="12"/>
        <v>54898060</v>
      </c>
      <c r="AF88" s="43">
        <f t="shared" si="7"/>
        <v>4438</v>
      </c>
      <c r="AG88" s="43">
        <f t="shared" si="8"/>
        <v>4438</v>
      </c>
      <c r="AH88" s="38">
        <v>45301</v>
      </c>
      <c r="AI88" s="38"/>
      <c r="AJ88" s="38"/>
      <c r="AK88" s="38">
        <v>45332</v>
      </c>
      <c r="AL88" s="38"/>
      <c r="AM88" s="48"/>
      <c r="AN88" s="42"/>
      <c r="AO88" s="42" t="s">
        <v>91</v>
      </c>
      <c r="AP88" s="42" t="s">
        <v>109</v>
      </c>
      <c r="AQ88" s="42" t="s">
        <v>93</v>
      </c>
      <c r="AR88" s="42" t="s">
        <v>711</v>
      </c>
      <c r="AS88" s="50">
        <v>0</v>
      </c>
      <c r="AT88" s="39">
        <v>100</v>
      </c>
      <c r="AU88" s="39" t="s">
        <v>95</v>
      </c>
      <c r="AV88" s="49">
        <v>1000</v>
      </c>
      <c r="AW88" s="39" t="s">
        <v>62</v>
      </c>
      <c r="AX88" s="39">
        <v>10</v>
      </c>
      <c r="AY88" s="30">
        <f>(J88*10)/100</f>
        <v>5489806</v>
      </c>
      <c r="AZ88" s="42" t="s">
        <v>97</v>
      </c>
    </row>
    <row r="89" spans="1:52" ht="66" customHeight="1" x14ac:dyDescent="0.25">
      <c r="A89" s="46" t="s">
        <v>712</v>
      </c>
      <c r="B89" s="48">
        <v>45246</v>
      </c>
      <c r="C89" s="42">
        <v>1416</v>
      </c>
      <c r="D89" s="37" t="s">
        <v>713</v>
      </c>
      <c r="E89" s="41" t="s">
        <v>714</v>
      </c>
      <c r="F89" s="38">
        <v>45265</v>
      </c>
      <c r="G89" s="39" t="s">
        <v>715</v>
      </c>
      <c r="H89" s="42" t="s">
        <v>679</v>
      </c>
      <c r="I89" s="42" t="s">
        <v>716</v>
      </c>
      <c r="J89" s="56">
        <v>2674640</v>
      </c>
      <c r="K89" s="56">
        <v>2674640</v>
      </c>
      <c r="L89" s="56">
        <v>0</v>
      </c>
      <c r="M89" s="56">
        <v>0</v>
      </c>
      <c r="N89" s="44">
        <f t="shared" si="3"/>
        <v>0</v>
      </c>
      <c r="O89" s="45">
        <f t="shared" si="14"/>
        <v>0</v>
      </c>
      <c r="P89" s="43">
        <v>2674640</v>
      </c>
      <c r="Q89" s="45">
        <f t="shared" si="5"/>
        <v>0</v>
      </c>
      <c r="R89" s="43">
        <v>2674640</v>
      </c>
      <c r="S89" s="30">
        <f t="shared" si="16"/>
        <v>2674640</v>
      </c>
      <c r="T89" s="30">
        <f t="shared" si="6"/>
        <v>2674640</v>
      </c>
      <c r="U89" s="30">
        <f>T89/X89</f>
        <v>10.72</v>
      </c>
      <c r="V89" s="43">
        <f>T89/X89</f>
        <v>10.72</v>
      </c>
      <c r="W89" s="43">
        <f t="shared" si="10"/>
        <v>5360</v>
      </c>
      <c r="X89" s="43">
        <v>249500</v>
      </c>
      <c r="Y89" s="43">
        <v>249500</v>
      </c>
      <c r="Z89" s="43">
        <v>0</v>
      </c>
      <c r="AA89" s="43">
        <v>0</v>
      </c>
      <c r="AB89" s="43">
        <v>0</v>
      </c>
      <c r="AC89" s="43">
        <f t="shared" si="11"/>
        <v>0</v>
      </c>
      <c r="AD89" s="43">
        <v>249500</v>
      </c>
      <c r="AE89" s="43">
        <f t="shared" si="12"/>
        <v>2674640</v>
      </c>
      <c r="AF89" s="43">
        <f t="shared" si="7"/>
        <v>499</v>
      </c>
      <c r="AG89" s="43">
        <f t="shared" si="8"/>
        <v>499</v>
      </c>
      <c r="AH89" s="38">
        <v>45301</v>
      </c>
      <c r="AI89" s="38"/>
      <c r="AJ89" s="38"/>
      <c r="AK89" s="38">
        <v>45332</v>
      </c>
      <c r="AL89" s="38"/>
      <c r="AM89" s="48"/>
      <c r="AN89" s="42"/>
      <c r="AO89" s="42" t="s">
        <v>717</v>
      </c>
      <c r="AP89" s="42" t="s">
        <v>718</v>
      </c>
      <c r="AQ89" s="42" t="s">
        <v>719</v>
      </c>
      <c r="AR89" s="42" t="s">
        <v>684</v>
      </c>
      <c r="AS89" s="50">
        <v>0</v>
      </c>
      <c r="AT89" s="39">
        <v>100</v>
      </c>
      <c r="AU89" s="39" t="s">
        <v>95</v>
      </c>
      <c r="AV89" s="49">
        <v>500</v>
      </c>
      <c r="AW89" s="39" t="s">
        <v>62</v>
      </c>
      <c r="AX89" s="39">
        <v>10</v>
      </c>
      <c r="AY89" s="30">
        <f>(J89*10)/100</f>
        <v>267464</v>
      </c>
      <c r="AZ89" s="42" t="s">
        <v>97</v>
      </c>
    </row>
    <row r="90" spans="1:52" ht="66" customHeight="1" x14ac:dyDescent="0.25">
      <c r="A90" s="46" t="s">
        <v>720</v>
      </c>
      <c r="B90" s="48">
        <v>45246</v>
      </c>
      <c r="C90" s="42">
        <v>1416</v>
      </c>
      <c r="D90" s="37" t="s">
        <v>721</v>
      </c>
      <c r="E90" s="41" t="s">
        <v>722</v>
      </c>
      <c r="F90" s="38">
        <v>45265</v>
      </c>
      <c r="G90" s="39" t="s">
        <v>723</v>
      </c>
      <c r="H90" s="42" t="s">
        <v>679</v>
      </c>
      <c r="I90" s="42" t="s">
        <v>724</v>
      </c>
      <c r="J90" s="56">
        <v>10963680</v>
      </c>
      <c r="K90" s="56">
        <v>10963680</v>
      </c>
      <c r="L90" s="56">
        <v>0</v>
      </c>
      <c r="M90" s="56">
        <v>0</v>
      </c>
      <c r="N90" s="44">
        <f t="shared" si="3"/>
        <v>0</v>
      </c>
      <c r="O90" s="45">
        <f t="shared" si="14"/>
        <v>0</v>
      </c>
      <c r="P90" s="43">
        <v>10963680</v>
      </c>
      <c r="Q90" s="45">
        <f t="shared" si="5"/>
        <v>0</v>
      </c>
      <c r="R90" s="43">
        <v>10963680</v>
      </c>
      <c r="S90" s="30">
        <f t="shared" si="16"/>
        <v>10963680</v>
      </c>
      <c r="T90" s="30">
        <f t="shared" si="6"/>
        <v>10963680</v>
      </c>
      <c r="U90" s="30">
        <f>T90/X90</f>
        <v>7.28</v>
      </c>
      <c r="V90" s="43">
        <f>T90/X90</f>
        <v>7.28</v>
      </c>
      <c r="W90" s="43">
        <f t="shared" si="10"/>
        <v>7280</v>
      </c>
      <c r="X90" s="43">
        <v>1506000</v>
      </c>
      <c r="Y90" s="43">
        <v>1506000</v>
      </c>
      <c r="Z90" s="43">
        <v>0</v>
      </c>
      <c r="AA90" s="43">
        <v>0</v>
      </c>
      <c r="AB90" s="43">
        <v>0</v>
      </c>
      <c r="AC90" s="43">
        <f t="shared" si="11"/>
        <v>0</v>
      </c>
      <c r="AD90" s="43">
        <v>1506000</v>
      </c>
      <c r="AE90" s="43">
        <f t="shared" si="12"/>
        <v>10963680</v>
      </c>
      <c r="AF90" s="43">
        <f t="shared" si="7"/>
        <v>1506</v>
      </c>
      <c r="AG90" s="43">
        <f t="shared" si="8"/>
        <v>1506</v>
      </c>
      <c r="AH90" s="38">
        <v>45301</v>
      </c>
      <c r="AI90" s="38"/>
      <c r="AJ90" s="38"/>
      <c r="AK90" s="38">
        <v>45332</v>
      </c>
      <c r="AL90" s="38"/>
      <c r="AM90" s="48"/>
      <c r="AN90" s="42"/>
      <c r="AO90" s="42" t="s">
        <v>725</v>
      </c>
      <c r="AP90" s="42" t="s">
        <v>726</v>
      </c>
      <c r="AQ90" s="42" t="s">
        <v>727</v>
      </c>
      <c r="AR90" s="42" t="s">
        <v>728</v>
      </c>
      <c r="AS90" s="50">
        <v>0</v>
      </c>
      <c r="AT90" s="39">
        <v>100</v>
      </c>
      <c r="AU90" s="39" t="s">
        <v>95</v>
      </c>
      <c r="AV90" s="49">
        <v>1000</v>
      </c>
      <c r="AW90" s="39" t="s">
        <v>62</v>
      </c>
      <c r="AX90" s="39">
        <v>10</v>
      </c>
      <c r="AY90" s="30">
        <f>(J90*10)/100</f>
        <v>1096368</v>
      </c>
      <c r="AZ90" s="42" t="s">
        <v>97</v>
      </c>
    </row>
    <row r="91" spans="1:52" ht="66" customHeight="1" x14ac:dyDescent="0.25">
      <c r="A91" s="46" t="s">
        <v>729</v>
      </c>
      <c r="B91" s="48">
        <v>45246</v>
      </c>
      <c r="C91" s="42">
        <v>1416</v>
      </c>
      <c r="D91" s="37" t="s">
        <v>730</v>
      </c>
      <c r="E91" s="41" t="s">
        <v>731</v>
      </c>
      <c r="F91" s="38">
        <v>45265</v>
      </c>
      <c r="G91" s="39" t="s">
        <v>732</v>
      </c>
      <c r="H91" s="42" t="s">
        <v>670</v>
      </c>
      <c r="I91" s="42" t="s">
        <v>733</v>
      </c>
      <c r="J91" s="56">
        <v>20917831.34</v>
      </c>
      <c r="K91" s="56">
        <v>20917831.34</v>
      </c>
      <c r="L91" s="56">
        <v>0</v>
      </c>
      <c r="M91" s="56">
        <v>0</v>
      </c>
      <c r="N91" s="44">
        <f t="shared" si="3"/>
        <v>10.000010546026324</v>
      </c>
      <c r="O91" s="45">
        <f t="shared" si="14"/>
        <v>2091785.3399999999</v>
      </c>
      <c r="P91" s="43">
        <v>18826046</v>
      </c>
      <c r="Q91" s="45">
        <f t="shared" si="5"/>
        <v>2092072.3399999999</v>
      </c>
      <c r="R91" s="43">
        <v>18825759</v>
      </c>
      <c r="S91" s="30">
        <f t="shared" si="16"/>
        <v>18825759</v>
      </c>
      <c r="T91" s="30">
        <f t="shared" si="6"/>
        <v>18825759</v>
      </c>
      <c r="U91" s="30">
        <f>T91/X91</f>
        <v>581.94000000000005</v>
      </c>
      <c r="V91" s="43">
        <f>T91/X91</f>
        <v>581.94000000000005</v>
      </c>
      <c r="W91" s="43">
        <f t="shared" si="10"/>
        <v>29097.000000000004</v>
      </c>
      <c r="X91" s="43">
        <v>32350</v>
      </c>
      <c r="Y91" s="43">
        <v>32350</v>
      </c>
      <c r="Z91" s="43">
        <v>0</v>
      </c>
      <c r="AA91" s="43">
        <v>0</v>
      </c>
      <c r="AB91" s="43">
        <v>0</v>
      </c>
      <c r="AC91" s="43">
        <f t="shared" si="11"/>
        <v>0</v>
      </c>
      <c r="AD91" s="43">
        <v>32350</v>
      </c>
      <c r="AE91" s="43">
        <f t="shared" si="12"/>
        <v>18825759</v>
      </c>
      <c r="AF91" s="43">
        <f t="shared" si="7"/>
        <v>647</v>
      </c>
      <c r="AG91" s="43">
        <f t="shared" si="8"/>
        <v>647</v>
      </c>
      <c r="AH91" s="38">
        <v>45301</v>
      </c>
      <c r="AI91" s="38"/>
      <c r="AJ91" s="38"/>
      <c r="AK91" s="38">
        <v>45332</v>
      </c>
      <c r="AL91" s="38"/>
      <c r="AM91" s="48"/>
      <c r="AN91" s="42"/>
      <c r="AO91" s="42" t="s">
        <v>672</v>
      </c>
      <c r="AP91" s="42" t="s">
        <v>734</v>
      </c>
      <c r="AQ91" s="42" t="s">
        <v>674</v>
      </c>
      <c r="AR91" s="42" t="s">
        <v>82</v>
      </c>
      <c r="AS91" s="50">
        <v>100</v>
      </c>
      <c r="AT91" s="39">
        <v>0</v>
      </c>
      <c r="AU91" s="39" t="s">
        <v>83</v>
      </c>
      <c r="AV91" s="49">
        <v>50</v>
      </c>
      <c r="AW91" s="39" t="s">
        <v>62</v>
      </c>
      <c r="AX91" s="39">
        <v>10</v>
      </c>
      <c r="AY91" s="30">
        <f>(J91*10)/100</f>
        <v>2091783.1340000001</v>
      </c>
      <c r="AZ91" s="42" t="s">
        <v>97</v>
      </c>
    </row>
    <row r="92" spans="1:52" ht="66" customHeight="1" x14ac:dyDescent="0.25">
      <c r="A92" s="46" t="s">
        <v>735</v>
      </c>
      <c r="B92" s="48">
        <v>45246</v>
      </c>
      <c r="C92" s="42">
        <v>1416</v>
      </c>
      <c r="D92" s="37" t="s">
        <v>736</v>
      </c>
      <c r="E92" s="41" t="s">
        <v>737</v>
      </c>
      <c r="F92" s="38">
        <v>45273</v>
      </c>
      <c r="G92" s="39" t="s">
        <v>738</v>
      </c>
      <c r="H92" s="42" t="s">
        <v>679</v>
      </c>
      <c r="I92" s="42" t="s">
        <v>739</v>
      </c>
      <c r="J92" s="56">
        <v>20509500</v>
      </c>
      <c r="K92" s="56">
        <v>20509500</v>
      </c>
      <c r="L92" s="56">
        <v>0</v>
      </c>
      <c r="M92" s="56">
        <v>0</v>
      </c>
      <c r="N92" s="44">
        <f t="shared" si="3"/>
        <v>0</v>
      </c>
      <c r="O92" s="45">
        <f t="shared" si="14"/>
        <v>0</v>
      </c>
      <c r="P92" s="43">
        <v>20509500</v>
      </c>
      <c r="Q92" s="45">
        <f t="shared" si="5"/>
        <v>0</v>
      </c>
      <c r="R92" s="43">
        <v>20509500</v>
      </c>
      <c r="S92" s="30">
        <v>20509500</v>
      </c>
      <c r="T92" s="30">
        <v>20509500</v>
      </c>
      <c r="U92" s="30">
        <v>7.26</v>
      </c>
      <c r="V92" s="43">
        <f>T92/X92</f>
        <v>7.26</v>
      </c>
      <c r="W92" s="43">
        <f t="shared" si="10"/>
        <v>3630</v>
      </c>
      <c r="X92" s="43">
        <v>2825000</v>
      </c>
      <c r="Y92" s="43">
        <v>2825000</v>
      </c>
      <c r="Z92" s="43">
        <v>0</v>
      </c>
      <c r="AA92" s="43">
        <v>0</v>
      </c>
      <c r="AB92" s="43">
        <v>0</v>
      </c>
      <c r="AC92" s="43">
        <f t="shared" si="11"/>
        <v>0</v>
      </c>
      <c r="AD92" s="43">
        <v>2825000</v>
      </c>
      <c r="AE92" s="43">
        <f t="shared" si="12"/>
        <v>20509500</v>
      </c>
      <c r="AF92" s="43">
        <v>5650</v>
      </c>
      <c r="AG92" s="43">
        <v>5650</v>
      </c>
      <c r="AH92" s="38">
        <v>45301</v>
      </c>
      <c r="AI92" s="38"/>
      <c r="AJ92" s="38"/>
      <c r="AK92" s="38">
        <v>45332</v>
      </c>
      <c r="AL92" s="38"/>
      <c r="AM92" s="48"/>
      <c r="AN92" s="42"/>
      <c r="AO92" s="42" t="s">
        <v>725</v>
      </c>
      <c r="AP92" s="42" t="s">
        <v>726</v>
      </c>
      <c r="AQ92" s="42" t="s">
        <v>727</v>
      </c>
      <c r="AR92" s="42" t="s">
        <v>315</v>
      </c>
      <c r="AS92" s="50">
        <v>0</v>
      </c>
      <c r="AT92" s="39">
        <v>100</v>
      </c>
      <c r="AU92" s="39" t="s">
        <v>95</v>
      </c>
      <c r="AV92" s="49">
        <v>500</v>
      </c>
      <c r="AW92" s="39"/>
      <c r="AX92" s="39">
        <v>10</v>
      </c>
      <c r="AY92" s="30">
        <f>(J92*10)/100</f>
        <v>2050950</v>
      </c>
      <c r="AZ92" s="42" t="s">
        <v>405</v>
      </c>
    </row>
    <row r="93" spans="1:52" ht="60.75" customHeight="1" x14ac:dyDescent="0.25">
      <c r="A93" s="46" t="s">
        <v>740</v>
      </c>
      <c r="B93" s="48">
        <v>45252</v>
      </c>
      <c r="C93" s="42">
        <v>1416</v>
      </c>
      <c r="D93" s="37" t="s">
        <v>741</v>
      </c>
      <c r="E93" s="41" t="s">
        <v>742</v>
      </c>
      <c r="F93" s="38">
        <v>45272</v>
      </c>
      <c r="G93" s="39" t="s">
        <v>743</v>
      </c>
      <c r="H93" s="42" t="s">
        <v>744</v>
      </c>
      <c r="I93" s="42" t="s">
        <v>745</v>
      </c>
      <c r="J93" s="56">
        <v>120813651.86</v>
      </c>
      <c r="K93" s="56">
        <v>120813651.86</v>
      </c>
      <c r="L93" s="56">
        <v>0</v>
      </c>
      <c r="M93" s="56">
        <v>0</v>
      </c>
      <c r="N93" s="44">
        <f t="shared" si="3"/>
        <v>0</v>
      </c>
      <c r="O93" s="45">
        <f t="shared" si="14"/>
        <v>0</v>
      </c>
      <c r="P93" s="43">
        <v>120813651.86</v>
      </c>
      <c r="Q93" s="45">
        <f t="shared" si="5"/>
        <v>0</v>
      </c>
      <c r="R93" s="43">
        <v>120813651.86</v>
      </c>
      <c r="S93" s="30">
        <f t="shared" ref="S93:T108" si="17">R93</f>
        <v>120813651.86</v>
      </c>
      <c r="T93" s="30">
        <f t="shared" si="17"/>
        <v>120813651.86</v>
      </c>
      <c r="U93" s="30">
        <f>T93/X93</f>
        <v>250650.73</v>
      </c>
      <c r="V93" s="43">
        <f>T93/X93</f>
        <v>250650.73</v>
      </c>
      <c r="W93" s="43">
        <f t="shared" si="10"/>
        <v>250650.73</v>
      </c>
      <c r="X93" s="43">
        <v>482</v>
      </c>
      <c r="Y93" s="43">
        <v>482</v>
      </c>
      <c r="Z93" s="43">
        <v>0</v>
      </c>
      <c r="AA93" s="43">
        <v>0</v>
      </c>
      <c r="AB93" s="43">
        <v>0</v>
      </c>
      <c r="AC93" s="43">
        <f t="shared" si="11"/>
        <v>0</v>
      </c>
      <c r="AD93" s="43">
        <v>482</v>
      </c>
      <c r="AE93" s="43">
        <f t="shared" si="12"/>
        <v>120813651.86</v>
      </c>
      <c r="AF93" s="43">
        <f t="shared" ref="AF93:AF141" si="18">X93/AV93</f>
        <v>482</v>
      </c>
      <c r="AG93" s="43">
        <f t="shared" ref="AG93:AG141" si="19">_xlfn.CEILING.MATH(AF93)</f>
        <v>482</v>
      </c>
      <c r="AH93" s="38">
        <v>45301</v>
      </c>
      <c r="AI93" s="38"/>
      <c r="AJ93" s="38"/>
      <c r="AK93" s="38">
        <v>45332</v>
      </c>
      <c r="AL93" s="38"/>
      <c r="AM93" s="48"/>
      <c r="AN93" s="42"/>
      <c r="AO93" s="42" t="s">
        <v>746</v>
      </c>
      <c r="AP93" s="42" t="s">
        <v>747</v>
      </c>
      <c r="AQ93" s="42" t="s">
        <v>748</v>
      </c>
      <c r="AR93" s="42" t="s">
        <v>266</v>
      </c>
      <c r="AS93" s="50">
        <v>0</v>
      </c>
      <c r="AT93" s="39">
        <v>100</v>
      </c>
      <c r="AU93" s="39" t="s">
        <v>83</v>
      </c>
      <c r="AV93" s="49">
        <v>1</v>
      </c>
      <c r="AW93" s="39" t="s">
        <v>62</v>
      </c>
      <c r="AX93" s="39">
        <v>10</v>
      </c>
      <c r="AY93" s="30">
        <f>(J93*10)/100</f>
        <v>12081365.185999999</v>
      </c>
      <c r="AZ93" s="42" t="s">
        <v>97</v>
      </c>
    </row>
    <row r="94" spans="1:52" ht="60.75" customHeight="1" x14ac:dyDescent="0.25">
      <c r="A94" s="46" t="s">
        <v>749</v>
      </c>
      <c r="B94" s="48">
        <v>45252</v>
      </c>
      <c r="C94" s="42">
        <v>1416</v>
      </c>
      <c r="D94" s="37" t="s">
        <v>750</v>
      </c>
      <c r="E94" s="41" t="s">
        <v>751</v>
      </c>
      <c r="F94" s="38">
        <v>45272</v>
      </c>
      <c r="G94" s="39" t="s">
        <v>752</v>
      </c>
      <c r="H94" s="42" t="s">
        <v>309</v>
      </c>
      <c r="I94" s="42" t="s">
        <v>753</v>
      </c>
      <c r="J94" s="56">
        <v>112543483.09999999</v>
      </c>
      <c r="K94" s="56">
        <v>112543483.09999999</v>
      </c>
      <c r="L94" s="56">
        <v>0</v>
      </c>
      <c r="M94" s="56">
        <v>0</v>
      </c>
      <c r="N94" s="44">
        <f t="shared" si="3"/>
        <v>0</v>
      </c>
      <c r="O94" s="45">
        <f t="shared" si="14"/>
        <v>0</v>
      </c>
      <c r="P94" s="43">
        <v>112543483.09999999</v>
      </c>
      <c r="Q94" s="45">
        <f t="shared" si="5"/>
        <v>0</v>
      </c>
      <c r="R94" s="43">
        <v>112543483.09999999</v>
      </c>
      <c r="S94" s="30">
        <f t="shared" si="17"/>
        <v>112543483.09999999</v>
      </c>
      <c r="T94" s="30">
        <f t="shared" si="17"/>
        <v>112543483.09999999</v>
      </c>
      <c r="U94" s="30">
        <f>T94/X94</f>
        <v>200397.93999287748</v>
      </c>
      <c r="V94" s="43">
        <f>T94/X94</f>
        <v>200397.93999287748</v>
      </c>
      <c r="W94" s="43">
        <f t="shared" si="10"/>
        <v>240477.52799145295</v>
      </c>
      <c r="X94" s="43">
        <v>561.6</v>
      </c>
      <c r="Y94" s="43">
        <v>561.6</v>
      </c>
      <c r="Z94" s="43">
        <v>0</v>
      </c>
      <c r="AA94" s="43">
        <v>0</v>
      </c>
      <c r="AB94" s="43">
        <v>0</v>
      </c>
      <c r="AC94" s="43">
        <f t="shared" si="11"/>
        <v>0</v>
      </c>
      <c r="AD94" s="43">
        <v>561.6</v>
      </c>
      <c r="AE94" s="43">
        <f t="shared" si="12"/>
        <v>112543483.09999999</v>
      </c>
      <c r="AF94" s="43">
        <f t="shared" si="18"/>
        <v>468.00000000000006</v>
      </c>
      <c r="AG94" s="43">
        <f t="shared" si="19"/>
        <v>468</v>
      </c>
      <c r="AH94" s="38">
        <v>45323</v>
      </c>
      <c r="AI94" s="38"/>
      <c r="AJ94" s="38"/>
      <c r="AK94" s="38">
        <v>45352</v>
      </c>
      <c r="AL94" s="38"/>
      <c r="AM94" s="48"/>
      <c r="AN94" s="42"/>
      <c r="AO94" s="42" t="s">
        <v>754</v>
      </c>
      <c r="AP94" s="42" t="s">
        <v>755</v>
      </c>
      <c r="AQ94" s="42" t="s">
        <v>756</v>
      </c>
      <c r="AR94" s="42" t="s">
        <v>94</v>
      </c>
      <c r="AS94" s="50">
        <v>0</v>
      </c>
      <c r="AT94" s="39">
        <v>100</v>
      </c>
      <c r="AU94" s="39" t="s">
        <v>83</v>
      </c>
      <c r="AV94" s="54">
        <v>1.2</v>
      </c>
      <c r="AW94" s="39" t="s">
        <v>62</v>
      </c>
      <c r="AX94" s="39">
        <v>10</v>
      </c>
      <c r="AY94" s="30">
        <f>(J94*10)/100</f>
        <v>11254348.310000001</v>
      </c>
      <c r="AZ94" s="42" t="s">
        <v>97</v>
      </c>
    </row>
    <row r="95" spans="1:52" ht="60.75" customHeight="1" x14ac:dyDescent="0.25">
      <c r="A95" s="46" t="s">
        <v>757</v>
      </c>
      <c r="B95" s="48">
        <v>45252</v>
      </c>
      <c r="C95" s="42">
        <v>545</v>
      </c>
      <c r="D95" s="37" t="s">
        <v>758</v>
      </c>
      <c r="E95" s="41" t="s">
        <v>759</v>
      </c>
      <c r="F95" s="38">
        <v>45272</v>
      </c>
      <c r="G95" s="39" t="s">
        <v>760</v>
      </c>
      <c r="H95" s="42" t="s">
        <v>271</v>
      </c>
      <c r="I95" s="42" t="s">
        <v>761</v>
      </c>
      <c r="J95" s="56">
        <v>236402362.34999999</v>
      </c>
      <c r="K95" s="56">
        <v>236402362.34999999</v>
      </c>
      <c r="L95" s="56">
        <v>0</v>
      </c>
      <c r="M95" s="56">
        <v>0</v>
      </c>
      <c r="N95" s="44">
        <f t="shared" si="3"/>
        <v>0</v>
      </c>
      <c r="O95" s="45">
        <f t="shared" si="14"/>
        <v>0</v>
      </c>
      <c r="P95" s="43">
        <v>236402362.34999999</v>
      </c>
      <c r="Q95" s="45">
        <f t="shared" si="5"/>
        <v>0</v>
      </c>
      <c r="R95" s="43">
        <v>236402362.34999999</v>
      </c>
      <c r="S95" s="30">
        <f t="shared" si="17"/>
        <v>236402362.34999999</v>
      </c>
      <c r="T95" s="30">
        <f t="shared" si="17"/>
        <v>236402362.34999999</v>
      </c>
      <c r="U95" s="30">
        <f>T95/X95</f>
        <v>204411.9</v>
      </c>
      <c r="V95" s="43">
        <f>T95/X95</f>
        <v>204411.9</v>
      </c>
      <c r="W95" s="43">
        <f t="shared" si="10"/>
        <v>919853.54999999993</v>
      </c>
      <c r="X95" s="43">
        <v>1156.5</v>
      </c>
      <c r="Y95" s="43">
        <v>1156.5</v>
      </c>
      <c r="Z95" s="43">
        <v>0</v>
      </c>
      <c r="AA95" s="43">
        <v>0</v>
      </c>
      <c r="AB95" s="43"/>
      <c r="AC95" s="43">
        <f t="shared" si="11"/>
        <v>0</v>
      </c>
      <c r="AD95" s="43"/>
      <c r="AE95" s="43">
        <f t="shared" si="12"/>
        <v>0</v>
      </c>
      <c r="AF95" s="43">
        <f t="shared" si="18"/>
        <v>257</v>
      </c>
      <c r="AG95" s="43">
        <f t="shared" si="19"/>
        <v>257</v>
      </c>
      <c r="AH95" s="38">
        <v>45322</v>
      </c>
      <c r="AI95" s="38"/>
      <c r="AJ95" s="38"/>
      <c r="AK95" s="38">
        <v>45352</v>
      </c>
      <c r="AL95" s="38"/>
      <c r="AM95" s="48"/>
      <c r="AN95" s="42"/>
      <c r="AO95" s="42" t="s">
        <v>762</v>
      </c>
      <c r="AP95" s="42" t="s">
        <v>763</v>
      </c>
      <c r="AQ95" s="42" t="s">
        <v>764</v>
      </c>
      <c r="AR95" s="42" t="s">
        <v>148</v>
      </c>
      <c r="AS95" s="50">
        <v>0</v>
      </c>
      <c r="AT95" s="39">
        <v>100</v>
      </c>
      <c r="AU95" s="39" t="s">
        <v>83</v>
      </c>
      <c r="AV95" s="54">
        <v>4.5</v>
      </c>
      <c r="AW95" s="39" t="s">
        <v>62</v>
      </c>
      <c r="AX95" s="39">
        <v>10</v>
      </c>
      <c r="AY95" s="30">
        <f>(J95*10)/100</f>
        <v>23640236.234999999</v>
      </c>
      <c r="AZ95" s="42" t="s">
        <v>97</v>
      </c>
    </row>
    <row r="96" spans="1:52" ht="60.75" customHeight="1" x14ac:dyDescent="0.25">
      <c r="A96" s="46" t="s">
        <v>765</v>
      </c>
      <c r="B96" s="48">
        <v>45254</v>
      </c>
      <c r="C96" s="42">
        <v>1416</v>
      </c>
      <c r="D96" s="37" t="s">
        <v>766</v>
      </c>
      <c r="E96" s="41" t="s">
        <v>767</v>
      </c>
      <c r="F96" s="38">
        <v>45275</v>
      </c>
      <c r="G96" s="39" t="s">
        <v>768</v>
      </c>
      <c r="H96" s="42" t="s">
        <v>88</v>
      </c>
      <c r="I96" s="42" t="s">
        <v>769</v>
      </c>
      <c r="J96" s="56">
        <v>197227280</v>
      </c>
      <c r="K96" s="56">
        <v>197227280</v>
      </c>
      <c r="L96" s="56">
        <v>0</v>
      </c>
      <c r="M96" s="56">
        <v>0</v>
      </c>
      <c r="N96" s="44">
        <f t="shared" ref="N96:N159" si="20">((J96-P96)/J96)*100</f>
        <v>0</v>
      </c>
      <c r="O96" s="45">
        <f t="shared" si="14"/>
        <v>0</v>
      </c>
      <c r="P96" s="43">
        <v>197227280</v>
      </c>
      <c r="Q96" s="45">
        <f t="shared" ref="Q96:Q120" si="21">J96-R96</f>
        <v>0</v>
      </c>
      <c r="R96" s="43">
        <v>197227280</v>
      </c>
      <c r="S96" s="30">
        <f t="shared" si="17"/>
        <v>197227280</v>
      </c>
      <c r="T96" s="30">
        <f t="shared" si="17"/>
        <v>197227280</v>
      </c>
      <c r="U96" s="30">
        <f>T96/X96</f>
        <v>12.37</v>
      </c>
      <c r="V96" s="43">
        <f>T96/X96</f>
        <v>12.37</v>
      </c>
      <c r="W96" s="43">
        <f t="shared" si="10"/>
        <v>24740</v>
      </c>
      <c r="X96" s="43">
        <v>15944000</v>
      </c>
      <c r="Y96" s="43">
        <v>15944000</v>
      </c>
      <c r="Z96" s="43">
        <v>0</v>
      </c>
      <c r="AA96" s="43">
        <v>0</v>
      </c>
      <c r="AB96" s="43">
        <v>0</v>
      </c>
      <c r="AC96" s="43">
        <f t="shared" si="11"/>
        <v>0</v>
      </c>
      <c r="AD96" s="43">
        <v>15944000</v>
      </c>
      <c r="AE96" s="43">
        <f t="shared" si="12"/>
        <v>197227280</v>
      </c>
      <c r="AF96" s="43">
        <f t="shared" si="18"/>
        <v>7972</v>
      </c>
      <c r="AG96" s="43">
        <f t="shared" si="19"/>
        <v>7972</v>
      </c>
      <c r="AH96" s="38">
        <v>45323</v>
      </c>
      <c r="AI96" s="38"/>
      <c r="AJ96" s="38"/>
      <c r="AK96" s="38">
        <v>44986</v>
      </c>
      <c r="AL96" s="38"/>
      <c r="AM96" s="48"/>
      <c r="AN96" s="42"/>
      <c r="AO96" s="42" t="s">
        <v>770</v>
      </c>
      <c r="AP96" s="42" t="s">
        <v>771</v>
      </c>
      <c r="AQ96" s="42" t="s">
        <v>772</v>
      </c>
      <c r="AR96" s="42" t="s">
        <v>773</v>
      </c>
      <c r="AS96" s="50">
        <v>0</v>
      </c>
      <c r="AT96" s="39">
        <v>100</v>
      </c>
      <c r="AU96" s="39" t="s">
        <v>95</v>
      </c>
      <c r="AV96" s="49">
        <v>2000</v>
      </c>
      <c r="AW96" s="39" t="s">
        <v>62</v>
      </c>
      <c r="AX96" s="39">
        <v>10</v>
      </c>
      <c r="AY96" s="30">
        <f>(J96*10)/100</f>
        <v>19722728</v>
      </c>
      <c r="AZ96" s="42" t="s">
        <v>405</v>
      </c>
    </row>
    <row r="97" spans="1:52" ht="60.75" customHeight="1" x14ac:dyDescent="0.25">
      <c r="A97" s="46" t="s">
        <v>774</v>
      </c>
      <c r="B97" s="48">
        <v>45254</v>
      </c>
      <c r="C97" s="42">
        <v>1416</v>
      </c>
      <c r="D97" s="37" t="s">
        <v>775</v>
      </c>
      <c r="E97" s="41" t="s">
        <v>776</v>
      </c>
      <c r="F97" s="38">
        <v>45282</v>
      </c>
      <c r="G97" s="39" t="s">
        <v>777</v>
      </c>
      <c r="H97" s="42" t="s">
        <v>744</v>
      </c>
      <c r="I97" s="42" t="s">
        <v>778</v>
      </c>
      <c r="J97" s="56">
        <v>968144403.38</v>
      </c>
      <c r="K97" s="56">
        <v>968144403.38</v>
      </c>
      <c r="L97" s="56">
        <v>0</v>
      </c>
      <c r="M97" s="56">
        <v>0</v>
      </c>
      <c r="N97" s="44">
        <f t="shared" si="20"/>
        <v>0</v>
      </c>
      <c r="O97" s="45">
        <f t="shared" si="14"/>
        <v>0</v>
      </c>
      <c r="P97" s="43">
        <v>968144403.38</v>
      </c>
      <c r="Q97" s="45">
        <f t="shared" si="21"/>
        <v>0</v>
      </c>
      <c r="R97" s="43">
        <v>968144403.38</v>
      </c>
      <c r="S97" s="30">
        <f t="shared" si="17"/>
        <v>968144403.38</v>
      </c>
      <c r="T97" s="30">
        <f t="shared" si="17"/>
        <v>968144403.38</v>
      </c>
      <c r="U97" s="30">
        <f>T97/X97</f>
        <v>263842.7</v>
      </c>
      <c r="V97" s="43">
        <f>T97/X97</f>
        <v>263842.7</v>
      </c>
      <c r="W97" s="43">
        <f t="shared" si="10"/>
        <v>184689.88999999998</v>
      </c>
      <c r="X97" s="43">
        <v>3669.4</v>
      </c>
      <c r="Y97" s="43">
        <v>606.9</v>
      </c>
      <c r="Z97" s="43">
        <v>3062.5</v>
      </c>
      <c r="AA97" s="43">
        <v>0</v>
      </c>
      <c r="AB97" s="43">
        <v>0</v>
      </c>
      <c r="AC97" s="43">
        <f t="shared" si="11"/>
        <v>0</v>
      </c>
      <c r="AD97" s="43">
        <f>606.9+3062.5</f>
        <v>3669.4</v>
      </c>
      <c r="AE97" s="43">
        <f t="shared" si="12"/>
        <v>968144403.38000011</v>
      </c>
      <c r="AF97" s="43">
        <f t="shared" si="18"/>
        <v>5242.0000000000009</v>
      </c>
      <c r="AG97" s="43">
        <f t="shared" si="19"/>
        <v>5242</v>
      </c>
      <c r="AH97" s="38">
        <v>45306</v>
      </c>
      <c r="AI97" s="38">
        <v>45413</v>
      </c>
      <c r="AJ97" s="38"/>
      <c r="AK97" s="38">
        <v>45337</v>
      </c>
      <c r="AL97" s="38">
        <v>45444</v>
      </c>
      <c r="AM97" s="48"/>
      <c r="AN97" s="42"/>
      <c r="AO97" s="42" t="s">
        <v>746</v>
      </c>
      <c r="AP97" s="42" t="s">
        <v>779</v>
      </c>
      <c r="AQ97" s="42" t="s">
        <v>748</v>
      </c>
      <c r="AR97" s="42" t="s">
        <v>266</v>
      </c>
      <c r="AS97" s="50">
        <v>0</v>
      </c>
      <c r="AT97" s="39">
        <v>100</v>
      </c>
      <c r="AU97" s="39" t="s">
        <v>83</v>
      </c>
      <c r="AV97" s="54">
        <v>0.7</v>
      </c>
      <c r="AW97" s="39" t="s">
        <v>62</v>
      </c>
      <c r="AX97" s="39">
        <v>10</v>
      </c>
      <c r="AY97" s="30">
        <f>(J97*10)/100</f>
        <v>96814440.338</v>
      </c>
      <c r="AZ97" s="42" t="s">
        <v>328</v>
      </c>
    </row>
    <row r="98" spans="1:52" ht="60.75" customHeight="1" x14ac:dyDescent="0.25">
      <c r="A98" s="46" t="s">
        <v>780</v>
      </c>
      <c r="B98" s="48">
        <v>45254</v>
      </c>
      <c r="C98" s="42">
        <v>1416</v>
      </c>
      <c r="D98" s="37" t="s">
        <v>781</v>
      </c>
      <c r="E98" s="41" t="s">
        <v>782</v>
      </c>
      <c r="F98" s="38">
        <v>45275</v>
      </c>
      <c r="G98" s="39" t="s">
        <v>783</v>
      </c>
      <c r="H98" s="42" t="s">
        <v>88</v>
      </c>
      <c r="I98" s="42" t="s">
        <v>784</v>
      </c>
      <c r="J98" s="56">
        <v>58205312</v>
      </c>
      <c r="K98" s="56">
        <v>58205312</v>
      </c>
      <c r="L98" s="56">
        <v>0</v>
      </c>
      <c r="M98" s="56">
        <v>0</v>
      </c>
      <c r="N98" s="44">
        <f t="shared" si="20"/>
        <v>0</v>
      </c>
      <c r="O98" s="45">
        <f t="shared" si="14"/>
        <v>0</v>
      </c>
      <c r="P98" s="43">
        <v>58205312</v>
      </c>
      <c r="Q98" s="45">
        <f t="shared" si="21"/>
        <v>0</v>
      </c>
      <c r="R98" s="43">
        <v>58205312</v>
      </c>
      <c r="S98" s="30">
        <f t="shared" si="17"/>
        <v>58205312</v>
      </c>
      <c r="T98" s="30">
        <f t="shared" si="17"/>
        <v>58205312</v>
      </c>
      <c r="U98" s="30">
        <f>T98/X98</f>
        <v>29.48</v>
      </c>
      <c r="V98" s="43">
        <f>T98/X98</f>
        <v>29.48</v>
      </c>
      <c r="W98" s="43">
        <f t="shared" si="10"/>
        <v>11792</v>
      </c>
      <c r="X98" s="43">
        <v>1974400</v>
      </c>
      <c r="Y98" s="43">
        <v>1974400</v>
      </c>
      <c r="Z98" s="43">
        <v>0</v>
      </c>
      <c r="AA98" s="43">
        <v>0</v>
      </c>
      <c r="AB98" s="43">
        <v>0</v>
      </c>
      <c r="AC98" s="43">
        <f t="shared" si="11"/>
        <v>0</v>
      </c>
      <c r="AD98" s="43">
        <v>1974400</v>
      </c>
      <c r="AE98" s="43">
        <f t="shared" si="12"/>
        <v>58205312</v>
      </c>
      <c r="AF98" s="43">
        <f t="shared" si="18"/>
        <v>4936</v>
      </c>
      <c r="AG98" s="43">
        <f t="shared" si="19"/>
        <v>4936</v>
      </c>
      <c r="AH98" s="38">
        <v>45323</v>
      </c>
      <c r="AI98" s="38"/>
      <c r="AJ98" s="38"/>
      <c r="AK98" s="38">
        <v>45352</v>
      </c>
      <c r="AL98" s="38"/>
      <c r="AM98" s="48"/>
      <c r="AN98" s="42"/>
      <c r="AO98" s="42" t="s">
        <v>785</v>
      </c>
      <c r="AP98" s="42" t="s">
        <v>786</v>
      </c>
      <c r="AQ98" s="42" t="s">
        <v>787</v>
      </c>
      <c r="AR98" s="42" t="s">
        <v>788</v>
      </c>
      <c r="AS98" s="50">
        <v>0</v>
      </c>
      <c r="AT98" s="39">
        <v>100</v>
      </c>
      <c r="AU98" s="39" t="s">
        <v>95</v>
      </c>
      <c r="AV98" s="49">
        <v>400</v>
      </c>
      <c r="AW98" s="39" t="s">
        <v>62</v>
      </c>
      <c r="AX98" s="39">
        <v>10</v>
      </c>
      <c r="AY98" s="30">
        <f>(J98*10)/100</f>
        <v>5820531.2000000002</v>
      </c>
      <c r="AZ98" s="42" t="s">
        <v>97</v>
      </c>
    </row>
    <row r="99" spans="1:52" ht="60.75" customHeight="1" x14ac:dyDescent="0.25">
      <c r="A99" s="46" t="s">
        <v>789</v>
      </c>
      <c r="B99" s="48">
        <v>45254</v>
      </c>
      <c r="C99" s="42">
        <v>1416</v>
      </c>
      <c r="D99" s="37" t="s">
        <v>790</v>
      </c>
      <c r="E99" s="41" t="s">
        <v>791</v>
      </c>
      <c r="F99" s="38">
        <v>45275</v>
      </c>
      <c r="G99" s="39" t="s">
        <v>792</v>
      </c>
      <c r="H99" s="42" t="s">
        <v>88</v>
      </c>
      <c r="I99" s="42" t="s">
        <v>793</v>
      </c>
      <c r="J99" s="56">
        <v>46219245</v>
      </c>
      <c r="K99" s="56">
        <v>46219245</v>
      </c>
      <c r="L99" s="56">
        <v>0</v>
      </c>
      <c r="M99" s="56">
        <v>0</v>
      </c>
      <c r="N99" s="44">
        <f t="shared" si="20"/>
        <v>0</v>
      </c>
      <c r="O99" s="45">
        <f t="shared" si="14"/>
        <v>0</v>
      </c>
      <c r="P99" s="43">
        <v>46219245</v>
      </c>
      <c r="Q99" s="45">
        <f t="shared" si="21"/>
        <v>0</v>
      </c>
      <c r="R99" s="43">
        <v>46219245</v>
      </c>
      <c r="S99" s="30">
        <f t="shared" si="17"/>
        <v>46219245</v>
      </c>
      <c r="T99" s="30">
        <f t="shared" si="17"/>
        <v>46219245</v>
      </c>
      <c r="U99" s="30">
        <f>T99/X99</f>
        <v>12.49</v>
      </c>
      <c r="V99" s="43">
        <f>T99/X99</f>
        <v>12.49</v>
      </c>
      <c r="W99" s="43">
        <f t="shared" si="10"/>
        <v>6245</v>
      </c>
      <c r="X99" s="43">
        <v>3700500</v>
      </c>
      <c r="Y99" s="43">
        <v>3700500</v>
      </c>
      <c r="Z99" s="43">
        <v>0</v>
      </c>
      <c r="AA99" s="43">
        <v>0</v>
      </c>
      <c r="AB99" s="43">
        <v>0</v>
      </c>
      <c r="AC99" s="43">
        <f t="shared" si="11"/>
        <v>0</v>
      </c>
      <c r="AD99" s="43">
        <v>3700500</v>
      </c>
      <c r="AE99" s="43">
        <f t="shared" si="12"/>
        <v>46219245</v>
      </c>
      <c r="AF99" s="43">
        <f t="shared" si="18"/>
        <v>7401</v>
      </c>
      <c r="AG99" s="43">
        <f t="shared" si="19"/>
        <v>7401</v>
      </c>
      <c r="AH99" s="38">
        <v>45301</v>
      </c>
      <c r="AI99" s="38"/>
      <c r="AJ99" s="38"/>
      <c r="AK99" s="38">
        <v>45332</v>
      </c>
      <c r="AL99" s="38"/>
      <c r="AM99" s="48"/>
      <c r="AN99" s="42"/>
      <c r="AO99" s="42" t="s">
        <v>794</v>
      </c>
      <c r="AP99" s="42" t="s">
        <v>795</v>
      </c>
      <c r="AQ99" s="42" t="s">
        <v>796</v>
      </c>
      <c r="AR99" s="42" t="s">
        <v>773</v>
      </c>
      <c r="AS99" s="50">
        <v>0</v>
      </c>
      <c r="AT99" s="39">
        <v>100</v>
      </c>
      <c r="AU99" s="39" t="s">
        <v>95</v>
      </c>
      <c r="AV99" s="49">
        <v>500</v>
      </c>
      <c r="AW99" s="39" t="s">
        <v>62</v>
      </c>
      <c r="AX99" s="39">
        <v>10</v>
      </c>
      <c r="AY99" s="30">
        <f>(J99*10)/100</f>
        <v>4621924.5</v>
      </c>
      <c r="AZ99" s="42" t="s">
        <v>97</v>
      </c>
    </row>
    <row r="100" spans="1:52" ht="60.75" customHeight="1" x14ac:dyDescent="0.25">
      <c r="A100" s="46" t="s">
        <v>797</v>
      </c>
      <c r="B100" s="48">
        <v>45254</v>
      </c>
      <c r="C100" s="42">
        <v>1416</v>
      </c>
      <c r="D100" s="37" t="s">
        <v>798</v>
      </c>
      <c r="E100" s="41" t="s">
        <v>799</v>
      </c>
      <c r="F100" s="38">
        <v>45282</v>
      </c>
      <c r="G100" s="39" t="s">
        <v>800</v>
      </c>
      <c r="H100" s="42" t="s">
        <v>88</v>
      </c>
      <c r="I100" s="42" t="s">
        <v>801</v>
      </c>
      <c r="J100" s="56">
        <v>332011680</v>
      </c>
      <c r="K100" s="56">
        <v>332011680</v>
      </c>
      <c r="L100" s="56">
        <v>0</v>
      </c>
      <c r="M100" s="56">
        <v>0</v>
      </c>
      <c r="N100" s="44">
        <f t="shared" si="20"/>
        <v>0</v>
      </c>
      <c r="O100" s="45">
        <f t="shared" si="14"/>
        <v>0</v>
      </c>
      <c r="P100" s="43">
        <v>332011680</v>
      </c>
      <c r="Q100" s="45">
        <f t="shared" si="21"/>
        <v>0</v>
      </c>
      <c r="R100" s="43">
        <v>332011680</v>
      </c>
      <c r="S100" s="30">
        <f t="shared" si="17"/>
        <v>332011680</v>
      </c>
      <c r="T100" s="30">
        <f t="shared" si="17"/>
        <v>332011680</v>
      </c>
      <c r="U100" s="30">
        <f>T100/X100</f>
        <v>12.32</v>
      </c>
      <c r="V100" s="43">
        <f>T100/X100</f>
        <v>12.32</v>
      </c>
      <c r="W100" s="43">
        <f t="shared" si="10"/>
        <v>12320</v>
      </c>
      <c r="X100" s="43">
        <v>26949000</v>
      </c>
      <c r="Y100" s="43">
        <v>26949000</v>
      </c>
      <c r="Z100" s="43">
        <v>0</v>
      </c>
      <c r="AA100" s="43">
        <v>0</v>
      </c>
      <c r="AB100" s="43">
        <v>0</v>
      </c>
      <c r="AC100" s="43">
        <f t="shared" si="11"/>
        <v>0</v>
      </c>
      <c r="AD100" s="43">
        <v>26949000</v>
      </c>
      <c r="AE100" s="43">
        <f t="shared" si="12"/>
        <v>332011680</v>
      </c>
      <c r="AF100" s="43">
        <f t="shared" si="18"/>
        <v>26949</v>
      </c>
      <c r="AG100" s="43">
        <f t="shared" si="19"/>
        <v>26949</v>
      </c>
      <c r="AH100" s="38">
        <v>45301</v>
      </c>
      <c r="AI100" s="38"/>
      <c r="AJ100" s="38"/>
      <c r="AK100" s="38">
        <v>45332</v>
      </c>
      <c r="AL100" s="38"/>
      <c r="AM100" s="48"/>
      <c r="AN100" s="42"/>
      <c r="AO100" s="42" t="s">
        <v>794</v>
      </c>
      <c r="AP100" s="42" t="s">
        <v>802</v>
      </c>
      <c r="AQ100" s="42" t="s">
        <v>796</v>
      </c>
      <c r="AR100" s="42" t="s">
        <v>773</v>
      </c>
      <c r="AS100" s="50">
        <v>0</v>
      </c>
      <c r="AT100" s="39">
        <v>100</v>
      </c>
      <c r="AU100" s="39" t="s">
        <v>95</v>
      </c>
      <c r="AV100" s="49">
        <v>1000</v>
      </c>
      <c r="AW100" s="39" t="s">
        <v>62</v>
      </c>
      <c r="AX100" s="39">
        <v>10</v>
      </c>
      <c r="AY100" s="30">
        <f>(J100*10)/100</f>
        <v>33201168</v>
      </c>
      <c r="AZ100" s="42" t="s">
        <v>97</v>
      </c>
    </row>
    <row r="101" spans="1:52" ht="60.75" customHeight="1" x14ac:dyDescent="0.25">
      <c r="A101" s="46" t="s">
        <v>803</v>
      </c>
      <c r="B101" s="48">
        <v>45254</v>
      </c>
      <c r="C101" s="42">
        <v>545</v>
      </c>
      <c r="D101" s="37" t="s">
        <v>804</v>
      </c>
      <c r="E101" s="41" t="s">
        <v>805</v>
      </c>
      <c r="F101" s="38">
        <v>45275</v>
      </c>
      <c r="G101" s="39" t="s">
        <v>806</v>
      </c>
      <c r="H101" s="42" t="s">
        <v>271</v>
      </c>
      <c r="I101" s="42" t="s">
        <v>807</v>
      </c>
      <c r="J101" s="56">
        <v>15491197.199999999</v>
      </c>
      <c r="K101" s="56">
        <v>15491197.199999999</v>
      </c>
      <c r="L101" s="56">
        <v>0</v>
      </c>
      <c r="M101" s="56">
        <v>0</v>
      </c>
      <c r="N101" s="44">
        <f t="shared" si="20"/>
        <v>0</v>
      </c>
      <c r="O101" s="45">
        <f t="shared" si="14"/>
        <v>0</v>
      </c>
      <c r="P101" s="43">
        <v>15491197.199999999</v>
      </c>
      <c r="Q101" s="45">
        <f t="shared" si="21"/>
        <v>0</v>
      </c>
      <c r="R101" s="43">
        <v>15491197.199999999</v>
      </c>
      <c r="S101" s="30">
        <v>19634191.800000001</v>
      </c>
      <c r="T101" s="30">
        <f t="shared" si="17"/>
        <v>19634191.800000001</v>
      </c>
      <c r="U101" s="30">
        <f>T101/X101</f>
        <v>3002.17</v>
      </c>
      <c r="V101" s="43">
        <f>T101/X101</f>
        <v>3002.17</v>
      </c>
      <c r="W101" s="43">
        <f t="shared" si="10"/>
        <v>180130.2</v>
      </c>
      <c r="X101" s="43">
        <v>6540</v>
      </c>
      <c r="Y101" s="43">
        <v>6540</v>
      </c>
      <c r="Z101" s="43">
        <v>0</v>
      </c>
      <c r="AA101" s="43">
        <v>0</v>
      </c>
      <c r="AB101" s="43"/>
      <c r="AC101" s="43">
        <f t="shared" si="11"/>
        <v>0</v>
      </c>
      <c r="AD101" s="43"/>
      <c r="AE101" s="43">
        <f t="shared" si="12"/>
        <v>0</v>
      </c>
      <c r="AF101" s="43">
        <f t="shared" si="18"/>
        <v>109</v>
      </c>
      <c r="AG101" s="43">
        <f t="shared" si="19"/>
        <v>109</v>
      </c>
      <c r="AH101" s="38">
        <v>45301</v>
      </c>
      <c r="AI101" s="38"/>
      <c r="AJ101" s="38"/>
      <c r="AK101" s="38">
        <v>45332</v>
      </c>
      <c r="AL101" s="38"/>
      <c r="AM101" s="48"/>
      <c r="AN101" s="42" t="s">
        <v>323</v>
      </c>
      <c r="AO101" s="42" t="s">
        <v>430</v>
      </c>
      <c r="AP101" s="42" t="s">
        <v>451</v>
      </c>
      <c r="AQ101" s="42" t="s">
        <v>432</v>
      </c>
      <c r="AR101" s="42" t="s">
        <v>94</v>
      </c>
      <c r="AS101" s="50">
        <v>0</v>
      </c>
      <c r="AT101" s="39">
        <v>100</v>
      </c>
      <c r="AU101" s="39" t="s">
        <v>389</v>
      </c>
      <c r="AV101" s="49">
        <v>60</v>
      </c>
      <c r="AW101" s="39" t="s">
        <v>62</v>
      </c>
      <c r="AX101" s="39">
        <v>10</v>
      </c>
      <c r="AY101" s="30">
        <f>(J101*10)/100</f>
        <v>1549119.72</v>
      </c>
      <c r="AZ101" s="42" t="s">
        <v>97</v>
      </c>
    </row>
    <row r="102" spans="1:52" ht="32.450000000000003" customHeight="1" x14ac:dyDescent="0.25">
      <c r="A102" s="46" t="s">
        <v>808</v>
      </c>
      <c r="B102" s="48">
        <v>45258</v>
      </c>
      <c r="C102" s="42">
        <v>545</v>
      </c>
      <c r="D102" s="37" t="s">
        <v>809</v>
      </c>
      <c r="E102" s="41" t="s">
        <v>810</v>
      </c>
      <c r="F102" s="38">
        <v>45278</v>
      </c>
      <c r="G102" s="39" t="s">
        <v>811</v>
      </c>
      <c r="H102" s="42" t="s">
        <v>271</v>
      </c>
      <c r="I102" s="42" t="s">
        <v>429</v>
      </c>
      <c r="J102" s="56">
        <v>9798465.5999999996</v>
      </c>
      <c r="K102" s="56">
        <v>9798465.5999999996</v>
      </c>
      <c r="L102" s="56">
        <v>0</v>
      </c>
      <c r="M102" s="56">
        <v>0</v>
      </c>
      <c r="N102" s="44">
        <f t="shared" si="20"/>
        <v>0</v>
      </c>
      <c r="O102" s="45">
        <f t="shared" si="14"/>
        <v>0</v>
      </c>
      <c r="P102" s="43">
        <v>9798465.5999999996</v>
      </c>
      <c r="Q102" s="45">
        <f t="shared" si="21"/>
        <v>0</v>
      </c>
      <c r="R102" s="43">
        <v>9798465.5999999996</v>
      </c>
      <c r="S102" s="30">
        <f t="shared" ref="S102:S108" si="22">R102</f>
        <v>9798465.5999999996</v>
      </c>
      <c r="T102" s="30">
        <f t="shared" si="17"/>
        <v>9798465.5999999996</v>
      </c>
      <c r="U102" s="30">
        <f>T102/X102</f>
        <v>2916.21</v>
      </c>
      <c r="V102" s="43">
        <f>T102/X102</f>
        <v>2916.21</v>
      </c>
      <c r="W102" s="43">
        <f t="shared" si="10"/>
        <v>174972.6</v>
      </c>
      <c r="X102" s="43">
        <v>3360</v>
      </c>
      <c r="Y102" s="43">
        <v>3360</v>
      </c>
      <c r="Z102" s="43">
        <v>0</v>
      </c>
      <c r="AA102" s="43">
        <v>0</v>
      </c>
      <c r="AB102" s="43"/>
      <c r="AC102" s="43">
        <f t="shared" si="11"/>
        <v>0</v>
      </c>
      <c r="AD102" s="43"/>
      <c r="AE102" s="43">
        <f t="shared" si="12"/>
        <v>0</v>
      </c>
      <c r="AF102" s="43">
        <f t="shared" si="18"/>
        <v>56</v>
      </c>
      <c r="AG102" s="43">
        <f t="shared" si="19"/>
        <v>56</v>
      </c>
      <c r="AH102" s="38">
        <v>45306</v>
      </c>
      <c r="AI102" s="38"/>
      <c r="AJ102" s="38"/>
      <c r="AK102" s="38">
        <v>45332</v>
      </c>
      <c r="AL102" s="38"/>
      <c r="AM102" s="48"/>
      <c r="AN102" s="42" t="s">
        <v>323</v>
      </c>
      <c r="AO102" s="42" t="s">
        <v>430</v>
      </c>
      <c r="AP102" s="42" t="s">
        <v>431</v>
      </c>
      <c r="AQ102" s="42" t="s">
        <v>432</v>
      </c>
      <c r="AR102" s="42" t="s">
        <v>94</v>
      </c>
      <c r="AS102" s="50">
        <v>0</v>
      </c>
      <c r="AT102" s="39">
        <v>100</v>
      </c>
      <c r="AU102" s="39" t="s">
        <v>389</v>
      </c>
      <c r="AV102" s="49">
        <v>60</v>
      </c>
      <c r="AW102" s="39" t="s">
        <v>62</v>
      </c>
      <c r="AX102" s="39">
        <v>10</v>
      </c>
      <c r="AY102" s="30">
        <f>(J102*10)/100</f>
        <v>979846.56</v>
      </c>
      <c r="AZ102" s="42" t="s">
        <v>97</v>
      </c>
    </row>
    <row r="103" spans="1:52" ht="42.6" customHeight="1" x14ac:dyDescent="0.25">
      <c r="A103" s="46" t="s">
        <v>812</v>
      </c>
      <c r="B103" s="48">
        <v>45259</v>
      </c>
      <c r="C103" s="42">
        <v>1416</v>
      </c>
      <c r="D103" s="37" t="s">
        <v>813</v>
      </c>
      <c r="E103" s="41" t="s">
        <v>814</v>
      </c>
      <c r="F103" s="38">
        <v>45279</v>
      </c>
      <c r="G103" s="39" t="s">
        <v>815</v>
      </c>
      <c r="H103" s="42" t="s">
        <v>88</v>
      </c>
      <c r="I103" s="42" t="s">
        <v>816</v>
      </c>
      <c r="J103" s="56">
        <v>225303312</v>
      </c>
      <c r="K103" s="56">
        <v>225303312</v>
      </c>
      <c r="L103" s="56">
        <v>0</v>
      </c>
      <c r="M103" s="56">
        <v>0</v>
      </c>
      <c r="N103" s="44">
        <f t="shared" si="20"/>
        <v>0</v>
      </c>
      <c r="O103" s="45">
        <f t="shared" si="14"/>
        <v>0</v>
      </c>
      <c r="P103" s="43">
        <v>225303312</v>
      </c>
      <c r="Q103" s="45">
        <f t="shared" si="21"/>
        <v>0</v>
      </c>
      <c r="R103" s="43">
        <v>225303312</v>
      </c>
      <c r="S103" s="30">
        <f t="shared" si="22"/>
        <v>225303312</v>
      </c>
      <c r="T103" s="30">
        <f t="shared" si="17"/>
        <v>225303312</v>
      </c>
      <c r="U103" s="30">
        <f>T103/X103</f>
        <v>12.68</v>
      </c>
      <c r="V103" s="43">
        <f>T103/X103</f>
        <v>12.68</v>
      </c>
      <c r="W103" s="43">
        <f t="shared" si="10"/>
        <v>15216</v>
      </c>
      <c r="X103" s="43">
        <v>17768400</v>
      </c>
      <c r="Y103" s="43">
        <v>9120000</v>
      </c>
      <c r="Z103" s="43">
        <v>8648400</v>
      </c>
      <c r="AA103" s="43">
        <v>0</v>
      </c>
      <c r="AB103" s="43">
        <v>0</v>
      </c>
      <c r="AC103" s="43">
        <f t="shared" si="11"/>
        <v>0</v>
      </c>
      <c r="AD103" s="43">
        <f>9120000+8648400</f>
        <v>17768400</v>
      </c>
      <c r="AE103" s="43">
        <f t="shared" si="12"/>
        <v>225303312</v>
      </c>
      <c r="AF103" s="43">
        <f t="shared" si="18"/>
        <v>14807</v>
      </c>
      <c r="AG103" s="43">
        <f t="shared" si="19"/>
        <v>14807</v>
      </c>
      <c r="AH103" s="38">
        <v>45352</v>
      </c>
      <c r="AI103" s="38">
        <v>45443</v>
      </c>
      <c r="AJ103" s="38"/>
      <c r="AK103" s="38">
        <v>45383</v>
      </c>
      <c r="AL103" s="38">
        <v>45474</v>
      </c>
      <c r="AM103" s="48"/>
      <c r="AN103" s="42"/>
      <c r="AO103" s="42" t="s">
        <v>691</v>
      </c>
      <c r="AP103" s="42" t="s">
        <v>692</v>
      </c>
      <c r="AQ103" s="42" t="s">
        <v>693</v>
      </c>
      <c r="AR103" s="42" t="s">
        <v>94</v>
      </c>
      <c r="AS103" s="50">
        <v>0</v>
      </c>
      <c r="AT103" s="39">
        <v>100</v>
      </c>
      <c r="AU103" s="39" t="s">
        <v>95</v>
      </c>
      <c r="AV103" s="49">
        <v>1200</v>
      </c>
      <c r="AW103" s="39" t="s">
        <v>62</v>
      </c>
      <c r="AX103" s="39">
        <v>10</v>
      </c>
      <c r="AY103" s="30">
        <f>(J103*10)/100</f>
        <v>22530331.199999999</v>
      </c>
      <c r="AZ103" s="42" t="s">
        <v>328</v>
      </c>
    </row>
    <row r="104" spans="1:52" ht="41.45" customHeight="1" x14ac:dyDescent="0.25">
      <c r="A104" s="46" t="s">
        <v>817</v>
      </c>
      <c r="B104" s="48">
        <v>45259</v>
      </c>
      <c r="C104" s="42">
        <v>1416</v>
      </c>
      <c r="D104" s="37" t="s">
        <v>434</v>
      </c>
      <c r="E104" s="41" t="s">
        <v>818</v>
      </c>
      <c r="F104" s="38" t="s">
        <v>434</v>
      </c>
      <c r="G104" s="39" t="s">
        <v>434</v>
      </c>
      <c r="H104" s="42" t="s">
        <v>434</v>
      </c>
      <c r="I104" s="42" t="s">
        <v>819</v>
      </c>
      <c r="J104" s="56">
        <v>11989016.76</v>
      </c>
      <c r="K104" s="56">
        <v>11989016.76</v>
      </c>
      <c r="L104" s="56"/>
      <c r="M104" s="56"/>
      <c r="N104" s="44">
        <f t="shared" si="20"/>
        <v>100</v>
      </c>
      <c r="O104" s="45">
        <f t="shared" si="14"/>
        <v>11989016.76</v>
      </c>
      <c r="P104" s="43"/>
      <c r="Q104" s="45">
        <f t="shared" si="21"/>
        <v>11989016.76</v>
      </c>
      <c r="R104" s="43">
        <v>0</v>
      </c>
      <c r="S104" s="30">
        <f t="shared" si="22"/>
        <v>0</v>
      </c>
      <c r="T104" s="30">
        <f t="shared" si="17"/>
        <v>0</v>
      </c>
      <c r="U104" s="30" t="e">
        <f>T104/X104</f>
        <v>#DIV/0!</v>
      </c>
      <c r="V104" s="43" t="e">
        <f>T104/X104</f>
        <v>#DIV/0!</v>
      </c>
      <c r="W104" s="43" t="e">
        <f t="shared" si="10"/>
        <v>#DIV/0!</v>
      </c>
      <c r="X104" s="43">
        <v>0</v>
      </c>
      <c r="Y104" s="43">
        <v>0</v>
      </c>
      <c r="Z104" s="43">
        <v>0</v>
      </c>
      <c r="AA104" s="43">
        <v>0</v>
      </c>
      <c r="AB104" s="43"/>
      <c r="AC104" s="43" t="e">
        <f t="shared" si="11"/>
        <v>#DIV/0!</v>
      </c>
      <c r="AD104" s="43"/>
      <c r="AE104" s="43" t="e">
        <f t="shared" si="12"/>
        <v>#DIV/0!</v>
      </c>
      <c r="AF104" s="43" t="e">
        <f t="shared" si="18"/>
        <v>#DIV/0!</v>
      </c>
      <c r="AG104" s="43" t="e">
        <f t="shared" si="19"/>
        <v>#DIV/0!</v>
      </c>
      <c r="AH104" s="38">
        <v>45413</v>
      </c>
      <c r="AI104" s="38"/>
      <c r="AJ104" s="38"/>
      <c r="AK104" s="38"/>
      <c r="AL104" s="38"/>
      <c r="AM104" s="48"/>
      <c r="AN104" s="42"/>
      <c r="AO104" s="42"/>
      <c r="AP104" s="42"/>
      <c r="AQ104" s="42"/>
      <c r="AR104" s="42"/>
      <c r="AS104" s="50"/>
      <c r="AT104" s="39"/>
      <c r="AU104" s="39"/>
      <c r="AV104" s="49"/>
      <c r="AW104" s="39"/>
      <c r="AX104" s="39">
        <v>10</v>
      </c>
      <c r="AY104" s="30">
        <f>(J104*10)/100</f>
        <v>1198901.676</v>
      </c>
      <c r="AZ104" s="42" t="s">
        <v>434</v>
      </c>
    </row>
    <row r="105" spans="1:52" ht="42" customHeight="1" x14ac:dyDescent="0.25">
      <c r="A105" s="46" t="s">
        <v>820</v>
      </c>
      <c r="B105" s="48">
        <v>45259</v>
      </c>
      <c r="C105" s="42" t="s">
        <v>435</v>
      </c>
      <c r="D105" s="37" t="s">
        <v>821</v>
      </c>
      <c r="E105" s="41" t="s">
        <v>822</v>
      </c>
      <c r="F105" s="38">
        <v>45282</v>
      </c>
      <c r="G105" s="39" t="s">
        <v>823</v>
      </c>
      <c r="H105" s="42" t="s">
        <v>824</v>
      </c>
      <c r="I105" s="42" t="s">
        <v>825</v>
      </c>
      <c r="J105" s="56">
        <v>270804811.19999999</v>
      </c>
      <c r="K105" s="56">
        <v>270804811.19999999</v>
      </c>
      <c r="L105" s="56">
        <v>0</v>
      </c>
      <c r="M105" s="56">
        <v>0</v>
      </c>
      <c r="N105" s="44">
        <f t="shared" si="20"/>
        <v>0</v>
      </c>
      <c r="O105" s="45">
        <f t="shared" si="14"/>
        <v>0</v>
      </c>
      <c r="P105" s="43">
        <v>270804811.19999999</v>
      </c>
      <c r="Q105" s="45">
        <f t="shared" si="21"/>
        <v>0</v>
      </c>
      <c r="R105" s="43">
        <v>270804811.19999999</v>
      </c>
      <c r="S105" s="30">
        <f t="shared" si="22"/>
        <v>270804811.19999999</v>
      </c>
      <c r="T105" s="30">
        <f t="shared" si="17"/>
        <v>270804811.19999999</v>
      </c>
      <c r="U105" s="30">
        <f>T105/X105</f>
        <v>204.82</v>
      </c>
      <c r="V105" s="43">
        <f>T105/X105</f>
        <v>204.82</v>
      </c>
      <c r="W105" s="43">
        <f t="shared" si="10"/>
        <v>6144.5999999999995</v>
      </c>
      <c r="X105" s="43">
        <v>1322160</v>
      </c>
      <c r="Y105" s="43">
        <v>1322160</v>
      </c>
      <c r="Z105" s="43">
        <v>0</v>
      </c>
      <c r="AA105" s="43">
        <v>0</v>
      </c>
      <c r="AB105" s="43"/>
      <c r="AC105" s="43">
        <f t="shared" si="11"/>
        <v>0</v>
      </c>
      <c r="AD105" s="43"/>
      <c r="AE105" s="43">
        <f t="shared" si="12"/>
        <v>0</v>
      </c>
      <c r="AF105" s="43">
        <f t="shared" si="18"/>
        <v>44072</v>
      </c>
      <c r="AG105" s="43">
        <f t="shared" si="19"/>
        <v>44072</v>
      </c>
      <c r="AH105" s="38">
        <v>45323</v>
      </c>
      <c r="AI105" s="38"/>
      <c r="AJ105" s="38"/>
      <c r="AK105" s="38">
        <v>45352</v>
      </c>
      <c r="AL105" s="38"/>
      <c r="AM105" s="48"/>
      <c r="AN105" s="42"/>
      <c r="AO105" s="42" t="s">
        <v>826</v>
      </c>
      <c r="AP105" s="42" t="s">
        <v>827</v>
      </c>
      <c r="AQ105" s="42" t="s">
        <v>828</v>
      </c>
      <c r="AR105" s="42" t="s">
        <v>82</v>
      </c>
      <c r="AS105" s="50">
        <v>100</v>
      </c>
      <c r="AT105" s="39">
        <v>0</v>
      </c>
      <c r="AU105" s="39" t="s">
        <v>389</v>
      </c>
      <c r="AV105" s="49">
        <v>30</v>
      </c>
      <c r="AW105" s="39" t="s">
        <v>221</v>
      </c>
      <c r="AX105" s="39">
        <v>10</v>
      </c>
      <c r="AY105" s="30">
        <f>(J105*10)/100</f>
        <v>27080481.120000001</v>
      </c>
      <c r="AZ105" s="42" t="s">
        <v>405</v>
      </c>
    </row>
    <row r="106" spans="1:52" ht="42" customHeight="1" x14ac:dyDescent="0.25">
      <c r="A106" s="46" t="s">
        <v>829</v>
      </c>
      <c r="B106" s="48">
        <v>45259</v>
      </c>
      <c r="C106" s="42" t="s">
        <v>435</v>
      </c>
      <c r="D106" s="37" t="s">
        <v>830</v>
      </c>
      <c r="E106" s="41" t="s">
        <v>831</v>
      </c>
      <c r="F106" s="38">
        <v>45282</v>
      </c>
      <c r="G106" s="39" t="s">
        <v>832</v>
      </c>
      <c r="H106" s="42" t="s">
        <v>824</v>
      </c>
      <c r="I106" s="42" t="s">
        <v>825</v>
      </c>
      <c r="J106" s="56">
        <v>204885542.40000001</v>
      </c>
      <c r="K106" s="56">
        <v>204885542.40000001</v>
      </c>
      <c r="L106" s="56">
        <v>0</v>
      </c>
      <c r="M106" s="56">
        <v>0</v>
      </c>
      <c r="N106" s="44">
        <f t="shared" si="20"/>
        <v>0</v>
      </c>
      <c r="O106" s="45">
        <f t="shared" si="14"/>
        <v>0</v>
      </c>
      <c r="P106" s="43">
        <v>204885542.40000001</v>
      </c>
      <c r="Q106" s="45">
        <f t="shared" si="21"/>
        <v>0</v>
      </c>
      <c r="R106" s="43">
        <v>204885542.40000001</v>
      </c>
      <c r="S106" s="30">
        <f t="shared" si="22"/>
        <v>204885542.40000001</v>
      </c>
      <c r="T106" s="30">
        <f t="shared" si="17"/>
        <v>204885542.40000001</v>
      </c>
      <c r="U106" s="30">
        <f>T106/X106</f>
        <v>204.82</v>
      </c>
      <c r="V106" s="43">
        <f>T106/X106</f>
        <v>204.82</v>
      </c>
      <c r="W106" s="43">
        <f t="shared" si="10"/>
        <v>6144.5999999999995</v>
      </c>
      <c r="X106" s="43">
        <v>1000320</v>
      </c>
      <c r="Y106" s="43">
        <v>1000320</v>
      </c>
      <c r="Z106" s="43">
        <v>0</v>
      </c>
      <c r="AA106" s="43">
        <v>0</v>
      </c>
      <c r="AB106" s="43"/>
      <c r="AC106" s="43">
        <f t="shared" si="11"/>
        <v>0</v>
      </c>
      <c r="AD106" s="43"/>
      <c r="AE106" s="43">
        <f t="shared" si="12"/>
        <v>0</v>
      </c>
      <c r="AF106" s="43">
        <f t="shared" si="18"/>
        <v>33344</v>
      </c>
      <c r="AG106" s="43">
        <f t="shared" si="19"/>
        <v>33344</v>
      </c>
      <c r="AH106" s="38">
        <v>45323</v>
      </c>
      <c r="AI106" s="38"/>
      <c r="AJ106" s="38"/>
      <c r="AK106" s="38">
        <v>45352</v>
      </c>
      <c r="AL106" s="38"/>
      <c r="AM106" s="48"/>
      <c r="AN106" s="42"/>
      <c r="AO106" s="42" t="s">
        <v>826</v>
      </c>
      <c r="AP106" s="42" t="s">
        <v>827</v>
      </c>
      <c r="AQ106" s="42" t="s">
        <v>828</v>
      </c>
      <c r="AR106" s="42" t="s">
        <v>82</v>
      </c>
      <c r="AS106" s="50">
        <v>100</v>
      </c>
      <c r="AT106" s="39">
        <v>0</v>
      </c>
      <c r="AU106" s="39" t="s">
        <v>389</v>
      </c>
      <c r="AV106" s="49">
        <v>30</v>
      </c>
      <c r="AW106" s="39" t="s">
        <v>221</v>
      </c>
      <c r="AX106" s="39">
        <v>10</v>
      </c>
      <c r="AY106" s="30">
        <f>(J106*10)/100</f>
        <v>20488554.239999998</v>
      </c>
      <c r="AZ106" s="42" t="s">
        <v>405</v>
      </c>
    </row>
    <row r="107" spans="1:52" ht="42" customHeight="1" x14ac:dyDescent="0.25">
      <c r="A107" s="46" t="s">
        <v>833</v>
      </c>
      <c r="B107" s="48">
        <v>45264</v>
      </c>
      <c r="C107" s="42">
        <v>1416</v>
      </c>
      <c r="D107" s="37" t="s">
        <v>834</v>
      </c>
      <c r="E107" s="41" t="s">
        <v>835</v>
      </c>
      <c r="F107" s="38">
        <v>45285</v>
      </c>
      <c r="G107" s="39" t="s">
        <v>836</v>
      </c>
      <c r="H107" s="42" t="s">
        <v>226</v>
      </c>
      <c r="I107" s="42" t="s">
        <v>837</v>
      </c>
      <c r="J107" s="56">
        <v>10021808.16</v>
      </c>
      <c r="K107" s="56">
        <v>10021808.16</v>
      </c>
      <c r="L107" s="56">
        <v>0</v>
      </c>
      <c r="M107" s="56">
        <v>0</v>
      </c>
      <c r="N107" s="44">
        <f t="shared" si="20"/>
        <v>87.736469303958415</v>
      </c>
      <c r="O107" s="45">
        <f t="shared" si="14"/>
        <v>8792780.6400000006</v>
      </c>
      <c r="P107" s="43">
        <v>1229027.52</v>
      </c>
      <c r="Q107" s="45">
        <f t="shared" si="21"/>
        <v>8792780.6400000006</v>
      </c>
      <c r="R107" s="43">
        <v>1229027.52</v>
      </c>
      <c r="S107" s="30">
        <f t="shared" si="22"/>
        <v>1229027.52</v>
      </c>
      <c r="T107" s="30">
        <f t="shared" si="17"/>
        <v>1229027.52</v>
      </c>
      <c r="U107" s="30">
        <f>T107/X107</f>
        <v>98.86</v>
      </c>
      <c r="V107" s="43">
        <f>T107/X107</f>
        <v>98.86</v>
      </c>
      <c r="W107" s="43">
        <f t="shared" si="10"/>
        <v>2076.06</v>
      </c>
      <c r="X107" s="43">
        <v>12432</v>
      </c>
      <c r="Y107" s="43">
        <v>12432</v>
      </c>
      <c r="Z107" s="43">
        <v>0</v>
      </c>
      <c r="AA107" s="43">
        <v>0</v>
      </c>
      <c r="AB107" s="43">
        <v>0</v>
      </c>
      <c r="AC107" s="43">
        <f t="shared" si="11"/>
        <v>0</v>
      </c>
      <c r="AD107" s="43">
        <v>12432</v>
      </c>
      <c r="AE107" s="43">
        <f t="shared" si="12"/>
        <v>1229027.52</v>
      </c>
      <c r="AF107" s="43">
        <f t="shared" si="18"/>
        <v>592</v>
      </c>
      <c r="AG107" s="43">
        <f t="shared" si="19"/>
        <v>592</v>
      </c>
      <c r="AH107" s="38">
        <v>45352</v>
      </c>
      <c r="AI107" s="38"/>
      <c r="AJ107" s="38"/>
      <c r="AK107" s="38">
        <v>45383</v>
      </c>
      <c r="AL107" s="38"/>
      <c r="AM107" s="48"/>
      <c r="AN107" s="42"/>
      <c r="AO107" s="42" t="s">
        <v>838</v>
      </c>
      <c r="AP107" s="42" t="s">
        <v>839</v>
      </c>
      <c r="AQ107" s="42" t="s">
        <v>840</v>
      </c>
      <c r="AR107" s="42" t="s">
        <v>82</v>
      </c>
      <c r="AS107" s="50">
        <v>100</v>
      </c>
      <c r="AT107" s="39">
        <v>0</v>
      </c>
      <c r="AU107" s="39" t="s">
        <v>389</v>
      </c>
      <c r="AV107" s="49">
        <v>21</v>
      </c>
      <c r="AW107" s="39" t="s">
        <v>62</v>
      </c>
      <c r="AX107" s="39">
        <v>10</v>
      </c>
      <c r="AY107" s="30">
        <f>(J107*10)/100</f>
        <v>1002180.816</v>
      </c>
      <c r="AZ107" s="42" t="s">
        <v>405</v>
      </c>
    </row>
    <row r="108" spans="1:52" ht="42" customHeight="1" x14ac:dyDescent="0.25">
      <c r="A108" s="46" t="s">
        <v>841</v>
      </c>
      <c r="B108" s="48">
        <v>45264</v>
      </c>
      <c r="C108" s="42" t="s">
        <v>435</v>
      </c>
      <c r="D108" s="37" t="s">
        <v>842</v>
      </c>
      <c r="E108" s="41" t="s">
        <v>843</v>
      </c>
      <c r="F108" s="38">
        <v>45285</v>
      </c>
      <c r="G108" s="39" t="s">
        <v>844</v>
      </c>
      <c r="H108" s="42" t="s">
        <v>54</v>
      </c>
      <c r="I108" s="42" t="s">
        <v>845</v>
      </c>
      <c r="J108" s="56">
        <v>299991938.39999998</v>
      </c>
      <c r="K108" s="56">
        <v>299991938.39999998</v>
      </c>
      <c r="L108" s="56">
        <v>0</v>
      </c>
      <c r="M108" s="56">
        <v>0</v>
      </c>
      <c r="N108" s="44">
        <f t="shared" si="20"/>
        <v>0</v>
      </c>
      <c r="O108" s="45">
        <f t="shared" si="14"/>
        <v>0</v>
      </c>
      <c r="P108" s="43">
        <v>299991938.39999998</v>
      </c>
      <c r="Q108" s="45">
        <f t="shared" si="21"/>
        <v>0</v>
      </c>
      <c r="R108" s="43">
        <v>299991938.39999998</v>
      </c>
      <c r="S108" s="30">
        <f t="shared" si="22"/>
        <v>299991938.39999998</v>
      </c>
      <c r="T108" s="30">
        <f t="shared" si="17"/>
        <v>299991938.39999998</v>
      </c>
      <c r="U108" s="30">
        <f>T108/X108</f>
        <v>2248.9499999999998</v>
      </c>
      <c r="V108" s="43">
        <f>T108/X108</f>
        <v>2248.9499999999998</v>
      </c>
      <c r="W108" s="43">
        <f t="shared" si="10"/>
        <v>188911.8</v>
      </c>
      <c r="X108" s="43">
        <v>133392</v>
      </c>
      <c r="Y108" s="58">
        <v>76175.137799999997</v>
      </c>
      <c r="Z108" s="58">
        <v>57216.862200000003</v>
      </c>
      <c r="AA108" s="43">
        <v>0</v>
      </c>
      <c r="AB108" s="43"/>
      <c r="AC108" s="43">
        <f t="shared" si="11"/>
        <v>0</v>
      </c>
      <c r="AD108" s="43"/>
      <c r="AE108" s="43">
        <f t="shared" si="12"/>
        <v>0</v>
      </c>
      <c r="AF108" s="43">
        <f t="shared" si="18"/>
        <v>1588</v>
      </c>
      <c r="AG108" s="43">
        <f t="shared" si="19"/>
        <v>1588</v>
      </c>
      <c r="AH108" s="38">
        <v>45306</v>
      </c>
      <c r="AI108" s="38">
        <v>45366</v>
      </c>
      <c r="AJ108" s="38"/>
      <c r="AK108" s="38">
        <v>45337</v>
      </c>
      <c r="AL108" s="38">
        <v>45397</v>
      </c>
      <c r="AM108" s="48"/>
      <c r="AN108" s="42"/>
      <c r="AO108" s="42" t="s">
        <v>581</v>
      </c>
      <c r="AP108" s="42" t="s">
        <v>846</v>
      </c>
      <c r="AQ108" s="42" t="s">
        <v>847</v>
      </c>
      <c r="AR108" s="42" t="s">
        <v>60</v>
      </c>
      <c r="AS108" s="50">
        <v>0</v>
      </c>
      <c r="AT108" s="39">
        <v>100</v>
      </c>
      <c r="AU108" s="39" t="s">
        <v>389</v>
      </c>
      <c r="AV108" s="49">
        <v>84</v>
      </c>
      <c r="AW108" s="39" t="s">
        <v>62</v>
      </c>
      <c r="AX108" s="39">
        <v>10</v>
      </c>
      <c r="AY108" s="30">
        <f>(J108*10)/100</f>
        <v>29999193.84</v>
      </c>
      <c r="AZ108" s="42" t="s">
        <v>848</v>
      </c>
    </row>
    <row r="109" spans="1:52" ht="42" customHeight="1" x14ac:dyDescent="0.25">
      <c r="A109" s="46" t="s">
        <v>849</v>
      </c>
      <c r="B109" s="48">
        <v>45264</v>
      </c>
      <c r="C109" s="42">
        <v>1416</v>
      </c>
      <c r="D109" s="37" t="s">
        <v>850</v>
      </c>
      <c r="E109" s="41" t="s">
        <v>851</v>
      </c>
      <c r="F109" s="38">
        <v>45285</v>
      </c>
      <c r="G109" s="39" t="s">
        <v>852</v>
      </c>
      <c r="H109" s="42" t="s">
        <v>54</v>
      </c>
      <c r="I109" s="42" t="s">
        <v>853</v>
      </c>
      <c r="J109" s="56">
        <v>24725220.030000001</v>
      </c>
      <c r="K109" s="56">
        <v>24725220.030000001</v>
      </c>
      <c r="L109" s="56">
        <v>0</v>
      </c>
      <c r="M109" s="56">
        <v>0</v>
      </c>
      <c r="N109" s="44">
        <f t="shared" si="20"/>
        <v>0.499999999393338</v>
      </c>
      <c r="O109" s="45">
        <f t="shared" si="14"/>
        <v>123626.10000000149</v>
      </c>
      <c r="P109" s="43">
        <v>24601593.93</v>
      </c>
      <c r="Q109" s="45">
        <f t="shared" si="21"/>
        <v>123626.10000000149</v>
      </c>
      <c r="R109" s="43">
        <v>24601593.93</v>
      </c>
      <c r="S109" s="30">
        <v>24601583.789999999</v>
      </c>
      <c r="T109" s="30">
        <f t="shared" ref="T109:T120" si="23">S109</f>
        <v>24601583.789999999</v>
      </c>
      <c r="U109" s="30">
        <f>T109/X109</f>
        <v>10554.09</v>
      </c>
      <c r="V109" s="43">
        <f>T109/X109</f>
        <v>10554.09</v>
      </c>
      <c r="W109" s="43">
        <f t="shared" si="10"/>
        <v>221635.89</v>
      </c>
      <c r="X109" s="43">
        <v>2331</v>
      </c>
      <c r="Y109" s="43">
        <v>2331</v>
      </c>
      <c r="Z109" s="43">
        <v>0</v>
      </c>
      <c r="AA109" s="43">
        <v>0</v>
      </c>
      <c r="AB109" s="43">
        <v>0</v>
      </c>
      <c r="AC109" s="43">
        <f t="shared" si="11"/>
        <v>0</v>
      </c>
      <c r="AD109" s="43">
        <v>2331</v>
      </c>
      <c r="AE109" s="43">
        <f t="shared" si="12"/>
        <v>24601583.789999999</v>
      </c>
      <c r="AF109" s="43">
        <f t="shared" si="18"/>
        <v>111</v>
      </c>
      <c r="AG109" s="43">
        <f t="shared" si="19"/>
        <v>111</v>
      </c>
      <c r="AH109" s="38">
        <v>45352</v>
      </c>
      <c r="AI109" s="38"/>
      <c r="AJ109" s="38"/>
      <c r="AK109" s="38">
        <v>45017</v>
      </c>
      <c r="AL109" s="38"/>
      <c r="AM109" s="48"/>
      <c r="AN109" s="42"/>
      <c r="AO109" s="42" t="s">
        <v>854</v>
      </c>
      <c r="AP109" s="42" t="s">
        <v>855</v>
      </c>
      <c r="AQ109" s="42" t="s">
        <v>856</v>
      </c>
      <c r="AR109" s="42" t="s">
        <v>82</v>
      </c>
      <c r="AS109" s="50">
        <v>100</v>
      </c>
      <c r="AT109" s="39">
        <v>0</v>
      </c>
      <c r="AU109" s="39" t="s">
        <v>389</v>
      </c>
      <c r="AV109" s="49">
        <v>21</v>
      </c>
      <c r="AW109" s="39" t="s">
        <v>62</v>
      </c>
      <c r="AX109" s="39">
        <v>10</v>
      </c>
      <c r="AY109" s="30">
        <f>(J109*10)/100</f>
        <v>2472522.003</v>
      </c>
      <c r="AZ109" s="42" t="s">
        <v>405</v>
      </c>
    </row>
    <row r="110" spans="1:52" ht="75" x14ac:dyDescent="0.25">
      <c r="A110" s="46" t="s">
        <v>857</v>
      </c>
      <c r="B110" s="48">
        <v>45264</v>
      </c>
      <c r="C110" s="42">
        <v>1416</v>
      </c>
      <c r="D110" s="37" t="s">
        <v>434</v>
      </c>
      <c r="E110" s="41" t="s">
        <v>858</v>
      </c>
      <c r="F110" s="38" t="s">
        <v>434</v>
      </c>
      <c r="G110" s="39" t="s">
        <v>434</v>
      </c>
      <c r="H110" s="42" t="s">
        <v>434</v>
      </c>
      <c r="I110" s="42" t="s">
        <v>859</v>
      </c>
      <c r="J110" s="56">
        <v>1009470</v>
      </c>
      <c r="K110" s="56">
        <v>1009470</v>
      </c>
      <c r="L110" s="56"/>
      <c r="M110" s="56"/>
      <c r="N110" s="44">
        <f t="shared" si="20"/>
        <v>100</v>
      </c>
      <c r="O110" s="45">
        <f t="shared" si="14"/>
        <v>1009470</v>
      </c>
      <c r="P110" s="43"/>
      <c r="Q110" s="45">
        <f t="shared" si="21"/>
        <v>1009470</v>
      </c>
      <c r="R110" s="43">
        <v>0</v>
      </c>
      <c r="S110" s="30">
        <f>R110</f>
        <v>0</v>
      </c>
      <c r="T110" s="30">
        <f t="shared" si="23"/>
        <v>0</v>
      </c>
      <c r="U110" s="30" t="e">
        <f>T110/X110</f>
        <v>#DIV/0!</v>
      </c>
      <c r="V110" s="43" t="e">
        <f>T110/X110</f>
        <v>#DIV/0!</v>
      </c>
      <c r="W110" s="43" t="e">
        <f t="shared" si="10"/>
        <v>#DIV/0!</v>
      </c>
      <c r="X110" s="43">
        <v>0</v>
      </c>
      <c r="Y110" s="43">
        <v>0</v>
      </c>
      <c r="Z110" s="43">
        <v>0</v>
      </c>
      <c r="AA110" s="43">
        <v>0</v>
      </c>
      <c r="AB110" s="43"/>
      <c r="AC110" s="43" t="e">
        <f t="shared" si="11"/>
        <v>#DIV/0!</v>
      </c>
      <c r="AD110" s="43"/>
      <c r="AE110" s="43" t="e">
        <f t="shared" si="12"/>
        <v>#DIV/0!</v>
      </c>
      <c r="AF110" s="43" t="e">
        <f t="shared" si="18"/>
        <v>#DIV/0!</v>
      </c>
      <c r="AG110" s="43" t="e">
        <f t="shared" si="19"/>
        <v>#DIV/0!</v>
      </c>
      <c r="AH110" s="38">
        <v>45352</v>
      </c>
      <c r="AI110" s="38"/>
      <c r="AJ110" s="38"/>
      <c r="AK110" s="38"/>
      <c r="AL110" s="38"/>
      <c r="AM110" s="48"/>
      <c r="AN110" s="42"/>
      <c r="AO110" s="42"/>
      <c r="AP110" s="42"/>
      <c r="AQ110" s="42"/>
      <c r="AR110" s="42"/>
      <c r="AS110" s="50"/>
      <c r="AT110" s="39"/>
      <c r="AU110" s="39"/>
      <c r="AV110" s="49"/>
      <c r="AW110" s="39"/>
      <c r="AX110" s="39">
        <v>10</v>
      </c>
      <c r="AY110" s="30">
        <f>(J110*10)/100</f>
        <v>100947</v>
      </c>
      <c r="AZ110" s="42" t="s">
        <v>434</v>
      </c>
    </row>
    <row r="111" spans="1:52" ht="87" customHeight="1" x14ac:dyDescent="0.25">
      <c r="A111" s="46" t="s">
        <v>860</v>
      </c>
      <c r="B111" s="48">
        <v>45268</v>
      </c>
      <c r="C111" s="42">
        <v>1416</v>
      </c>
      <c r="D111" s="37" t="s">
        <v>861</v>
      </c>
      <c r="E111" s="41" t="s">
        <v>862</v>
      </c>
      <c r="F111" s="38">
        <v>45289</v>
      </c>
      <c r="G111" s="39" t="s">
        <v>863</v>
      </c>
      <c r="H111" s="42" t="s">
        <v>141</v>
      </c>
      <c r="I111" s="42" t="s">
        <v>864</v>
      </c>
      <c r="J111" s="56">
        <v>14412600</v>
      </c>
      <c r="K111" s="56">
        <v>14412600</v>
      </c>
      <c r="L111" s="56">
        <v>0</v>
      </c>
      <c r="M111" s="56">
        <v>0</v>
      </c>
      <c r="N111" s="44">
        <f t="shared" si="20"/>
        <v>0</v>
      </c>
      <c r="O111" s="45">
        <f t="shared" si="14"/>
        <v>0</v>
      </c>
      <c r="P111" s="43">
        <v>14412600</v>
      </c>
      <c r="Q111" s="45">
        <f t="shared" si="21"/>
        <v>0</v>
      </c>
      <c r="R111" s="43">
        <v>14412600</v>
      </c>
      <c r="S111" s="30">
        <f>R111</f>
        <v>14412600</v>
      </c>
      <c r="T111" s="30">
        <f t="shared" si="23"/>
        <v>14412600</v>
      </c>
      <c r="U111" s="30">
        <f>T111/X111</f>
        <v>7.85</v>
      </c>
      <c r="V111" s="43">
        <f>T111/X111</f>
        <v>7.85</v>
      </c>
      <c r="W111" s="43">
        <f t="shared" si="10"/>
        <v>3925</v>
      </c>
      <c r="X111" s="43">
        <v>1836000</v>
      </c>
      <c r="Y111" s="43">
        <v>1836000</v>
      </c>
      <c r="Z111" s="43">
        <v>0</v>
      </c>
      <c r="AA111" s="43">
        <v>0</v>
      </c>
      <c r="AB111" s="43">
        <v>613000</v>
      </c>
      <c r="AC111" s="43">
        <f t="shared" si="11"/>
        <v>4812050</v>
      </c>
      <c r="AD111" s="43">
        <v>1223000</v>
      </c>
      <c r="AE111" s="43">
        <f t="shared" si="12"/>
        <v>9600550</v>
      </c>
      <c r="AF111" s="43">
        <f t="shared" si="18"/>
        <v>3672</v>
      </c>
      <c r="AG111" s="43">
        <f t="shared" si="19"/>
        <v>3672</v>
      </c>
      <c r="AH111" s="38">
        <v>45383</v>
      </c>
      <c r="AI111" s="38"/>
      <c r="AJ111" s="38"/>
      <c r="AK111" s="38">
        <v>45413</v>
      </c>
      <c r="AL111" s="38"/>
      <c r="AM111" s="48"/>
      <c r="AN111" s="42"/>
      <c r="AO111" s="42" t="s">
        <v>865</v>
      </c>
      <c r="AP111" s="42" t="s">
        <v>866</v>
      </c>
      <c r="AQ111" s="42" t="s">
        <v>867</v>
      </c>
      <c r="AR111" s="42" t="s">
        <v>82</v>
      </c>
      <c r="AS111" s="50">
        <v>100</v>
      </c>
      <c r="AT111" s="39">
        <v>0</v>
      </c>
      <c r="AU111" s="39" t="s">
        <v>95</v>
      </c>
      <c r="AV111" s="49">
        <v>500</v>
      </c>
      <c r="AW111" s="39" t="s">
        <v>62</v>
      </c>
      <c r="AX111" s="39">
        <v>10</v>
      </c>
      <c r="AY111" s="30">
        <f>(J111*10)/100</f>
        <v>1441260</v>
      </c>
      <c r="AZ111" s="42" t="s">
        <v>405</v>
      </c>
    </row>
    <row r="112" spans="1:52" ht="87" customHeight="1" x14ac:dyDescent="0.25">
      <c r="A112" s="46" t="s">
        <v>868</v>
      </c>
      <c r="B112" s="48">
        <v>45268</v>
      </c>
      <c r="C112" s="42">
        <v>1416</v>
      </c>
      <c r="D112" s="37" t="s">
        <v>869</v>
      </c>
      <c r="E112" s="41" t="s">
        <v>870</v>
      </c>
      <c r="F112" s="38">
        <v>45302</v>
      </c>
      <c r="G112" s="39" t="s">
        <v>871</v>
      </c>
      <c r="H112" s="42" t="s">
        <v>88</v>
      </c>
      <c r="I112" s="42" t="s">
        <v>872</v>
      </c>
      <c r="J112" s="56">
        <v>312035112</v>
      </c>
      <c r="K112" s="56">
        <v>312035112</v>
      </c>
      <c r="L112" s="56">
        <v>0</v>
      </c>
      <c r="M112" s="56">
        <v>0</v>
      </c>
      <c r="N112" s="44">
        <f t="shared" si="20"/>
        <v>0</v>
      </c>
      <c r="O112" s="45">
        <f t="shared" si="14"/>
        <v>0</v>
      </c>
      <c r="P112" s="43">
        <v>312035112</v>
      </c>
      <c r="Q112" s="45">
        <f t="shared" si="21"/>
        <v>0</v>
      </c>
      <c r="R112" s="43">
        <v>312035112</v>
      </c>
      <c r="S112" s="30">
        <f>R112</f>
        <v>312035112</v>
      </c>
      <c r="T112" s="30">
        <f t="shared" si="23"/>
        <v>312035112</v>
      </c>
      <c r="U112" s="30">
        <f>T112/X112</f>
        <v>12.84</v>
      </c>
      <c r="V112" s="43">
        <f>T112/X112</f>
        <v>12.84</v>
      </c>
      <c r="W112" s="43">
        <f t="shared" si="10"/>
        <v>30816</v>
      </c>
      <c r="X112" s="43">
        <v>24301800</v>
      </c>
      <c r="Y112" s="43">
        <v>11232000</v>
      </c>
      <c r="Z112" s="43">
        <v>13069800</v>
      </c>
      <c r="AA112" s="43">
        <v>0</v>
      </c>
      <c r="AB112" s="43">
        <f>3988800+5845800</f>
        <v>9834600</v>
      </c>
      <c r="AC112" s="43">
        <f t="shared" si="11"/>
        <v>126276264</v>
      </c>
      <c r="AD112" s="43">
        <f>7243200+7224000</f>
        <v>14467200</v>
      </c>
      <c r="AE112" s="43">
        <f t="shared" si="12"/>
        <v>185758848</v>
      </c>
      <c r="AF112" s="43">
        <f t="shared" si="18"/>
        <v>10125.75</v>
      </c>
      <c r="AG112" s="43">
        <f t="shared" si="19"/>
        <v>10126</v>
      </c>
      <c r="AH112" s="38">
        <v>45352</v>
      </c>
      <c r="AI112" s="38">
        <v>45444</v>
      </c>
      <c r="AJ112" s="38"/>
      <c r="AK112" s="38">
        <v>45383</v>
      </c>
      <c r="AL112" s="38">
        <v>45474</v>
      </c>
      <c r="AM112" s="48"/>
      <c r="AN112" s="42"/>
      <c r="AO112" s="42" t="s">
        <v>691</v>
      </c>
      <c r="AP112" s="42" t="s">
        <v>873</v>
      </c>
      <c r="AQ112" s="42" t="s">
        <v>693</v>
      </c>
      <c r="AR112" s="42" t="s">
        <v>94</v>
      </c>
      <c r="AS112" s="50">
        <v>0</v>
      </c>
      <c r="AT112" s="39">
        <v>100</v>
      </c>
      <c r="AU112" s="39" t="s">
        <v>95</v>
      </c>
      <c r="AV112" s="49">
        <v>2400</v>
      </c>
      <c r="AW112" s="39" t="s">
        <v>62</v>
      </c>
      <c r="AX112" s="39">
        <v>10</v>
      </c>
      <c r="AY112" s="30">
        <f>(J112*10)/100</f>
        <v>31203511.199999999</v>
      </c>
      <c r="AZ112" s="42" t="s">
        <v>328</v>
      </c>
    </row>
    <row r="113" spans="1:52" ht="75" x14ac:dyDescent="0.25">
      <c r="A113" s="46" t="s">
        <v>874</v>
      </c>
      <c r="B113" s="48">
        <v>45268</v>
      </c>
      <c r="C113" s="42">
        <v>1416</v>
      </c>
      <c r="D113" s="37" t="s">
        <v>875</v>
      </c>
      <c r="E113" s="41" t="s">
        <v>876</v>
      </c>
      <c r="F113" s="38">
        <v>45300</v>
      </c>
      <c r="G113" s="39" t="s">
        <v>877</v>
      </c>
      <c r="H113" s="42" t="s">
        <v>226</v>
      </c>
      <c r="I113" s="42" t="s">
        <v>878</v>
      </c>
      <c r="J113" s="56">
        <v>26867326.5</v>
      </c>
      <c r="K113" s="56">
        <v>26867326.5</v>
      </c>
      <c r="L113" s="56">
        <v>0</v>
      </c>
      <c r="M113" s="56">
        <v>0</v>
      </c>
      <c r="N113" s="44">
        <f t="shared" si="20"/>
        <v>0.49999999069501372</v>
      </c>
      <c r="O113" s="45">
        <f t="shared" si="14"/>
        <v>134336.62999999896</v>
      </c>
      <c r="P113" s="43">
        <v>26732989.870000001</v>
      </c>
      <c r="Q113" s="45">
        <f t="shared" si="21"/>
        <v>134336.62999999896</v>
      </c>
      <c r="R113" s="43">
        <v>26732989.870000001</v>
      </c>
      <c r="S113" s="30">
        <v>26723938.5</v>
      </c>
      <c r="T113" s="30">
        <f t="shared" si="23"/>
        <v>26723938.5</v>
      </c>
      <c r="U113" s="30">
        <f>T113/X113</f>
        <v>14.91</v>
      </c>
      <c r="V113" s="43">
        <f>T113/X113</f>
        <v>14.91</v>
      </c>
      <c r="W113" s="43">
        <f t="shared" si="10"/>
        <v>745.5</v>
      </c>
      <c r="X113" s="43">
        <v>1792350</v>
      </c>
      <c r="Y113" s="43">
        <v>1792350</v>
      </c>
      <c r="Z113" s="43">
        <v>0</v>
      </c>
      <c r="AA113" s="43">
        <v>0</v>
      </c>
      <c r="AB113" s="43">
        <v>57100</v>
      </c>
      <c r="AC113" s="43">
        <f t="shared" si="11"/>
        <v>851361</v>
      </c>
      <c r="AD113" s="43">
        <v>1735250</v>
      </c>
      <c r="AE113" s="43">
        <f t="shared" si="12"/>
        <v>25872577.5</v>
      </c>
      <c r="AF113" s="43">
        <f t="shared" si="18"/>
        <v>35847</v>
      </c>
      <c r="AG113" s="43">
        <f t="shared" si="19"/>
        <v>35847</v>
      </c>
      <c r="AH113" s="38">
        <v>45323</v>
      </c>
      <c r="AI113" s="38"/>
      <c r="AJ113" s="38"/>
      <c r="AK113" s="38">
        <v>45352</v>
      </c>
      <c r="AL113" s="38"/>
      <c r="AM113" s="48"/>
      <c r="AN113" s="42"/>
      <c r="AO113" s="42" t="s">
        <v>879</v>
      </c>
      <c r="AP113" s="42" t="s">
        <v>880</v>
      </c>
      <c r="AQ113" s="42" t="s">
        <v>881</v>
      </c>
      <c r="AR113" s="42" t="s">
        <v>82</v>
      </c>
      <c r="AS113" s="50">
        <v>100</v>
      </c>
      <c r="AT113" s="39">
        <v>0</v>
      </c>
      <c r="AU113" s="39" t="s">
        <v>389</v>
      </c>
      <c r="AV113" s="49">
        <v>50</v>
      </c>
      <c r="AW113" s="39" t="s">
        <v>62</v>
      </c>
      <c r="AX113" s="39">
        <v>10</v>
      </c>
      <c r="AY113" s="30">
        <f>(J113*10)/100</f>
        <v>2686732.65</v>
      </c>
      <c r="AZ113" s="42" t="s">
        <v>405</v>
      </c>
    </row>
    <row r="114" spans="1:52" ht="75" x14ac:dyDescent="0.25">
      <c r="A114" s="46" t="s">
        <v>882</v>
      </c>
      <c r="B114" s="48">
        <v>45264</v>
      </c>
      <c r="C114" s="42">
        <v>1416</v>
      </c>
      <c r="D114" s="37" t="s">
        <v>434</v>
      </c>
      <c r="E114" s="41" t="s">
        <v>883</v>
      </c>
      <c r="F114" s="38" t="s">
        <v>434</v>
      </c>
      <c r="G114" s="39" t="s">
        <v>434</v>
      </c>
      <c r="H114" s="42" t="s">
        <v>434</v>
      </c>
      <c r="I114" s="42" t="s">
        <v>884</v>
      </c>
      <c r="J114" s="56">
        <v>90409106.969999999</v>
      </c>
      <c r="K114" s="56">
        <v>90409106.969999999</v>
      </c>
      <c r="L114" s="56"/>
      <c r="M114" s="56"/>
      <c r="N114" s="44">
        <f t="shared" si="20"/>
        <v>100</v>
      </c>
      <c r="O114" s="45">
        <f t="shared" si="14"/>
        <v>90409106.969999999</v>
      </c>
      <c r="P114" s="43"/>
      <c r="Q114" s="45">
        <f t="shared" si="21"/>
        <v>90409106.969999999</v>
      </c>
      <c r="R114" s="43">
        <v>0</v>
      </c>
      <c r="S114" s="30">
        <f t="shared" ref="S114:S119" si="24">R114</f>
        <v>0</v>
      </c>
      <c r="T114" s="30">
        <f t="shared" si="23"/>
        <v>0</v>
      </c>
      <c r="U114" s="30" t="e">
        <f>T114/X114</f>
        <v>#DIV/0!</v>
      </c>
      <c r="V114" s="43" t="e">
        <f>T114/X114</f>
        <v>#DIV/0!</v>
      </c>
      <c r="W114" s="43" t="e">
        <f t="shared" si="10"/>
        <v>#DIV/0!</v>
      </c>
      <c r="X114" s="43">
        <v>0</v>
      </c>
      <c r="Y114" s="43">
        <v>0</v>
      </c>
      <c r="Z114" s="43">
        <v>0</v>
      </c>
      <c r="AA114" s="43">
        <v>0</v>
      </c>
      <c r="AB114" s="43"/>
      <c r="AC114" s="43" t="e">
        <f t="shared" si="11"/>
        <v>#DIV/0!</v>
      </c>
      <c r="AD114" s="43"/>
      <c r="AE114" s="43" t="e">
        <f t="shared" si="12"/>
        <v>#DIV/0!</v>
      </c>
      <c r="AF114" s="43" t="e">
        <f t="shared" si="18"/>
        <v>#DIV/0!</v>
      </c>
      <c r="AG114" s="43" t="e">
        <f t="shared" si="19"/>
        <v>#DIV/0!</v>
      </c>
      <c r="AH114" s="38">
        <v>45412</v>
      </c>
      <c r="AI114" s="38"/>
      <c r="AJ114" s="38"/>
      <c r="AK114" s="38"/>
      <c r="AL114" s="38"/>
      <c r="AM114" s="48"/>
      <c r="AN114" s="42"/>
      <c r="AO114" s="42"/>
      <c r="AP114" s="42"/>
      <c r="AQ114" s="42"/>
      <c r="AR114" s="42"/>
      <c r="AS114" s="50"/>
      <c r="AT114" s="39"/>
      <c r="AU114" s="39"/>
      <c r="AV114" s="49"/>
      <c r="AW114" s="39"/>
      <c r="AX114" s="39">
        <v>10</v>
      </c>
      <c r="AY114" s="30">
        <f>(J114*10)/100</f>
        <v>9040910.6970000006</v>
      </c>
      <c r="AZ114" s="42" t="s">
        <v>434</v>
      </c>
    </row>
    <row r="115" spans="1:52" ht="80.25" customHeight="1" x14ac:dyDescent="0.25">
      <c r="A115" s="46" t="s">
        <v>885</v>
      </c>
      <c r="B115" s="48">
        <v>45266</v>
      </c>
      <c r="C115" s="42">
        <v>545</v>
      </c>
      <c r="D115" s="37" t="s">
        <v>886</v>
      </c>
      <c r="E115" s="41" t="s">
        <v>887</v>
      </c>
      <c r="F115" s="38">
        <v>45303</v>
      </c>
      <c r="G115" s="39" t="s">
        <v>888</v>
      </c>
      <c r="H115" s="42" t="s">
        <v>88</v>
      </c>
      <c r="I115" s="42" t="s">
        <v>889</v>
      </c>
      <c r="J115" s="56">
        <v>4675000000</v>
      </c>
      <c r="K115" s="56">
        <v>4675000000</v>
      </c>
      <c r="L115" s="56">
        <v>0</v>
      </c>
      <c r="M115" s="56">
        <v>0</v>
      </c>
      <c r="N115" s="44">
        <f t="shared" si="20"/>
        <v>0</v>
      </c>
      <c r="O115" s="45">
        <f t="shared" si="14"/>
        <v>0</v>
      </c>
      <c r="P115" s="43">
        <v>4675000000</v>
      </c>
      <c r="Q115" s="45">
        <f t="shared" si="21"/>
        <v>0</v>
      </c>
      <c r="R115" s="43">
        <v>4675000000</v>
      </c>
      <c r="S115" s="30">
        <f t="shared" si="24"/>
        <v>4675000000</v>
      </c>
      <c r="T115" s="30">
        <f t="shared" si="23"/>
        <v>4675000000</v>
      </c>
      <c r="U115" s="30">
        <f>T115/X115</f>
        <v>93500000</v>
      </c>
      <c r="V115" s="43">
        <f>T115/X115</f>
        <v>93500000</v>
      </c>
      <c r="W115" s="43">
        <f t="shared" si="10"/>
        <v>93500000</v>
      </c>
      <c r="X115" s="43">
        <v>50</v>
      </c>
      <c r="Y115" s="43">
        <v>50</v>
      </c>
      <c r="Z115" s="43">
        <v>0</v>
      </c>
      <c r="AA115" s="43">
        <v>0</v>
      </c>
      <c r="AB115" s="43"/>
      <c r="AC115" s="43">
        <f t="shared" si="11"/>
        <v>0</v>
      </c>
      <c r="AD115" s="43"/>
      <c r="AE115" s="43">
        <f t="shared" si="12"/>
        <v>0</v>
      </c>
      <c r="AF115" s="43">
        <f t="shared" si="18"/>
        <v>50</v>
      </c>
      <c r="AG115" s="43">
        <f t="shared" si="19"/>
        <v>50</v>
      </c>
      <c r="AH115" s="38">
        <v>45657</v>
      </c>
      <c r="AI115" s="38"/>
      <c r="AJ115" s="38"/>
      <c r="AK115" s="38"/>
      <c r="AL115" s="38"/>
      <c r="AM115" s="48"/>
      <c r="AN115" s="42"/>
      <c r="AO115" s="42" t="s">
        <v>890</v>
      </c>
      <c r="AP115" s="42" t="s">
        <v>891</v>
      </c>
      <c r="AQ115" s="42" t="s">
        <v>892</v>
      </c>
      <c r="AR115" s="42" t="s">
        <v>388</v>
      </c>
      <c r="AS115" s="50">
        <v>0</v>
      </c>
      <c r="AT115" s="39">
        <v>100</v>
      </c>
      <c r="AU115" s="39" t="s">
        <v>389</v>
      </c>
      <c r="AV115" s="49">
        <v>1</v>
      </c>
      <c r="AW115" s="39" t="s">
        <v>62</v>
      </c>
      <c r="AX115" s="39">
        <v>10</v>
      </c>
      <c r="AY115" s="30">
        <f>(J115*10)/100</f>
        <v>467500000</v>
      </c>
      <c r="AZ115" s="42" t="s">
        <v>405</v>
      </c>
    </row>
    <row r="116" spans="1:52" ht="81.75" customHeight="1" x14ac:dyDescent="0.25">
      <c r="A116" s="46" t="s">
        <v>893</v>
      </c>
      <c r="B116" s="48">
        <v>45268</v>
      </c>
      <c r="C116" s="42">
        <v>1416</v>
      </c>
      <c r="D116" s="37" t="s">
        <v>894</v>
      </c>
      <c r="E116" s="41" t="s">
        <v>895</v>
      </c>
      <c r="F116" s="38">
        <v>45289</v>
      </c>
      <c r="G116" s="39" t="s">
        <v>896</v>
      </c>
      <c r="H116" s="42" t="s">
        <v>226</v>
      </c>
      <c r="I116" s="42" t="s">
        <v>897</v>
      </c>
      <c r="J116" s="56">
        <v>215192050</v>
      </c>
      <c r="K116" s="56">
        <v>215192050</v>
      </c>
      <c r="L116" s="56">
        <v>0</v>
      </c>
      <c r="M116" s="56">
        <v>0</v>
      </c>
      <c r="N116" s="44">
        <f t="shared" si="20"/>
        <v>0</v>
      </c>
      <c r="O116" s="45">
        <f t="shared" si="14"/>
        <v>0</v>
      </c>
      <c r="P116" s="43">
        <v>215192050</v>
      </c>
      <c r="Q116" s="45">
        <f t="shared" si="21"/>
        <v>0</v>
      </c>
      <c r="R116" s="43">
        <v>215192050</v>
      </c>
      <c r="S116" s="30">
        <f t="shared" si="24"/>
        <v>215192050</v>
      </c>
      <c r="T116" s="30">
        <f t="shared" si="23"/>
        <v>215192050</v>
      </c>
      <c r="U116" s="30">
        <f>T116/X116</f>
        <v>7.85</v>
      </c>
      <c r="V116" s="43">
        <f>T116/X116</f>
        <v>7.85</v>
      </c>
      <c r="W116" s="43">
        <f t="shared" si="10"/>
        <v>7850</v>
      </c>
      <c r="X116" s="43">
        <v>27413000</v>
      </c>
      <c r="Y116" s="43">
        <v>27413000</v>
      </c>
      <c r="Z116" s="43">
        <v>0</v>
      </c>
      <c r="AA116" s="43">
        <v>0</v>
      </c>
      <c r="AB116" s="43">
        <v>7264000</v>
      </c>
      <c r="AC116" s="43">
        <f t="shared" si="11"/>
        <v>57022400</v>
      </c>
      <c r="AD116" s="43">
        <v>20149000</v>
      </c>
      <c r="AE116" s="43">
        <f t="shared" si="12"/>
        <v>158169650</v>
      </c>
      <c r="AF116" s="43">
        <f t="shared" si="18"/>
        <v>27413</v>
      </c>
      <c r="AG116" s="43">
        <f t="shared" si="19"/>
        <v>27413</v>
      </c>
      <c r="AH116" s="38">
        <v>45383</v>
      </c>
      <c r="AI116" s="38"/>
      <c r="AJ116" s="38"/>
      <c r="AK116" s="38"/>
      <c r="AL116" s="38"/>
      <c r="AM116" s="48"/>
      <c r="AN116" s="42"/>
      <c r="AO116" s="42" t="s">
        <v>898</v>
      </c>
      <c r="AP116" s="42" t="s">
        <v>899</v>
      </c>
      <c r="AQ116" s="42" t="s">
        <v>900</v>
      </c>
      <c r="AR116" s="42" t="s">
        <v>82</v>
      </c>
      <c r="AS116" s="50">
        <v>100</v>
      </c>
      <c r="AT116" s="39">
        <v>0</v>
      </c>
      <c r="AU116" s="39" t="s">
        <v>95</v>
      </c>
      <c r="AV116" s="49">
        <v>1000</v>
      </c>
      <c r="AW116" s="39" t="s">
        <v>62</v>
      </c>
      <c r="AX116" s="39">
        <v>10</v>
      </c>
      <c r="AY116" s="30">
        <f>(J116*10)/100</f>
        <v>21519205</v>
      </c>
      <c r="AZ116" s="42" t="s">
        <v>405</v>
      </c>
    </row>
    <row r="117" spans="1:52" ht="78.75" x14ac:dyDescent="0.25">
      <c r="A117" s="46" t="s">
        <v>901</v>
      </c>
      <c r="B117" s="48">
        <v>45268</v>
      </c>
      <c r="C117" s="42">
        <v>1416</v>
      </c>
      <c r="D117" s="37" t="s">
        <v>434</v>
      </c>
      <c r="E117" s="41" t="s">
        <v>902</v>
      </c>
      <c r="F117" s="38" t="s">
        <v>434</v>
      </c>
      <c r="G117" s="39" t="s">
        <v>434</v>
      </c>
      <c r="H117" s="42" t="s">
        <v>434</v>
      </c>
      <c r="I117" s="42" t="s">
        <v>903</v>
      </c>
      <c r="J117" s="56">
        <v>378638760</v>
      </c>
      <c r="K117" s="56">
        <v>378638760</v>
      </c>
      <c r="L117" s="56"/>
      <c r="M117" s="56"/>
      <c r="N117" s="44">
        <f t="shared" si="20"/>
        <v>100</v>
      </c>
      <c r="O117" s="45">
        <f t="shared" si="14"/>
        <v>378638760</v>
      </c>
      <c r="P117" s="43"/>
      <c r="Q117" s="45">
        <f t="shared" si="21"/>
        <v>378638760</v>
      </c>
      <c r="R117" s="43">
        <v>0</v>
      </c>
      <c r="S117" s="30">
        <f t="shared" si="24"/>
        <v>0</v>
      </c>
      <c r="T117" s="30">
        <f t="shared" si="23"/>
        <v>0</v>
      </c>
      <c r="U117" s="30" t="e">
        <f>T117/X117</f>
        <v>#DIV/0!</v>
      </c>
      <c r="V117" s="43" t="e">
        <f>T117/X117</f>
        <v>#DIV/0!</v>
      </c>
      <c r="W117" s="43" t="e">
        <f t="shared" si="10"/>
        <v>#DIV/0!</v>
      </c>
      <c r="X117" s="43">
        <v>0</v>
      </c>
      <c r="Y117" s="43">
        <v>0</v>
      </c>
      <c r="Z117" s="43">
        <v>0</v>
      </c>
      <c r="AA117" s="43">
        <v>0</v>
      </c>
      <c r="AB117" s="43"/>
      <c r="AC117" s="43" t="e">
        <f t="shared" si="11"/>
        <v>#DIV/0!</v>
      </c>
      <c r="AD117" s="43"/>
      <c r="AE117" s="43" t="e">
        <f t="shared" si="12"/>
        <v>#DIV/0!</v>
      </c>
      <c r="AF117" s="43" t="e">
        <f t="shared" si="18"/>
        <v>#DIV/0!</v>
      </c>
      <c r="AG117" s="43" t="e">
        <f t="shared" si="19"/>
        <v>#DIV/0!</v>
      </c>
      <c r="AH117" s="38">
        <v>45323</v>
      </c>
      <c r="AI117" s="38"/>
      <c r="AJ117" s="38"/>
      <c r="AK117" s="38"/>
      <c r="AL117" s="38"/>
      <c r="AM117" s="48"/>
      <c r="AN117" s="42"/>
      <c r="AO117" s="42"/>
      <c r="AP117" s="42"/>
      <c r="AQ117" s="42"/>
      <c r="AR117" s="42"/>
      <c r="AS117" s="50"/>
      <c r="AT117" s="39"/>
      <c r="AU117" s="39"/>
      <c r="AV117" s="49"/>
      <c r="AW117" s="39"/>
      <c r="AX117" s="39">
        <v>10</v>
      </c>
      <c r="AY117" s="30">
        <f>(J117*10)/100</f>
        <v>37863876</v>
      </c>
      <c r="AZ117" s="42" t="s">
        <v>434</v>
      </c>
    </row>
    <row r="118" spans="1:52" ht="75" x14ac:dyDescent="0.25">
      <c r="A118" s="46" t="s">
        <v>904</v>
      </c>
      <c r="B118" s="48">
        <v>45268</v>
      </c>
      <c r="C118" s="42">
        <v>1416</v>
      </c>
      <c r="D118" s="37" t="s">
        <v>434</v>
      </c>
      <c r="E118" s="41" t="s">
        <v>905</v>
      </c>
      <c r="F118" s="38" t="s">
        <v>434</v>
      </c>
      <c r="G118" s="39" t="s">
        <v>434</v>
      </c>
      <c r="H118" s="42" t="s">
        <v>434</v>
      </c>
      <c r="I118" s="42" t="s">
        <v>906</v>
      </c>
      <c r="J118" s="56">
        <v>2719716153</v>
      </c>
      <c r="K118" s="56">
        <v>2719716153</v>
      </c>
      <c r="L118" s="56"/>
      <c r="M118" s="56"/>
      <c r="N118" s="44">
        <f t="shared" si="20"/>
        <v>100</v>
      </c>
      <c r="O118" s="45">
        <f t="shared" si="14"/>
        <v>2719716153</v>
      </c>
      <c r="P118" s="43"/>
      <c r="Q118" s="45">
        <f t="shared" si="21"/>
        <v>2719716153</v>
      </c>
      <c r="R118" s="43">
        <v>0</v>
      </c>
      <c r="S118" s="30">
        <f t="shared" si="24"/>
        <v>0</v>
      </c>
      <c r="T118" s="30">
        <f t="shared" si="23"/>
        <v>0</v>
      </c>
      <c r="U118" s="30" t="e">
        <f>T118/X118</f>
        <v>#DIV/0!</v>
      </c>
      <c r="V118" s="43" t="e">
        <f>T118/X118</f>
        <v>#DIV/0!</v>
      </c>
      <c r="W118" s="43" t="e">
        <f t="shared" si="10"/>
        <v>#DIV/0!</v>
      </c>
      <c r="X118" s="43">
        <v>0</v>
      </c>
      <c r="Y118" s="43">
        <v>0</v>
      </c>
      <c r="Z118" s="43">
        <v>0</v>
      </c>
      <c r="AA118" s="43">
        <v>0</v>
      </c>
      <c r="AB118" s="43"/>
      <c r="AC118" s="43" t="e">
        <f t="shared" si="11"/>
        <v>#DIV/0!</v>
      </c>
      <c r="AD118" s="43"/>
      <c r="AE118" s="43" t="e">
        <f t="shared" si="12"/>
        <v>#DIV/0!</v>
      </c>
      <c r="AF118" s="43" t="e">
        <f t="shared" si="18"/>
        <v>#DIV/0!</v>
      </c>
      <c r="AG118" s="43" t="e">
        <f t="shared" si="19"/>
        <v>#DIV/0!</v>
      </c>
      <c r="AH118" s="38">
        <v>45352</v>
      </c>
      <c r="AI118" s="38">
        <v>45427</v>
      </c>
      <c r="AJ118" s="38">
        <v>45458</v>
      </c>
      <c r="AK118" s="38"/>
      <c r="AL118" s="38"/>
      <c r="AM118" s="48"/>
      <c r="AN118" s="42"/>
      <c r="AO118" s="42"/>
      <c r="AP118" s="42"/>
      <c r="AQ118" s="42"/>
      <c r="AR118" s="42"/>
      <c r="AS118" s="50"/>
      <c r="AT118" s="39"/>
      <c r="AU118" s="39"/>
      <c r="AV118" s="49"/>
      <c r="AW118" s="39"/>
      <c r="AX118" s="39">
        <v>10</v>
      </c>
      <c r="AY118" s="30">
        <f>(J118*10)/100</f>
        <v>271971615.30000001</v>
      </c>
      <c r="AZ118" s="42" t="s">
        <v>434</v>
      </c>
    </row>
    <row r="119" spans="1:52" ht="75" x14ac:dyDescent="0.25">
      <c r="A119" s="46" t="s">
        <v>907</v>
      </c>
      <c r="B119" s="48">
        <v>45268</v>
      </c>
      <c r="C119" s="42">
        <v>1416</v>
      </c>
      <c r="D119" s="37" t="s">
        <v>434</v>
      </c>
      <c r="E119" s="41" t="s">
        <v>908</v>
      </c>
      <c r="F119" s="38" t="s">
        <v>434</v>
      </c>
      <c r="G119" s="39" t="s">
        <v>434</v>
      </c>
      <c r="H119" s="42" t="s">
        <v>434</v>
      </c>
      <c r="I119" s="42" t="s">
        <v>909</v>
      </c>
      <c r="J119" s="56">
        <v>360840</v>
      </c>
      <c r="K119" s="56">
        <v>360840</v>
      </c>
      <c r="L119" s="56"/>
      <c r="M119" s="56"/>
      <c r="N119" s="44">
        <f t="shared" si="20"/>
        <v>100</v>
      </c>
      <c r="O119" s="45">
        <f t="shared" si="14"/>
        <v>360840</v>
      </c>
      <c r="P119" s="43"/>
      <c r="Q119" s="45">
        <f t="shared" si="21"/>
        <v>360840</v>
      </c>
      <c r="R119" s="43">
        <v>0</v>
      </c>
      <c r="S119" s="30">
        <f t="shared" si="24"/>
        <v>0</v>
      </c>
      <c r="T119" s="30">
        <f t="shared" si="23"/>
        <v>0</v>
      </c>
      <c r="U119" s="30" t="e">
        <f>T119/X119</f>
        <v>#DIV/0!</v>
      </c>
      <c r="V119" s="43" t="e">
        <f>T119/X119</f>
        <v>#DIV/0!</v>
      </c>
      <c r="W119" s="43" t="e">
        <f t="shared" si="10"/>
        <v>#DIV/0!</v>
      </c>
      <c r="X119" s="43">
        <v>0</v>
      </c>
      <c r="Y119" s="43">
        <v>0</v>
      </c>
      <c r="Z119" s="43">
        <v>0</v>
      </c>
      <c r="AA119" s="43">
        <v>0</v>
      </c>
      <c r="AB119" s="43"/>
      <c r="AC119" s="43" t="e">
        <f t="shared" si="11"/>
        <v>#DIV/0!</v>
      </c>
      <c r="AD119" s="43"/>
      <c r="AE119" s="43" t="e">
        <f t="shared" si="12"/>
        <v>#DIV/0!</v>
      </c>
      <c r="AF119" s="43" t="e">
        <f t="shared" si="18"/>
        <v>#DIV/0!</v>
      </c>
      <c r="AG119" s="43" t="e">
        <f t="shared" si="19"/>
        <v>#DIV/0!</v>
      </c>
      <c r="AH119" s="38">
        <v>45323</v>
      </c>
      <c r="AI119" s="38"/>
      <c r="AJ119" s="38"/>
      <c r="AK119" s="38"/>
      <c r="AL119" s="38"/>
      <c r="AM119" s="48"/>
      <c r="AN119" s="42"/>
      <c r="AO119" s="42"/>
      <c r="AP119" s="42"/>
      <c r="AQ119" s="42"/>
      <c r="AR119" s="42"/>
      <c r="AS119" s="50"/>
      <c r="AT119" s="39"/>
      <c r="AU119" s="39"/>
      <c r="AV119" s="49"/>
      <c r="AW119" s="39"/>
      <c r="AX119" s="39">
        <v>10</v>
      </c>
      <c r="AY119" s="30">
        <f>(J119*10)/100</f>
        <v>36084</v>
      </c>
      <c r="AZ119" s="42" t="s">
        <v>434</v>
      </c>
    </row>
    <row r="120" spans="1:52" ht="75" x14ac:dyDescent="0.25">
      <c r="A120" s="46" t="s">
        <v>910</v>
      </c>
      <c r="B120" s="48">
        <v>45268</v>
      </c>
      <c r="C120" s="42">
        <v>1416</v>
      </c>
      <c r="D120" s="37" t="s">
        <v>911</v>
      </c>
      <c r="E120" s="41" t="s">
        <v>912</v>
      </c>
      <c r="F120" s="38">
        <v>45300</v>
      </c>
      <c r="G120" s="39" t="s">
        <v>913</v>
      </c>
      <c r="H120" s="59" t="s">
        <v>205</v>
      </c>
      <c r="I120" s="42" t="s">
        <v>914</v>
      </c>
      <c r="J120" s="56">
        <v>16921827.09</v>
      </c>
      <c r="K120" s="56">
        <v>16921827.09</v>
      </c>
      <c r="L120" s="56">
        <v>0</v>
      </c>
      <c r="M120" s="56">
        <v>0</v>
      </c>
      <c r="N120" s="44">
        <f t="shared" si="20"/>
        <v>90.109767928139249</v>
      </c>
      <c r="O120" s="45">
        <f t="shared" si="14"/>
        <v>15248219.119999999</v>
      </c>
      <c r="P120" s="43">
        <v>1673607.97</v>
      </c>
      <c r="Q120" s="45">
        <f t="shared" si="21"/>
        <v>15248219.119999999</v>
      </c>
      <c r="R120" s="43">
        <v>1673607.97</v>
      </c>
      <c r="S120" s="30">
        <v>1672673.31</v>
      </c>
      <c r="T120" s="30">
        <f t="shared" si="23"/>
        <v>1672673.31</v>
      </c>
      <c r="U120" s="30">
        <f>T120/X120</f>
        <v>92.51</v>
      </c>
      <c r="V120" s="43">
        <f>T120/X120</f>
        <v>92.51</v>
      </c>
      <c r="W120" s="43">
        <f t="shared" si="10"/>
        <v>1942.71</v>
      </c>
      <c r="X120" s="43">
        <v>18081</v>
      </c>
      <c r="Y120" s="43">
        <v>18081</v>
      </c>
      <c r="Z120" s="43">
        <v>0</v>
      </c>
      <c r="AA120" s="43">
        <v>0</v>
      </c>
      <c r="AB120" s="43">
        <v>0</v>
      </c>
      <c r="AC120" s="43">
        <f t="shared" si="11"/>
        <v>0</v>
      </c>
      <c r="AD120" s="43">
        <v>18081</v>
      </c>
      <c r="AE120" s="43">
        <f t="shared" si="12"/>
        <v>1672673.31</v>
      </c>
      <c r="AF120" s="43">
        <f t="shared" si="18"/>
        <v>861</v>
      </c>
      <c r="AG120" s="43">
        <f t="shared" si="19"/>
        <v>861</v>
      </c>
      <c r="AH120" s="38">
        <v>45323</v>
      </c>
      <c r="AI120" s="38"/>
      <c r="AJ120" s="38"/>
      <c r="AK120" s="38">
        <v>45352</v>
      </c>
      <c r="AL120" s="38"/>
      <c r="AM120" s="48"/>
      <c r="AN120" s="42"/>
      <c r="AO120" s="42" t="s">
        <v>915</v>
      </c>
      <c r="AP120" s="42" t="s">
        <v>916</v>
      </c>
      <c r="AQ120" s="42" t="s">
        <v>917</v>
      </c>
      <c r="AR120" s="42" t="s">
        <v>82</v>
      </c>
      <c r="AS120" s="50">
        <v>100</v>
      </c>
      <c r="AT120" s="39">
        <v>0</v>
      </c>
      <c r="AU120" s="39" t="s">
        <v>389</v>
      </c>
      <c r="AV120" s="49">
        <v>21</v>
      </c>
      <c r="AW120" s="39" t="s">
        <v>221</v>
      </c>
      <c r="AX120" s="39">
        <v>10</v>
      </c>
      <c r="AY120" s="30">
        <f>(J120*10)/100</f>
        <v>1692182.709</v>
      </c>
      <c r="AZ120" s="42" t="s">
        <v>405</v>
      </c>
    </row>
    <row r="121" spans="1:52" ht="87.75" customHeight="1" x14ac:dyDescent="0.25">
      <c r="A121" s="46" t="s">
        <v>918</v>
      </c>
      <c r="B121" s="48">
        <v>45268</v>
      </c>
      <c r="C121" s="42">
        <v>1416</v>
      </c>
      <c r="D121" s="37" t="s">
        <v>919</v>
      </c>
      <c r="E121" s="41" t="s">
        <v>920</v>
      </c>
      <c r="F121" s="38">
        <v>45289</v>
      </c>
      <c r="G121" s="39" t="s">
        <v>921</v>
      </c>
      <c r="H121" s="42" t="s">
        <v>88</v>
      </c>
      <c r="I121" s="42" t="s">
        <v>922</v>
      </c>
      <c r="J121" s="56">
        <v>9649710</v>
      </c>
      <c r="K121" s="56" t="s">
        <v>923</v>
      </c>
      <c r="L121" s="56" t="s">
        <v>923</v>
      </c>
      <c r="M121" s="56">
        <v>0</v>
      </c>
      <c r="N121" s="44">
        <f t="shared" si="20"/>
        <v>0</v>
      </c>
      <c r="O121" s="45">
        <f t="shared" si="14"/>
        <v>0</v>
      </c>
      <c r="P121" s="43">
        <v>9649710</v>
      </c>
      <c r="Q121" s="45">
        <v>0</v>
      </c>
      <c r="R121" s="43">
        <v>4824855</v>
      </c>
      <c r="S121" s="30">
        <f>R121</f>
        <v>4824855</v>
      </c>
      <c r="T121" s="30">
        <v>9649710</v>
      </c>
      <c r="U121" s="30">
        <f>T121/X121</f>
        <v>7.42</v>
      </c>
      <c r="V121" s="43">
        <f>T121/X121</f>
        <v>7.42</v>
      </c>
      <c r="W121" s="43">
        <f t="shared" si="10"/>
        <v>1855</v>
      </c>
      <c r="X121" s="43">
        <v>1300500</v>
      </c>
      <c r="Y121" s="43">
        <f>283000+150750</f>
        <v>433750</v>
      </c>
      <c r="Z121" s="43">
        <f>141250+75250</f>
        <v>216500</v>
      </c>
      <c r="AA121" s="43"/>
      <c r="AB121" s="43">
        <f>283000+141250</f>
        <v>424250</v>
      </c>
      <c r="AC121" s="43">
        <f t="shared" si="11"/>
        <v>3147935</v>
      </c>
      <c r="AD121" s="43">
        <f>150750+75250</f>
        <v>226000</v>
      </c>
      <c r="AE121" s="43">
        <f t="shared" si="12"/>
        <v>1676920</v>
      </c>
      <c r="AF121" s="43">
        <f t="shared" si="18"/>
        <v>5202</v>
      </c>
      <c r="AG121" s="43">
        <f t="shared" si="19"/>
        <v>5202</v>
      </c>
      <c r="AH121" s="38">
        <v>45352</v>
      </c>
      <c r="AI121" s="38">
        <v>45565</v>
      </c>
      <c r="AJ121" s="38">
        <v>45717</v>
      </c>
      <c r="AK121" s="38">
        <v>45383</v>
      </c>
      <c r="AL121" s="38">
        <v>45597</v>
      </c>
      <c r="AM121" s="48">
        <v>45748</v>
      </c>
      <c r="AN121" s="42"/>
      <c r="AO121" s="42" t="s">
        <v>924</v>
      </c>
      <c r="AP121" s="42" t="s">
        <v>925</v>
      </c>
      <c r="AQ121" s="42" t="s">
        <v>926</v>
      </c>
      <c r="AR121" s="42" t="s">
        <v>927</v>
      </c>
      <c r="AS121" s="50">
        <v>0</v>
      </c>
      <c r="AT121" s="39">
        <v>100</v>
      </c>
      <c r="AU121" s="39" t="s">
        <v>95</v>
      </c>
      <c r="AV121" s="49">
        <v>250</v>
      </c>
      <c r="AW121" s="39" t="s">
        <v>62</v>
      </c>
      <c r="AX121" s="39">
        <v>10</v>
      </c>
      <c r="AY121" s="30">
        <f>(J121*10)/100</f>
        <v>964971</v>
      </c>
      <c r="AZ121" s="42" t="s">
        <v>405</v>
      </c>
    </row>
    <row r="122" spans="1:52" ht="78.75" x14ac:dyDescent="0.25">
      <c r="A122" s="46" t="s">
        <v>928</v>
      </c>
      <c r="B122" s="48">
        <v>45268</v>
      </c>
      <c r="C122" s="42">
        <v>1416</v>
      </c>
      <c r="D122" s="37" t="s">
        <v>929</v>
      </c>
      <c r="E122" s="41" t="s">
        <v>930</v>
      </c>
      <c r="F122" s="38">
        <v>45303</v>
      </c>
      <c r="G122" s="39" t="s">
        <v>931</v>
      </c>
      <c r="H122" s="42" t="s">
        <v>141</v>
      </c>
      <c r="I122" s="42" t="s">
        <v>932</v>
      </c>
      <c r="J122" s="56">
        <v>4389001226.3999996</v>
      </c>
      <c r="K122" s="56">
        <v>4389001226.3999996</v>
      </c>
      <c r="L122" s="56">
        <v>0</v>
      </c>
      <c r="M122" s="56">
        <v>0</v>
      </c>
      <c r="N122" s="44">
        <f t="shared" si="20"/>
        <v>0</v>
      </c>
      <c r="O122" s="45">
        <f t="shared" si="14"/>
        <v>0</v>
      </c>
      <c r="P122" s="43">
        <v>4389001226.3999996</v>
      </c>
      <c r="Q122" s="45">
        <f t="shared" ref="Q122:Q185" si="25">J122-R122</f>
        <v>0</v>
      </c>
      <c r="R122" s="43">
        <v>4389001226.3999996</v>
      </c>
      <c r="S122" s="30">
        <f>R122</f>
        <v>4389001226.3999996</v>
      </c>
      <c r="T122" s="30">
        <f>S122</f>
        <v>4389001226.3999996</v>
      </c>
      <c r="U122" s="30">
        <f>T122/X122</f>
        <v>9102.7899999999991</v>
      </c>
      <c r="V122" s="43">
        <f>T122/X122</f>
        <v>9102.7899999999991</v>
      </c>
      <c r="W122" s="43">
        <f t="shared" si="10"/>
        <v>273083.69999999995</v>
      </c>
      <c r="X122" s="43">
        <v>482160</v>
      </c>
      <c r="Y122" s="43">
        <v>482160</v>
      </c>
      <c r="Z122" s="43">
        <v>0</v>
      </c>
      <c r="AA122" s="43">
        <v>0</v>
      </c>
      <c r="AB122" s="43">
        <v>275430</v>
      </c>
      <c r="AC122" s="43">
        <f t="shared" si="11"/>
        <v>2507181449.6999998</v>
      </c>
      <c r="AD122" s="43">
        <v>206730</v>
      </c>
      <c r="AE122" s="43">
        <f t="shared" si="12"/>
        <v>1881819776.6999998</v>
      </c>
      <c r="AF122" s="43">
        <f t="shared" si="18"/>
        <v>16072</v>
      </c>
      <c r="AG122" s="43">
        <f t="shared" si="19"/>
        <v>16072</v>
      </c>
      <c r="AH122" s="38">
        <v>45381</v>
      </c>
      <c r="AI122" s="38"/>
      <c r="AJ122" s="38"/>
      <c r="AK122" s="38">
        <v>45413</v>
      </c>
      <c r="AL122" s="38"/>
      <c r="AM122" s="48"/>
      <c r="AN122" s="42"/>
      <c r="AO122" s="42" t="s">
        <v>933</v>
      </c>
      <c r="AP122" s="42" t="s">
        <v>934</v>
      </c>
      <c r="AQ122" s="42" t="s">
        <v>935</v>
      </c>
      <c r="AR122" s="42" t="s">
        <v>82</v>
      </c>
      <c r="AS122" s="50">
        <v>100</v>
      </c>
      <c r="AT122" s="39">
        <v>0</v>
      </c>
      <c r="AU122" s="39" t="s">
        <v>83</v>
      </c>
      <c r="AV122" s="49">
        <v>30</v>
      </c>
      <c r="AW122" s="39" t="s">
        <v>62</v>
      </c>
      <c r="AX122" s="39">
        <v>10</v>
      </c>
      <c r="AY122" s="30">
        <f>(J122*10)/100</f>
        <v>438900122.63999999</v>
      </c>
      <c r="AZ122" s="42" t="s">
        <v>405</v>
      </c>
    </row>
    <row r="123" spans="1:52" ht="75" x14ac:dyDescent="0.25">
      <c r="A123" s="46" t="s">
        <v>936</v>
      </c>
      <c r="B123" s="48">
        <v>45268</v>
      </c>
      <c r="C123" s="42">
        <v>1416</v>
      </c>
      <c r="D123" s="37" t="s">
        <v>937</v>
      </c>
      <c r="E123" s="41" t="s">
        <v>938</v>
      </c>
      <c r="F123" s="38">
        <v>45300</v>
      </c>
      <c r="G123" s="39" t="s">
        <v>939</v>
      </c>
      <c r="H123" s="42" t="s">
        <v>215</v>
      </c>
      <c r="I123" s="42" t="s">
        <v>940</v>
      </c>
      <c r="J123" s="56">
        <v>14067507.300000001</v>
      </c>
      <c r="K123" s="56">
        <v>14067507.300000001</v>
      </c>
      <c r="L123" s="56">
        <v>0</v>
      </c>
      <c r="M123" s="56">
        <v>0</v>
      </c>
      <c r="N123" s="44">
        <f t="shared" si="20"/>
        <v>95.026197711658554</v>
      </c>
      <c r="O123" s="45">
        <f t="shared" si="14"/>
        <v>13367817.300000001</v>
      </c>
      <c r="P123" s="43">
        <v>699690</v>
      </c>
      <c r="Q123" s="45">
        <f t="shared" si="25"/>
        <v>13367817.300000001</v>
      </c>
      <c r="R123" s="43">
        <v>699690</v>
      </c>
      <c r="S123" s="30">
        <v>699649.44</v>
      </c>
      <c r="T123" s="30">
        <f>S123</f>
        <v>699649.44</v>
      </c>
      <c r="U123" s="30">
        <f>T123/X123</f>
        <v>220.64</v>
      </c>
      <c r="V123" s="43">
        <f>T123/X123</f>
        <v>220.64</v>
      </c>
      <c r="W123" s="43">
        <f t="shared" si="10"/>
        <v>4633.4399999999996</v>
      </c>
      <c r="X123" s="43">
        <v>3171</v>
      </c>
      <c r="Y123" s="43">
        <v>3171</v>
      </c>
      <c r="Z123" s="43">
        <v>0</v>
      </c>
      <c r="AA123" s="43">
        <v>0</v>
      </c>
      <c r="AB123" s="43">
        <v>0</v>
      </c>
      <c r="AC123" s="43">
        <f t="shared" si="11"/>
        <v>0</v>
      </c>
      <c r="AD123" s="43">
        <v>3171</v>
      </c>
      <c r="AE123" s="43">
        <f t="shared" si="12"/>
        <v>699649.44</v>
      </c>
      <c r="AF123" s="43">
        <f t="shared" si="18"/>
        <v>151</v>
      </c>
      <c r="AG123" s="43">
        <f t="shared" si="19"/>
        <v>151</v>
      </c>
      <c r="AH123" s="38">
        <v>45383</v>
      </c>
      <c r="AI123" s="38"/>
      <c r="AJ123" s="38"/>
      <c r="AK123" s="38">
        <v>45413</v>
      </c>
      <c r="AL123" s="38"/>
      <c r="AM123" s="48"/>
      <c r="AN123" s="42"/>
      <c r="AO123" s="42" t="s">
        <v>218</v>
      </c>
      <c r="AP123" s="42" t="s">
        <v>238</v>
      </c>
      <c r="AQ123" s="42" t="s">
        <v>220</v>
      </c>
      <c r="AR123" s="42" t="s">
        <v>82</v>
      </c>
      <c r="AS123" s="50">
        <v>100</v>
      </c>
      <c r="AT123" s="39">
        <v>0</v>
      </c>
      <c r="AU123" s="39" t="s">
        <v>389</v>
      </c>
      <c r="AV123" s="49">
        <v>21</v>
      </c>
      <c r="AW123" s="39" t="s">
        <v>221</v>
      </c>
      <c r="AX123" s="39">
        <v>10</v>
      </c>
      <c r="AY123" s="30">
        <f>(J123*10)/100</f>
        <v>1406750.73</v>
      </c>
      <c r="AZ123" s="42" t="s">
        <v>405</v>
      </c>
    </row>
    <row r="124" spans="1:52" ht="108" customHeight="1" x14ac:dyDescent="0.25">
      <c r="A124" s="46" t="s">
        <v>941</v>
      </c>
      <c r="B124" s="48">
        <v>45268</v>
      </c>
      <c r="C124" s="42">
        <v>1416</v>
      </c>
      <c r="D124" s="37" t="s">
        <v>942</v>
      </c>
      <c r="E124" s="41" t="s">
        <v>943</v>
      </c>
      <c r="F124" s="38">
        <v>45289</v>
      </c>
      <c r="G124" s="39" t="s">
        <v>944</v>
      </c>
      <c r="H124" s="42" t="s">
        <v>88</v>
      </c>
      <c r="I124" s="42" t="s">
        <v>945</v>
      </c>
      <c r="J124" s="56">
        <v>41731032</v>
      </c>
      <c r="K124" s="56">
        <v>41731032</v>
      </c>
      <c r="L124" s="56">
        <v>0</v>
      </c>
      <c r="M124" s="56">
        <v>0</v>
      </c>
      <c r="N124" s="44">
        <f t="shared" si="20"/>
        <v>0</v>
      </c>
      <c r="O124" s="45">
        <f t="shared" si="14"/>
        <v>0</v>
      </c>
      <c r="P124" s="43">
        <v>41731032</v>
      </c>
      <c r="Q124" s="45">
        <f t="shared" si="25"/>
        <v>0</v>
      </c>
      <c r="R124" s="43">
        <v>41731032</v>
      </c>
      <c r="S124" s="30">
        <f t="shared" ref="S124:T146" si="26">R124</f>
        <v>41731032</v>
      </c>
      <c r="T124" s="30">
        <f>S124</f>
        <v>41731032</v>
      </c>
      <c r="U124" s="30">
        <f>T124/X124</f>
        <v>24.92</v>
      </c>
      <c r="V124" s="43">
        <f>T124/X124</f>
        <v>24.92</v>
      </c>
      <c r="W124" s="43">
        <f t="shared" si="10"/>
        <v>14952.000000000002</v>
      </c>
      <c r="X124" s="43">
        <f>Y124+Z124+AA124</f>
        <v>1674600</v>
      </c>
      <c r="Y124" s="43">
        <v>1134600</v>
      </c>
      <c r="Z124" s="43">
        <v>540000</v>
      </c>
      <c r="AA124" s="43">
        <v>0</v>
      </c>
      <c r="AB124" s="43">
        <v>0</v>
      </c>
      <c r="AC124" s="43">
        <f t="shared" si="11"/>
        <v>0</v>
      </c>
      <c r="AD124" s="43">
        <f>1134600+540000</f>
        <v>1674600</v>
      </c>
      <c r="AE124" s="43">
        <f t="shared" si="12"/>
        <v>41731032</v>
      </c>
      <c r="AF124" s="43">
        <f t="shared" si="18"/>
        <v>2791</v>
      </c>
      <c r="AG124" s="43">
        <f t="shared" si="19"/>
        <v>2791</v>
      </c>
      <c r="AH124" s="38">
        <v>45323</v>
      </c>
      <c r="AI124" s="38">
        <v>45412</v>
      </c>
      <c r="AJ124" s="38"/>
      <c r="AK124" s="38">
        <v>45352</v>
      </c>
      <c r="AL124" s="38">
        <v>45444</v>
      </c>
      <c r="AM124" s="48"/>
      <c r="AN124" s="42"/>
      <c r="AO124" s="42" t="s">
        <v>691</v>
      </c>
      <c r="AP124" s="42" t="s">
        <v>946</v>
      </c>
      <c r="AQ124" s="42" t="s">
        <v>693</v>
      </c>
      <c r="AR124" s="42" t="s">
        <v>94</v>
      </c>
      <c r="AS124" s="50">
        <v>0</v>
      </c>
      <c r="AT124" s="39">
        <v>100</v>
      </c>
      <c r="AU124" s="39" t="s">
        <v>95</v>
      </c>
      <c r="AV124" s="49">
        <v>600</v>
      </c>
      <c r="AW124" s="39" t="s">
        <v>62</v>
      </c>
      <c r="AX124" s="39">
        <v>10</v>
      </c>
      <c r="AY124" s="30">
        <f>(J124*10)/100</f>
        <v>4173103.2</v>
      </c>
      <c r="AZ124" s="42" t="s">
        <v>328</v>
      </c>
    </row>
    <row r="125" spans="1:52" ht="75" x14ac:dyDescent="0.25">
      <c r="A125" s="46" t="s">
        <v>947</v>
      </c>
      <c r="B125" s="48">
        <v>45268</v>
      </c>
      <c r="C125" s="42">
        <v>1416</v>
      </c>
      <c r="D125" s="37"/>
      <c r="E125" s="41" t="s">
        <v>948</v>
      </c>
      <c r="F125" s="38"/>
      <c r="G125" s="39"/>
      <c r="H125" s="42"/>
      <c r="I125" s="42" t="s">
        <v>949</v>
      </c>
      <c r="J125" s="56">
        <v>468865320</v>
      </c>
      <c r="K125" s="56">
        <v>468865320</v>
      </c>
      <c r="L125" s="56"/>
      <c r="M125" s="56"/>
      <c r="N125" s="44">
        <f t="shared" si="20"/>
        <v>100</v>
      </c>
      <c r="O125" s="45">
        <f t="shared" si="14"/>
        <v>468865320</v>
      </c>
      <c r="P125" s="43"/>
      <c r="Q125" s="45">
        <f t="shared" si="25"/>
        <v>468865320</v>
      </c>
      <c r="R125" s="43">
        <v>0</v>
      </c>
      <c r="S125" s="30">
        <f t="shared" si="26"/>
        <v>0</v>
      </c>
      <c r="T125" s="30">
        <f>S125</f>
        <v>0</v>
      </c>
      <c r="U125" s="30" t="e">
        <f>T125/X125</f>
        <v>#DIV/0!</v>
      </c>
      <c r="V125" s="43" t="e">
        <f>T125/X125</f>
        <v>#DIV/0!</v>
      </c>
      <c r="W125" s="43" t="e">
        <f t="shared" si="10"/>
        <v>#DIV/0!</v>
      </c>
      <c r="X125" s="43">
        <v>0</v>
      </c>
      <c r="Y125" s="43">
        <v>0</v>
      </c>
      <c r="Z125" s="43">
        <v>0</v>
      </c>
      <c r="AA125" s="43">
        <v>0</v>
      </c>
      <c r="AB125" s="43"/>
      <c r="AC125" s="43" t="e">
        <f t="shared" si="11"/>
        <v>#DIV/0!</v>
      </c>
      <c r="AD125" s="43"/>
      <c r="AE125" s="43" t="e">
        <f t="shared" si="12"/>
        <v>#DIV/0!</v>
      </c>
      <c r="AF125" s="43" t="e">
        <f t="shared" si="18"/>
        <v>#DIV/0!</v>
      </c>
      <c r="AG125" s="43" t="e">
        <f t="shared" si="19"/>
        <v>#DIV/0!</v>
      </c>
      <c r="AH125" s="38">
        <v>45352</v>
      </c>
      <c r="AI125" s="38">
        <v>45565</v>
      </c>
      <c r="AJ125" s="38">
        <v>45717</v>
      </c>
      <c r="AK125" s="38"/>
      <c r="AL125" s="38"/>
      <c r="AM125" s="48"/>
      <c r="AN125" s="42"/>
      <c r="AO125" s="42"/>
      <c r="AP125" s="42"/>
      <c r="AQ125" s="42"/>
      <c r="AR125" s="42"/>
      <c r="AS125" s="50"/>
      <c r="AT125" s="39"/>
      <c r="AU125" s="39"/>
      <c r="AV125" s="49"/>
      <c r="AW125" s="39"/>
      <c r="AX125" s="39">
        <v>10</v>
      </c>
      <c r="AY125" s="30">
        <f>(J125*10)/100</f>
        <v>46886532</v>
      </c>
      <c r="AZ125" s="42" t="s">
        <v>434</v>
      </c>
    </row>
    <row r="126" spans="1:52" ht="114.75" customHeight="1" x14ac:dyDescent="0.25">
      <c r="A126" s="46" t="s">
        <v>950</v>
      </c>
      <c r="B126" s="48">
        <v>45268</v>
      </c>
      <c r="C126" s="42">
        <v>1416</v>
      </c>
      <c r="D126" s="37" t="s">
        <v>951</v>
      </c>
      <c r="E126" s="41" t="s">
        <v>952</v>
      </c>
      <c r="F126" s="38">
        <v>45289</v>
      </c>
      <c r="G126" s="39" t="s">
        <v>953</v>
      </c>
      <c r="H126" s="42" t="s">
        <v>141</v>
      </c>
      <c r="I126" s="42" t="s">
        <v>954</v>
      </c>
      <c r="J126" s="56">
        <v>85205610</v>
      </c>
      <c r="K126" s="56">
        <v>85205610</v>
      </c>
      <c r="L126" s="56">
        <v>0</v>
      </c>
      <c r="M126" s="56">
        <v>0</v>
      </c>
      <c r="N126" s="44">
        <f t="shared" si="20"/>
        <v>0</v>
      </c>
      <c r="O126" s="45">
        <f t="shared" si="14"/>
        <v>0</v>
      </c>
      <c r="P126" s="43">
        <v>85205610</v>
      </c>
      <c r="Q126" s="45">
        <f t="shared" si="25"/>
        <v>0</v>
      </c>
      <c r="R126" s="43">
        <v>85205610</v>
      </c>
      <c r="S126" s="30">
        <f t="shared" si="26"/>
        <v>85205610</v>
      </c>
      <c r="T126" s="30">
        <f>S126</f>
        <v>85205610</v>
      </c>
      <c r="U126" s="30">
        <f>T126/X126</f>
        <v>12.51</v>
      </c>
      <c r="V126" s="43">
        <f>T126/X126</f>
        <v>12.51</v>
      </c>
      <c r="W126" s="43">
        <f t="shared" si="10"/>
        <v>6255</v>
      </c>
      <c r="X126" s="43">
        <v>6811000</v>
      </c>
      <c r="Y126" s="43">
        <f>6551000+260000</f>
        <v>6811000</v>
      </c>
      <c r="Z126" s="43">
        <v>0</v>
      </c>
      <c r="AA126" s="43">
        <v>0</v>
      </c>
      <c r="AB126" s="43">
        <v>260000</v>
      </c>
      <c r="AC126" s="43">
        <f t="shared" si="11"/>
        <v>3252600</v>
      </c>
      <c r="AD126" s="43">
        <v>6551000</v>
      </c>
      <c r="AE126" s="43">
        <f t="shared" si="12"/>
        <v>81953010</v>
      </c>
      <c r="AF126" s="43">
        <f t="shared" si="18"/>
        <v>13622</v>
      </c>
      <c r="AG126" s="43">
        <f t="shared" si="19"/>
        <v>13622</v>
      </c>
      <c r="AH126" s="38">
        <v>45381</v>
      </c>
      <c r="AI126" s="38"/>
      <c r="AJ126" s="38"/>
      <c r="AK126" s="38">
        <v>45413</v>
      </c>
      <c r="AL126" s="38"/>
      <c r="AM126" s="48"/>
      <c r="AN126" s="42"/>
      <c r="AO126" s="42" t="s">
        <v>955</v>
      </c>
      <c r="AP126" s="42" t="s">
        <v>956</v>
      </c>
      <c r="AQ126" s="42" t="s">
        <v>957</v>
      </c>
      <c r="AR126" s="42" t="s">
        <v>82</v>
      </c>
      <c r="AS126" s="50">
        <v>100</v>
      </c>
      <c r="AT126" s="39">
        <v>0</v>
      </c>
      <c r="AU126" s="39" t="s">
        <v>95</v>
      </c>
      <c r="AV126" s="49">
        <v>500</v>
      </c>
      <c r="AW126" s="39" t="s">
        <v>62</v>
      </c>
      <c r="AX126" s="39">
        <v>10</v>
      </c>
      <c r="AY126" s="30">
        <f>(J126*10)/100</f>
        <v>8520561</v>
      </c>
      <c r="AZ126" s="42" t="s">
        <v>405</v>
      </c>
    </row>
    <row r="127" spans="1:52" ht="75" x14ac:dyDescent="0.25">
      <c r="A127" s="46" t="s">
        <v>958</v>
      </c>
      <c r="B127" s="48">
        <v>45268</v>
      </c>
      <c r="C127" s="42">
        <v>1416</v>
      </c>
      <c r="D127" s="37" t="s">
        <v>959</v>
      </c>
      <c r="E127" s="41" t="s">
        <v>960</v>
      </c>
      <c r="F127" s="38">
        <v>45310</v>
      </c>
      <c r="G127" s="39" t="s">
        <v>961</v>
      </c>
      <c r="H127" s="42" t="s">
        <v>141</v>
      </c>
      <c r="I127" s="42" t="s">
        <v>962</v>
      </c>
      <c r="J127" s="56">
        <v>6881444100</v>
      </c>
      <c r="K127" s="56">
        <v>3440722050</v>
      </c>
      <c r="L127" s="56">
        <v>3440722050</v>
      </c>
      <c r="M127" s="56">
        <v>0</v>
      </c>
      <c r="N127" s="44">
        <f t="shared" si="20"/>
        <v>0</v>
      </c>
      <c r="O127" s="45">
        <f t="shared" si="14"/>
        <v>0</v>
      </c>
      <c r="P127" s="43">
        <v>6881444100</v>
      </c>
      <c r="Q127" s="45">
        <f t="shared" si="25"/>
        <v>3440722050</v>
      </c>
      <c r="R127" s="43">
        <v>3440722050</v>
      </c>
      <c r="S127" s="30">
        <f t="shared" si="26"/>
        <v>3440722050</v>
      </c>
      <c r="T127" s="30">
        <v>6881444100</v>
      </c>
      <c r="U127" s="30">
        <f>T127/X127</f>
        <v>5594.67</v>
      </c>
      <c r="V127" s="43">
        <f>T127/X127</f>
        <v>5594.67</v>
      </c>
      <c r="W127" s="43">
        <f t="shared" si="10"/>
        <v>83920.05</v>
      </c>
      <c r="X127" s="43">
        <v>1230000</v>
      </c>
      <c r="Y127" s="43">
        <f>1660+377840</f>
        <v>379500</v>
      </c>
      <c r="Z127" s="43">
        <v>235500</v>
      </c>
      <c r="AA127" s="43">
        <v>0</v>
      </c>
      <c r="AB127" s="43">
        <v>1660</v>
      </c>
      <c r="AC127" s="43">
        <f t="shared" si="11"/>
        <v>9287152.1999999993</v>
      </c>
      <c r="AD127" s="43">
        <f>377840+235500</f>
        <v>613340</v>
      </c>
      <c r="AE127" s="43">
        <f t="shared" si="12"/>
        <v>3431434897.8000002</v>
      </c>
      <c r="AF127" s="43">
        <f t="shared" si="18"/>
        <v>82000</v>
      </c>
      <c r="AG127" s="43">
        <f t="shared" si="19"/>
        <v>82000</v>
      </c>
      <c r="AH127" s="38">
        <v>45397</v>
      </c>
      <c r="AI127" s="38">
        <v>45474</v>
      </c>
      <c r="AJ127" s="38" t="s">
        <v>963</v>
      </c>
      <c r="AK127" s="38">
        <v>45427</v>
      </c>
      <c r="AL127" s="38">
        <v>45505</v>
      </c>
      <c r="AM127" s="48" t="s">
        <v>964</v>
      </c>
      <c r="AN127" s="42"/>
      <c r="AO127" s="42" t="s">
        <v>965</v>
      </c>
      <c r="AP127" s="42" t="s">
        <v>966</v>
      </c>
      <c r="AQ127" s="42" t="s">
        <v>967</v>
      </c>
      <c r="AR127" s="42" t="s">
        <v>94</v>
      </c>
      <c r="AS127" s="50">
        <v>0</v>
      </c>
      <c r="AT127" s="39">
        <v>100</v>
      </c>
      <c r="AU127" s="39" t="s">
        <v>83</v>
      </c>
      <c r="AV127" s="49">
        <v>15</v>
      </c>
      <c r="AW127" s="39" t="s">
        <v>62</v>
      </c>
      <c r="AX127" s="39">
        <v>10</v>
      </c>
      <c r="AY127" s="30">
        <f>(J127*10)/100</f>
        <v>688144410</v>
      </c>
      <c r="AZ127" s="42" t="s">
        <v>405</v>
      </c>
    </row>
    <row r="128" spans="1:52" ht="75" x14ac:dyDescent="0.25">
      <c r="A128" s="46" t="s">
        <v>968</v>
      </c>
      <c r="B128" s="48">
        <v>45268</v>
      </c>
      <c r="C128" s="42">
        <v>1416</v>
      </c>
      <c r="D128" s="37" t="s">
        <v>969</v>
      </c>
      <c r="E128" s="41" t="s">
        <v>970</v>
      </c>
      <c r="F128" s="38">
        <v>45289</v>
      </c>
      <c r="G128" s="39" t="s">
        <v>971</v>
      </c>
      <c r="H128" s="42" t="s">
        <v>321</v>
      </c>
      <c r="I128" s="42" t="s">
        <v>972</v>
      </c>
      <c r="J128" s="56">
        <v>41597582.399999999</v>
      </c>
      <c r="K128" s="56">
        <v>41597582.399999999</v>
      </c>
      <c r="L128" s="56">
        <v>0</v>
      </c>
      <c r="M128" s="56">
        <v>0</v>
      </c>
      <c r="N128" s="44">
        <f t="shared" si="20"/>
        <v>0</v>
      </c>
      <c r="O128" s="45">
        <f t="shared" si="14"/>
        <v>0</v>
      </c>
      <c r="P128" s="43">
        <v>41597582.399999999</v>
      </c>
      <c r="Q128" s="45">
        <f t="shared" si="25"/>
        <v>0</v>
      </c>
      <c r="R128" s="43">
        <v>41597582.399999999</v>
      </c>
      <c r="S128" s="30">
        <f t="shared" si="26"/>
        <v>41597582.399999999</v>
      </c>
      <c r="T128" s="30">
        <f t="shared" si="26"/>
        <v>41597582.399999999</v>
      </c>
      <c r="U128" s="30">
        <f>T128/X128</f>
        <v>16048.449999999999</v>
      </c>
      <c r="V128" s="43">
        <f>T128/X128</f>
        <v>16048.449999999999</v>
      </c>
      <c r="W128" s="43">
        <f t="shared" si="10"/>
        <v>57774.42</v>
      </c>
      <c r="X128" s="43">
        <v>2592</v>
      </c>
      <c r="Y128" s="43">
        <v>2592</v>
      </c>
      <c r="Z128" s="43">
        <v>0</v>
      </c>
      <c r="AA128" s="43">
        <v>0</v>
      </c>
      <c r="AB128" s="43">
        <v>1976.4</v>
      </c>
      <c r="AC128" s="43">
        <f t="shared" si="11"/>
        <v>31718156.579999998</v>
      </c>
      <c r="AD128" s="43">
        <v>615.6</v>
      </c>
      <c r="AE128" s="43">
        <f t="shared" si="12"/>
        <v>9879425.8200000003</v>
      </c>
      <c r="AF128" s="43">
        <f t="shared" si="18"/>
        <v>720</v>
      </c>
      <c r="AG128" s="43">
        <f t="shared" si="19"/>
        <v>720</v>
      </c>
      <c r="AH128" s="38">
        <v>45323</v>
      </c>
      <c r="AI128" s="38"/>
      <c r="AJ128" s="38"/>
      <c r="AK128" s="38">
        <v>45352</v>
      </c>
      <c r="AL128" s="38"/>
      <c r="AM128" s="48"/>
      <c r="AN128" s="42"/>
      <c r="AO128" s="42" t="s">
        <v>263</v>
      </c>
      <c r="AP128" s="42" t="s">
        <v>973</v>
      </c>
      <c r="AQ128" s="42" t="s">
        <v>974</v>
      </c>
      <c r="AR128" s="42" t="s">
        <v>94</v>
      </c>
      <c r="AS128" s="50">
        <v>0</v>
      </c>
      <c r="AT128" s="39">
        <v>100</v>
      </c>
      <c r="AU128" s="39">
        <v>100</v>
      </c>
      <c r="AV128" s="54">
        <v>3.6</v>
      </c>
      <c r="AW128" s="39" t="s">
        <v>62</v>
      </c>
      <c r="AX128" s="39">
        <v>10</v>
      </c>
      <c r="AY128" s="30">
        <f>(J128*10)/100</f>
        <v>4159758.24</v>
      </c>
      <c r="AZ128" s="42" t="s">
        <v>405</v>
      </c>
    </row>
    <row r="129" spans="1:52" ht="75" x14ac:dyDescent="0.25">
      <c r="A129" s="46" t="s">
        <v>975</v>
      </c>
      <c r="B129" s="48">
        <v>45268</v>
      </c>
      <c r="C129" s="42">
        <v>1416</v>
      </c>
      <c r="D129" s="37"/>
      <c r="E129" s="41" t="s">
        <v>976</v>
      </c>
      <c r="F129" s="38"/>
      <c r="G129" s="39"/>
      <c r="H129" s="42"/>
      <c r="I129" s="42" t="s">
        <v>724</v>
      </c>
      <c r="J129" s="56">
        <v>2676317280</v>
      </c>
      <c r="K129" s="56">
        <v>2676317280</v>
      </c>
      <c r="L129" s="56"/>
      <c r="M129" s="56"/>
      <c r="N129" s="44">
        <f t="shared" si="20"/>
        <v>100</v>
      </c>
      <c r="O129" s="45">
        <f t="shared" si="14"/>
        <v>2676317280</v>
      </c>
      <c r="P129" s="43"/>
      <c r="Q129" s="45">
        <f t="shared" si="25"/>
        <v>2676317280</v>
      </c>
      <c r="R129" s="43">
        <v>0</v>
      </c>
      <c r="S129" s="30">
        <f t="shared" si="26"/>
        <v>0</v>
      </c>
      <c r="T129" s="30">
        <f t="shared" si="26"/>
        <v>0</v>
      </c>
      <c r="U129" s="30" t="e">
        <f>T129/X129</f>
        <v>#DIV/0!</v>
      </c>
      <c r="V129" s="43" t="e">
        <f>T129/X129</f>
        <v>#DIV/0!</v>
      </c>
      <c r="W129" s="43" t="e">
        <f t="shared" si="10"/>
        <v>#DIV/0!</v>
      </c>
      <c r="X129" s="43">
        <v>0</v>
      </c>
      <c r="Y129" s="43">
        <v>0</v>
      </c>
      <c r="Z129" s="43">
        <v>0</v>
      </c>
      <c r="AA129" s="43">
        <v>0</v>
      </c>
      <c r="AB129" s="43"/>
      <c r="AC129" s="43" t="e">
        <f t="shared" si="11"/>
        <v>#DIV/0!</v>
      </c>
      <c r="AD129" s="43"/>
      <c r="AE129" s="43" t="e">
        <f t="shared" si="12"/>
        <v>#DIV/0!</v>
      </c>
      <c r="AF129" s="43" t="e">
        <f t="shared" si="18"/>
        <v>#DIV/0!</v>
      </c>
      <c r="AG129" s="43" t="e">
        <f t="shared" si="19"/>
        <v>#DIV/0!</v>
      </c>
      <c r="AH129" s="38">
        <v>45352</v>
      </c>
      <c r="AI129" s="38">
        <v>45504</v>
      </c>
      <c r="AJ129" s="38">
        <v>45717</v>
      </c>
      <c r="AK129" s="38"/>
      <c r="AL129" s="38"/>
      <c r="AM129" s="48"/>
      <c r="AN129" s="42"/>
      <c r="AO129" s="42"/>
      <c r="AP129" s="42"/>
      <c r="AQ129" s="42"/>
      <c r="AR129" s="42"/>
      <c r="AS129" s="50"/>
      <c r="AT129" s="39"/>
      <c r="AU129" s="39"/>
      <c r="AV129" s="49"/>
      <c r="AW129" s="39"/>
      <c r="AX129" s="39">
        <v>10</v>
      </c>
      <c r="AY129" s="30">
        <f>(J129*10)/100</f>
        <v>267631728</v>
      </c>
      <c r="AZ129" s="42" t="s">
        <v>434</v>
      </c>
    </row>
    <row r="130" spans="1:52" ht="75" x14ac:dyDescent="0.25">
      <c r="A130" s="46" t="s">
        <v>977</v>
      </c>
      <c r="B130" s="48">
        <v>45268</v>
      </c>
      <c r="C130" s="42">
        <v>1416</v>
      </c>
      <c r="D130" s="37"/>
      <c r="E130" s="41" t="s">
        <v>978</v>
      </c>
      <c r="F130" s="38"/>
      <c r="G130" s="39"/>
      <c r="H130" s="42"/>
      <c r="I130" s="42" t="s">
        <v>979</v>
      </c>
      <c r="J130" s="56">
        <v>13163854000</v>
      </c>
      <c r="K130" s="56">
        <v>13163854000</v>
      </c>
      <c r="L130" s="56"/>
      <c r="M130" s="56"/>
      <c r="N130" s="44">
        <f t="shared" si="20"/>
        <v>100</v>
      </c>
      <c r="O130" s="45">
        <f t="shared" si="14"/>
        <v>13163854000</v>
      </c>
      <c r="P130" s="43"/>
      <c r="Q130" s="45">
        <f t="shared" si="25"/>
        <v>13163854000</v>
      </c>
      <c r="R130" s="43">
        <v>0</v>
      </c>
      <c r="S130" s="30">
        <f t="shared" si="26"/>
        <v>0</v>
      </c>
      <c r="T130" s="30">
        <f t="shared" si="26"/>
        <v>0</v>
      </c>
      <c r="U130" s="30" t="e">
        <f>T130/X130</f>
        <v>#DIV/0!</v>
      </c>
      <c r="V130" s="43" t="e">
        <f>T130/X130</f>
        <v>#DIV/0!</v>
      </c>
      <c r="W130" s="43" t="e">
        <f t="shared" si="10"/>
        <v>#DIV/0!</v>
      </c>
      <c r="X130" s="43">
        <v>0</v>
      </c>
      <c r="Y130" s="43">
        <v>0</v>
      </c>
      <c r="Z130" s="43">
        <v>0</v>
      </c>
      <c r="AA130" s="43">
        <v>0</v>
      </c>
      <c r="AB130" s="43"/>
      <c r="AC130" s="43" t="e">
        <f t="shared" si="11"/>
        <v>#DIV/0!</v>
      </c>
      <c r="AD130" s="43"/>
      <c r="AE130" s="43" t="e">
        <f t="shared" si="12"/>
        <v>#DIV/0!</v>
      </c>
      <c r="AF130" s="43" t="e">
        <f t="shared" si="18"/>
        <v>#DIV/0!</v>
      </c>
      <c r="AG130" s="43" t="e">
        <f t="shared" si="19"/>
        <v>#DIV/0!</v>
      </c>
      <c r="AH130" s="38">
        <v>45352</v>
      </c>
      <c r="AI130" s="38">
        <v>45717</v>
      </c>
      <c r="AJ130" s="38"/>
      <c r="AK130" s="38"/>
      <c r="AL130" s="38"/>
      <c r="AM130" s="48"/>
      <c r="AN130" s="42"/>
      <c r="AO130" s="42"/>
      <c r="AP130" s="42"/>
      <c r="AQ130" s="42"/>
      <c r="AR130" s="42"/>
      <c r="AS130" s="50"/>
      <c r="AT130" s="39"/>
      <c r="AU130" s="39"/>
      <c r="AV130" s="49"/>
      <c r="AW130" s="39"/>
      <c r="AX130" s="39">
        <v>10</v>
      </c>
      <c r="AY130" s="30">
        <f>(J130*10)/100</f>
        <v>1316385400</v>
      </c>
      <c r="AZ130" s="42" t="s">
        <v>434</v>
      </c>
    </row>
    <row r="131" spans="1:52" ht="93" customHeight="1" x14ac:dyDescent="0.25">
      <c r="A131" s="46" t="s">
        <v>980</v>
      </c>
      <c r="B131" s="48">
        <v>45271</v>
      </c>
      <c r="C131" s="42">
        <v>1416</v>
      </c>
      <c r="D131" s="37" t="s">
        <v>981</v>
      </c>
      <c r="E131" s="41" t="s">
        <v>982</v>
      </c>
      <c r="F131" s="38">
        <v>45307</v>
      </c>
      <c r="G131" s="39" t="s">
        <v>983</v>
      </c>
      <c r="H131" s="42" t="s">
        <v>141</v>
      </c>
      <c r="I131" s="42" t="s">
        <v>984</v>
      </c>
      <c r="J131" s="56">
        <v>522671220</v>
      </c>
      <c r="K131" s="56">
        <v>522671220</v>
      </c>
      <c r="L131" s="56">
        <v>0</v>
      </c>
      <c r="M131" s="56">
        <v>0</v>
      </c>
      <c r="N131" s="44">
        <f t="shared" si="20"/>
        <v>0</v>
      </c>
      <c r="O131" s="45">
        <f t="shared" si="14"/>
        <v>0</v>
      </c>
      <c r="P131" s="56">
        <v>522671220</v>
      </c>
      <c r="Q131" s="45">
        <f t="shared" si="25"/>
        <v>0</v>
      </c>
      <c r="R131" s="56">
        <v>522671220</v>
      </c>
      <c r="S131" s="30">
        <f t="shared" si="26"/>
        <v>522671220</v>
      </c>
      <c r="T131" s="30">
        <f t="shared" si="26"/>
        <v>522671220</v>
      </c>
      <c r="U131" s="30">
        <f>T131/X131</f>
        <v>12.38</v>
      </c>
      <c r="V131" s="43">
        <f>T131/X131</f>
        <v>12.38</v>
      </c>
      <c r="W131" s="43">
        <f t="shared" ref="W131:W194" si="27">V131*AV131</f>
        <v>12380</v>
      </c>
      <c r="X131" s="43">
        <v>42219000</v>
      </c>
      <c r="Y131" s="43">
        <v>42219000</v>
      </c>
      <c r="Z131" s="43">
        <v>0</v>
      </c>
      <c r="AA131" s="43">
        <v>0</v>
      </c>
      <c r="AB131" s="43">
        <v>1393000</v>
      </c>
      <c r="AC131" s="43">
        <f t="shared" si="11"/>
        <v>17245340</v>
      </c>
      <c r="AD131" s="43">
        <v>40826000</v>
      </c>
      <c r="AE131" s="43">
        <f t="shared" si="12"/>
        <v>505425880.00000006</v>
      </c>
      <c r="AF131" s="43">
        <f t="shared" si="18"/>
        <v>42219</v>
      </c>
      <c r="AG131" s="43">
        <f t="shared" si="19"/>
        <v>42219</v>
      </c>
      <c r="AH131" s="38">
        <v>45381</v>
      </c>
      <c r="AI131" s="38"/>
      <c r="AJ131" s="38"/>
      <c r="AK131" s="38">
        <v>45413</v>
      </c>
      <c r="AL131" s="38"/>
      <c r="AM131" s="48"/>
      <c r="AN131" s="42"/>
      <c r="AO131" s="42" t="s">
        <v>985</v>
      </c>
      <c r="AP131" s="42" t="s">
        <v>986</v>
      </c>
      <c r="AQ131" s="42" t="s">
        <v>987</v>
      </c>
      <c r="AR131" s="42" t="s">
        <v>82</v>
      </c>
      <c r="AS131" s="50">
        <v>100</v>
      </c>
      <c r="AT131" s="39">
        <v>0</v>
      </c>
      <c r="AU131" s="39" t="s">
        <v>95</v>
      </c>
      <c r="AV131" s="49">
        <v>1000</v>
      </c>
      <c r="AW131" s="39" t="s">
        <v>62</v>
      </c>
      <c r="AX131" s="39">
        <v>10</v>
      </c>
      <c r="AY131" s="30">
        <f>(J131*10)/100</f>
        <v>52267122</v>
      </c>
      <c r="AZ131" s="42" t="s">
        <v>405</v>
      </c>
    </row>
    <row r="132" spans="1:52" ht="102.75" customHeight="1" x14ac:dyDescent="0.25">
      <c r="A132" s="46" t="s">
        <v>988</v>
      </c>
      <c r="B132" s="48">
        <v>45271</v>
      </c>
      <c r="C132" s="42">
        <v>1416</v>
      </c>
      <c r="D132" s="37" t="s">
        <v>989</v>
      </c>
      <c r="E132" s="41" t="s">
        <v>990</v>
      </c>
      <c r="F132" s="38">
        <v>45300</v>
      </c>
      <c r="G132" s="39" t="s">
        <v>991</v>
      </c>
      <c r="H132" s="42" t="s">
        <v>226</v>
      </c>
      <c r="I132" s="42" t="s">
        <v>992</v>
      </c>
      <c r="J132" s="56">
        <v>220214728.80000001</v>
      </c>
      <c r="K132" s="56">
        <v>220214728.80000001</v>
      </c>
      <c r="L132" s="56">
        <v>0</v>
      </c>
      <c r="M132" s="56">
        <v>0</v>
      </c>
      <c r="N132" s="44">
        <f t="shared" si="20"/>
        <v>0.50007063832690279</v>
      </c>
      <c r="O132" s="45">
        <f t="shared" si="14"/>
        <v>1101229.2000000179</v>
      </c>
      <c r="P132" s="43">
        <v>219113499.59999999</v>
      </c>
      <c r="Q132" s="45">
        <f t="shared" si="25"/>
        <v>1101229.2000000179</v>
      </c>
      <c r="R132" s="43">
        <v>219113499.59999999</v>
      </c>
      <c r="S132" s="30">
        <f t="shared" si="26"/>
        <v>219113499.59999999</v>
      </c>
      <c r="T132" s="30">
        <f t="shared" si="26"/>
        <v>219113499.59999999</v>
      </c>
      <c r="U132" s="30">
        <f>T132/X132</f>
        <v>4084.89</v>
      </c>
      <c r="V132" s="43">
        <f>T132/X132</f>
        <v>4084.89</v>
      </c>
      <c r="W132" s="43">
        <f t="shared" si="27"/>
        <v>4084.89</v>
      </c>
      <c r="X132" s="43">
        <v>53640</v>
      </c>
      <c r="Y132" s="43">
        <v>53640</v>
      </c>
      <c r="Z132" s="43">
        <v>0</v>
      </c>
      <c r="AA132" s="43">
        <v>0</v>
      </c>
      <c r="AB132" s="43">
        <v>0</v>
      </c>
      <c r="AC132" s="43">
        <f t="shared" ref="AC132:AC195" si="28">AB132*V132</f>
        <v>0</v>
      </c>
      <c r="AD132" s="43">
        <v>53640</v>
      </c>
      <c r="AE132" s="43">
        <f t="shared" ref="AE132:AE195" si="29">AD132*V132</f>
        <v>219113499.59999999</v>
      </c>
      <c r="AF132" s="43">
        <f t="shared" si="18"/>
        <v>53640</v>
      </c>
      <c r="AG132" s="43">
        <f t="shared" si="19"/>
        <v>53640</v>
      </c>
      <c r="AH132" s="38">
        <v>45352</v>
      </c>
      <c r="AI132" s="38"/>
      <c r="AJ132" s="38"/>
      <c r="AK132" s="38">
        <v>45383</v>
      </c>
      <c r="AL132" s="38"/>
      <c r="AM132" s="48"/>
      <c r="AN132" s="42"/>
      <c r="AO132" s="42" t="s">
        <v>993</v>
      </c>
      <c r="AP132" s="42" t="s">
        <v>994</v>
      </c>
      <c r="AQ132" s="42" t="s">
        <v>995</v>
      </c>
      <c r="AR132" s="42" t="s">
        <v>82</v>
      </c>
      <c r="AS132" s="50">
        <v>100</v>
      </c>
      <c r="AT132" s="39">
        <v>0</v>
      </c>
      <c r="AU132" s="39" t="s">
        <v>389</v>
      </c>
      <c r="AV132" s="49">
        <v>1</v>
      </c>
      <c r="AW132" s="39" t="s">
        <v>62</v>
      </c>
      <c r="AX132" s="39">
        <v>10</v>
      </c>
      <c r="AY132" s="30">
        <f>(J132*10)/100</f>
        <v>22021472.879999999</v>
      </c>
      <c r="AZ132" s="42" t="s">
        <v>405</v>
      </c>
    </row>
    <row r="133" spans="1:52" ht="116.25" customHeight="1" x14ac:dyDescent="0.25">
      <c r="A133" s="46" t="s">
        <v>996</v>
      </c>
      <c r="B133" s="48">
        <v>45273</v>
      </c>
      <c r="C133" s="42">
        <v>1416</v>
      </c>
      <c r="D133" s="37" t="s">
        <v>997</v>
      </c>
      <c r="E133" s="41" t="s">
        <v>998</v>
      </c>
      <c r="F133" s="38">
        <v>45303</v>
      </c>
      <c r="G133" s="39" t="s">
        <v>999</v>
      </c>
      <c r="H133" s="42" t="s">
        <v>141</v>
      </c>
      <c r="I133" s="42" t="s">
        <v>1000</v>
      </c>
      <c r="J133" s="56">
        <v>158125500</v>
      </c>
      <c r="K133" s="56">
        <v>158125500</v>
      </c>
      <c r="L133" s="56">
        <v>0</v>
      </c>
      <c r="M133" s="56">
        <v>0</v>
      </c>
      <c r="N133" s="44">
        <f t="shared" si="20"/>
        <v>0</v>
      </c>
      <c r="O133" s="45">
        <f t="shared" si="14"/>
        <v>0</v>
      </c>
      <c r="P133" s="43">
        <v>158125500</v>
      </c>
      <c r="Q133" s="45">
        <f t="shared" si="25"/>
        <v>0</v>
      </c>
      <c r="R133" s="43">
        <v>158125500</v>
      </c>
      <c r="S133" s="30">
        <f t="shared" si="26"/>
        <v>158125500</v>
      </c>
      <c r="T133" s="30">
        <f t="shared" si="26"/>
        <v>158125500</v>
      </c>
      <c r="U133" s="30">
        <f>T133/X133</f>
        <v>11.05</v>
      </c>
      <c r="V133" s="43">
        <f>T133/X133</f>
        <v>11.05</v>
      </c>
      <c r="W133" s="43">
        <f t="shared" si="27"/>
        <v>22100</v>
      </c>
      <c r="X133" s="43">
        <v>14310000</v>
      </c>
      <c r="Y133" s="43">
        <v>14310000</v>
      </c>
      <c r="Z133" s="43">
        <v>0</v>
      </c>
      <c r="AA133" s="43">
        <v>0</v>
      </c>
      <c r="AB133" s="43">
        <v>216000</v>
      </c>
      <c r="AC133" s="43">
        <f t="shared" si="28"/>
        <v>2386800</v>
      </c>
      <c r="AD133" s="43">
        <v>14094000</v>
      </c>
      <c r="AE133" s="43">
        <f t="shared" si="29"/>
        <v>155738700</v>
      </c>
      <c r="AF133" s="43">
        <f t="shared" si="18"/>
        <v>7155</v>
      </c>
      <c r="AG133" s="43">
        <f t="shared" si="19"/>
        <v>7155</v>
      </c>
      <c r="AH133" s="38">
        <v>45381</v>
      </c>
      <c r="AI133" s="38"/>
      <c r="AJ133" s="38"/>
      <c r="AK133" s="38">
        <v>45413</v>
      </c>
      <c r="AL133" s="38"/>
      <c r="AM133" s="48"/>
      <c r="AN133" s="42"/>
      <c r="AO133" s="42" t="s">
        <v>1001</v>
      </c>
      <c r="AP133" s="42" t="s">
        <v>1002</v>
      </c>
      <c r="AQ133" s="42" t="s">
        <v>1003</v>
      </c>
      <c r="AR133" s="42" t="s">
        <v>82</v>
      </c>
      <c r="AS133" s="50">
        <v>100</v>
      </c>
      <c r="AT133" s="39">
        <v>0</v>
      </c>
      <c r="AU133" s="39" t="s">
        <v>95</v>
      </c>
      <c r="AV133" s="49">
        <v>2000</v>
      </c>
      <c r="AW133" s="39" t="s">
        <v>62</v>
      </c>
      <c r="AX133" s="39">
        <v>10</v>
      </c>
      <c r="AY133" s="30">
        <f>(J133*10)/100</f>
        <v>15812550</v>
      </c>
      <c r="AZ133" s="42" t="s">
        <v>405</v>
      </c>
    </row>
    <row r="134" spans="1:52" ht="75" x14ac:dyDescent="0.25">
      <c r="A134" s="46" t="s">
        <v>1004</v>
      </c>
      <c r="B134" s="48">
        <v>45273</v>
      </c>
      <c r="C134" s="42">
        <v>1416</v>
      </c>
      <c r="D134" s="37" t="s">
        <v>1005</v>
      </c>
      <c r="E134" s="41" t="s">
        <v>1006</v>
      </c>
      <c r="F134" s="38">
        <v>45300</v>
      </c>
      <c r="G134" s="39" t="s">
        <v>1007</v>
      </c>
      <c r="H134" s="42" t="s">
        <v>359</v>
      </c>
      <c r="I134" s="42" t="s">
        <v>1008</v>
      </c>
      <c r="J134" s="56">
        <v>206377759.94</v>
      </c>
      <c r="K134" s="56">
        <v>206377759.94</v>
      </c>
      <c r="L134" s="56">
        <v>0</v>
      </c>
      <c r="M134" s="56">
        <v>0</v>
      </c>
      <c r="N134" s="44">
        <f t="shared" si="20"/>
        <v>0</v>
      </c>
      <c r="O134" s="45">
        <f t="shared" si="14"/>
        <v>0</v>
      </c>
      <c r="P134" s="43">
        <v>206377759.94</v>
      </c>
      <c r="Q134" s="45">
        <f t="shared" si="25"/>
        <v>0</v>
      </c>
      <c r="R134" s="43">
        <v>206377759.94</v>
      </c>
      <c r="S134" s="30">
        <f t="shared" si="26"/>
        <v>206377759.94</v>
      </c>
      <c r="T134" s="30">
        <f t="shared" si="26"/>
        <v>206377759.94</v>
      </c>
      <c r="U134" s="30">
        <f>T134/X134</f>
        <v>52768.54</v>
      </c>
      <c r="V134" s="43">
        <f>T134/X134</f>
        <v>52768.54</v>
      </c>
      <c r="W134" s="43">
        <f t="shared" si="27"/>
        <v>52768.54</v>
      </c>
      <c r="X134" s="43">
        <v>3911</v>
      </c>
      <c r="Y134" s="43">
        <v>1326</v>
      </c>
      <c r="Z134" s="43">
        <v>2585</v>
      </c>
      <c r="AA134" s="43">
        <v>0</v>
      </c>
      <c r="AB134" s="43">
        <f>1174+2290</f>
        <v>3464</v>
      </c>
      <c r="AC134" s="43">
        <f t="shared" si="28"/>
        <v>182790222.56</v>
      </c>
      <c r="AD134" s="43">
        <f>152+295</f>
        <v>447</v>
      </c>
      <c r="AE134" s="43">
        <f t="shared" si="29"/>
        <v>23587537.379999999</v>
      </c>
      <c r="AF134" s="43">
        <f t="shared" si="18"/>
        <v>3911</v>
      </c>
      <c r="AG134" s="43">
        <f t="shared" si="19"/>
        <v>3911</v>
      </c>
      <c r="AH134" s="38">
        <v>45366</v>
      </c>
      <c r="AI134" s="38">
        <v>45413</v>
      </c>
      <c r="AJ134" s="38"/>
      <c r="AK134" s="38">
        <v>45397</v>
      </c>
      <c r="AL134" s="38">
        <v>45458</v>
      </c>
      <c r="AM134" s="48"/>
      <c r="AN134" s="42"/>
      <c r="AO134" s="42" t="s">
        <v>746</v>
      </c>
      <c r="AP134" s="42" t="s">
        <v>1009</v>
      </c>
      <c r="AQ134" s="42" t="s">
        <v>748</v>
      </c>
      <c r="AR134" s="42" t="s">
        <v>266</v>
      </c>
      <c r="AS134" s="50">
        <v>0</v>
      </c>
      <c r="AT134" s="39">
        <v>100</v>
      </c>
      <c r="AU134" s="39" t="s">
        <v>83</v>
      </c>
      <c r="AV134" s="49">
        <v>1</v>
      </c>
      <c r="AW134" s="39" t="s">
        <v>62</v>
      </c>
      <c r="AX134" s="39">
        <v>10</v>
      </c>
      <c r="AY134" s="30">
        <f>(J134*10)/100</f>
        <v>20637775.994000003</v>
      </c>
      <c r="AZ134" s="42" t="s">
        <v>405</v>
      </c>
    </row>
    <row r="135" spans="1:52" ht="69" customHeight="1" x14ac:dyDescent="0.25">
      <c r="A135" s="46" t="s">
        <v>1010</v>
      </c>
      <c r="B135" s="48">
        <v>45273</v>
      </c>
      <c r="C135" s="42" t="s">
        <v>435</v>
      </c>
      <c r="D135" s="37" t="s">
        <v>1011</v>
      </c>
      <c r="E135" s="41" t="s">
        <v>1012</v>
      </c>
      <c r="F135" s="38">
        <v>45310</v>
      </c>
      <c r="G135" s="39" t="s">
        <v>1013</v>
      </c>
      <c r="H135" s="42" t="s">
        <v>141</v>
      </c>
      <c r="I135" s="42" t="s">
        <v>1014</v>
      </c>
      <c r="J135" s="56">
        <v>997835333.39999998</v>
      </c>
      <c r="K135" s="56">
        <v>997835333.39999998</v>
      </c>
      <c r="L135" s="56">
        <v>0</v>
      </c>
      <c r="M135" s="56">
        <v>0</v>
      </c>
      <c r="N135" s="44">
        <f t="shared" si="20"/>
        <v>0</v>
      </c>
      <c r="O135" s="45">
        <f t="shared" si="14"/>
        <v>0</v>
      </c>
      <c r="P135" s="43">
        <v>997835333.39999998</v>
      </c>
      <c r="Q135" s="45">
        <f t="shared" si="25"/>
        <v>0</v>
      </c>
      <c r="R135" s="43">
        <v>997835333.39999998</v>
      </c>
      <c r="S135" s="30">
        <f t="shared" si="26"/>
        <v>997835333.39999998</v>
      </c>
      <c r="T135" s="30">
        <f t="shared" si="26"/>
        <v>997835333.39999998</v>
      </c>
      <c r="U135" s="30">
        <f>T135/X135</f>
        <v>524.30999999999995</v>
      </c>
      <c r="V135" s="43">
        <f>T135/X135</f>
        <v>524.30999999999995</v>
      </c>
      <c r="W135" s="43">
        <f t="shared" si="27"/>
        <v>15729.3</v>
      </c>
      <c r="X135" s="43">
        <f t="shared" ref="X135:X198" si="30">Y135+Z135+AA135</f>
        <v>1903140</v>
      </c>
      <c r="Y135" s="43">
        <v>1903140</v>
      </c>
      <c r="Z135" s="43">
        <v>0</v>
      </c>
      <c r="AA135" s="43">
        <v>0</v>
      </c>
      <c r="AB135" s="43"/>
      <c r="AC135" s="43">
        <f t="shared" si="28"/>
        <v>0</v>
      </c>
      <c r="AD135" s="43"/>
      <c r="AE135" s="43">
        <f t="shared" si="29"/>
        <v>0</v>
      </c>
      <c r="AF135" s="43">
        <f t="shared" si="18"/>
        <v>63438</v>
      </c>
      <c r="AG135" s="43">
        <f t="shared" si="19"/>
        <v>63438</v>
      </c>
      <c r="AH135" s="38">
        <v>45397</v>
      </c>
      <c r="AI135" s="38"/>
      <c r="AJ135" s="38"/>
      <c r="AK135" s="38">
        <v>45427</v>
      </c>
      <c r="AL135" s="38"/>
      <c r="AM135" s="48"/>
      <c r="AN135" s="42"/>
      <c r="AO135" s="42" t="s">
        <v>1015</v>
      </c>
      <c r="AP135" s="42" t="s">
        <v>1016</v>
      </c>
      <c r="AQ135" s="42" t="s">
        <v>1017</v>
      </c>
      <c r="AR135" s="42" t="s">
        <v>60</v>
      </c>
      <c r="AS135" s="50">
        <v>0</v>
      </c>
      <c r="AT135" s="39">
        <v>100</v>
      </c>
      <c r="AU135" s="39" t="s">
        <v>389</v>
      </c>
      <c r="AV135" s="49">
        <v>30</v>
      </c>
      <c r="AW135" s="39" t="s">
        <v>62</v>
      </c>
      <c r="AX135" s="39">
        <v>10</v>
      </c>
      <c r="AY135" s="30">
        <f>(J135*10)/100</f>
        <v>99783533.340000004</v>
      </c>
      <c r="AZ135" s="42" t="s">
        <v>405</v>
      </c>
    </row>
    <row r="136" spans="1:52" ht="69.75" customHeight="1" x14ac:dyDescent="0.25">
      <c r="A136" s="46" t="s">
        <v>1018</v>
      </c>
      <c r="B136" s="48">
        <v>45273</v>
      </c>
      <c r="C136" s="42" t="s">
        <v>435</v>
      </c>
      <c r="D136" s="37" t="s">
        <v>1019</v>
      </c>
      <c r="E136" s="41" t="s">
        <v>1020</v>
      </c>
      <c r="F136" s="38">
        <v>45309</v>
      </c>
      <c r="G136" s="39" t="s">
        <v>1021</v>
      </c>
      <c r="H136" s="42" t="s">
        <v>141</v>
      </c>
      <c r="I136" s="42" t="s">
        <v>1022</v>
      </c>
      <c r="J136" s="56">
        <v>433303291.19999999</v>
      </c>
      <c r="K136" s="56">
        <v>433303291.19999999</v>
      </c>
      <c r="L136" s="56">
        <v>0</v>
      </c>
      <c r="M136" s="56">
        <v>0</v>
      </c>
      <c r="N136" s="44">
        <f t="shared" si="20"/>
        <v>0</v>
      </c>
      <c r="O136" s="45">
        <f t="shared" ref="O136:O199" si="31">J136-P136</f>
        <v>0</v>
      </c>
      <c r="P136" s="43">
        <v>433303291.19999999</v>
      </c>
      <c r="Q136" s="45">
        <f t="shared" si="25"/>
        <v>0</v>
      </c>
      <c r="R136" s="43">
        <v>433303291.19999999</v>
      </c>
      <c r="S136" s="30">
        <f t="shared" si="26"/>
        <v>433303291.19999999</v>
      </c>
      <c r="T136" s="30">
        <f t="shared" si="26"/>
        <v>433303291.19999999</v>
      </c>
      <c r="U136" s="30">
        <f>T136/X136</f>
        <v>524.31999999999994</v>
      </c>
      <c r="V136" s="43">
        <f>T136/X136</f>
        <v>524.31999999999994</v>
      </c>
      <c r="W136" s="43">
        <f t="shared" si="27"/>
        <v>15729.599999999999</v>
      </c>
      <c r="X136" s="43">
        <f t="shared" si="30"/>
        <v>826410</v>
      </c>
      <c r="Y136" s="43">
        <v>826410</v>
      </c>
      <c r="Z136" s="43">
        <v>0</v>
      </c>
      <c r="AA136" s="43">
        <v>0</v>
      </c>
      <c r="AB136" s="43"/>
      <c r="AC136" s="43">
        <f t="shared" si="28"/>
        <v>0</v>
      </c>
      <c r="AD136" s="43"/>
      <c r="AE136" s="43">
        <f t="shared" si="29"/>
        <v>0</v>
      </c>
      <c r="AF136" s="43">
        <f t="shared" si="18"/>
        <v>27547</v>
      </c>
      <c r="AG136" s="43">
        <f t="shared" si="19"/>
        <v>27547</v>
      </c>
      <c r="AH136" s="38">
        <v>45397</v>
      </c>
      <c r="AI136" s="38"/>
      <c r="AJ136" s="38"/>
      <c r="AK136" s="38">
        <v>45427</v>
      </c>
      <c r="AL136" s="38"/>
      <c r="AM136" s="48"/>
      <c r="AN136" s="42"/>
      <c r="AO136" s="42" t="s">
        <v>1023</v>
      </c>
      <c r="AP136" s="42" t="s">
        <v>1024</v>
      </c>
      <c r="AQ136" s="42" t="s">
        <v>1025</v>
      </c>
      <c r="AR136" s="42" t="s">
        <v>60</v>
      </c>
      <c r="AS136" s="50">
        <v>0</v>
      </c>
      <c r="AT136" s="39">
        <v>100</v>
      </c>
      <c r="AU136" s="39" t="s">
        <v>389</v>
      </c>
      <c r="AV136" s="49">
        <v>30</v>
      </c>
      <c r="AW136" s="39" t="s">
        <v>62</v>
      </c>
      <c r="AX136" s="39">
        <v>10</v>
      </c>
      <c r="AY136" s="30">
        <f>(J136*10)/100</f>
        <v>43330329.119999997</v>
      </c>
      <c r="AZ136" s="42" t="s">
        <v>405</v>
      </c>
    </row>
    <row r="137" spans="1:52" ht="117.75" customHeight="1" x14ac:dyDescent="0.25">
      <c r="A137" s="46" t="s">
        <v>1026</v>
      </c>
      <c r="B137" s="48">
        <v>45273</v>
      </c>
      <c r="C137" s="42">
        <v>1416</v>
      </c>
      <c r="D137" s="37" t="s">
        <v>1027</v>
      </c>
      <c r="E137" s="41" t="s">
        <v>1028</v>
      </c>
      <c r="F137" s="38">
        <v>45310</v>
      </c>
      <c r="G137" s="39" t="s">
        <v>1029</v>
      </c>
      <c r="H137" s="42" t="s">
        <v>1030</v>
      </c>
      <c r="I137" s="42" t="s">
        <v>1031</v>
      </c>
      <c r="J137" s="56">
        <v>1174571925</v>
      </c>
      <c r="K137" s="56">
        <v>1174571925</v>
      </c>
      <c r="L137" s="56">
        <v>0</v>
      </c>
      <c r="M137" s="56">
        <v>0</v>
      </c>
      <c r="N137" s="44">
        <f t="shared" si="20"/>
        <v>0</v>
      </c>
      <c r="O137" s="45">
        <f t="shared" si="31"/>
        <v>0</v>
      </c>
      <c r="P137" s="43">
        <v>1174571925</v>
      </c>
      <c r="Q137" s="45">
        <f t="shared" si="25"/>
        <v>0</v>
      </c>
      <c r="R137" s="43">
        <v>1174571925</v>
      </c>
      <c r="S137" s="30">
        <f t="shared" si="26"/>
        <v>1174571925</v>
      </c>
      <c r="T137" s="30">
        <f t="shared" si="26"/>
        <v>1174571925</v>
      </c>
      <c r="U137" s="30">
        <f>T137/X137</f>
        <v>18607.080000000002</v>
      </c>
      <c r="V137" s="43">
        <f>T137/X137</f>
        <v>18607.080000000002</v>
      </c>
      <c r="W137" s="43">
        <f t="shared" si="27"/>
        <v>93035.400000000009</v>
      </c>
      <c r="X137" s="43">
        <f t="shared" si="30"/>
        <v>63125</v>
      </c>
      <c r="Y137" s="43">
        <f>11310+8690</f>
        <v>20000</v>
      </c>
      <c r="Z137" s="43">
        <f>24390+18735</f>
        <v>43125</v>
      </c>
      <c r="AA137" s="43">
        <v>0</v>
      </c>
      <c r="AB137" s="43">
        <f>11310+24390</f>
        <v>35700</v>
      </c>
      <c r="AC137" s="43">
        <f t="shared" si="28"/>
        <v>664272756.00000012</v>
      </c>
      <c r="AD137" s="43">
        <f>8690+18735</f>
        <v>27425</v>
      </c>
      <c r="AE137" s="43">
        <f t="shared" si="29"/>
        <v>510299169.00000006</v>
      </c>
      <c r="AF137" s="43">
        <f t="shared" si="18"/>
        <v>12625</v>
      </c>
      <c r="AG137" s="43">
        <f t="shared" si="19"/>
        <v>12625</v>
      </c>
      <c r="AH137" s="38">
        <v>45443</v>
      </c>
      <c r="AI137" s="38">
        <v>45596</v>
      </c>
      <c r="AJ137" s="38"/>
      <c r="AK137" s="38">
        <v>45474</v>
      </c>
      <c r="AL137" s="38">
        <v>45627</v>
      </c>
      <c r="AM137" s="48"/>
      <c r="AN137" s="42"/>
      <c r="AO137" s="42" t="s">
        <v>1032</v>
      </c>
      <c r="AP137" s="42" t="s">
        <v>1033</v>
      </c>
      <c r="AQ137" s="42" t="s">
        <v>1034</v>
      </c>
      <c r="AR137" s="42" t="s">
        <v>94</v>
      </c>
      <c r="AS137" s="50">
        <v>0</v>
      </c>
      <c r="AT137" s="39">
        <v>100</v>
      </c>
      <c r="AU137" s="39" t="s">
        <v>83</v>
      </c>
      <c r="AV137" s="49">
        <v>5</v>
      </c>
      <c r="AW137" s="39" t="s">
        <v>62</v>
      </c>
      <c r="AX137" s="39">
        <v>10</v>
      </c>
      <c r="AY137" s="30">
        <f>(J137*10)/100</f>
        <v>117457192.5</v>
      </c>
      <c r="AZ137" s="42" t="s">
        <v>405</v>
      </c>
    </row>
    <row r="138" spans="1:52" ht="94.5" x14ac:dyDescent="0.25">
      <c r="A138" s="46" t="s">
        <v>1035</v>
      </c>
      <c r="B138" s="48">
        <v>45274</v>
      </c>
      <c r="C138" s="42">
        <v>545</v>
      </c>
      <c r="D138" s="37" t="s">
        <v>1036</v>
      </c>
      <c r="E138" s="41" t="s">
        <v>1037</v>
      </c>
      <c r="F138" s="38">
        <v>45313</v>
      </c>
      <c r="G138" s="39" t="s">
        <v>1038</v>
      </c>
      <c r="H138" s="42" t="s">
        <v>321</v>
      </c>
      <c r="I138" s="42" t="s">
        <v>322</v>
      </c>
      <c r="J138" s="56">
        <v>675266099.20000005</v>
      </c>
      <c r="K138" s="56">
        <v>675266099.20000005</v>
      </c>
      <c r="L138" s="56">
        <v>0</v>
      </c>
      <c r="M138" s="56">
        <v>0</v>
      </c>
      <c r="N138" s="44">
        <f t="shared" si="20"/>
        <v>0</v>
      </c>
      <c r="O138" s="45">
        <f t="shared" si="31"/>
        <v>0</v>
      </c>
      <c r="P138" s="43">
        <v>675266099.20000005</v>
      </c>
      <c r="Q138" s="45">
        <f t="shared" si="25"/>
        <v>0</v>
      </c>
      <c r="R138" s="43">
        <v>675266099.20000005</v>
      </c>
      <c r="S138" s="30">
        <f t="shared" si="26"/>
        <v>675266099.20000005</v>
      </c>
      <c r="T138" s="30">
        <f t="shared" si="26"/>
        <v>675266099.20000005</v>
      </c>
      <c r="U138" s="30">
        <f>T138/X138</f>
        <v>10766.36</v>
      </c>
      <c r="V138" s="43">
        <f>T138/X138</f>
        <v>10766.36</v>
      </c>
      <c r="W138" s="43">
        <f t="shared" si="27"/>
        <v>1507290.4000000001</v>
      </c>
      <c r="X138" s="43">
        <f t="shared" si="30"/>
        <v>62720</v>
      </c>
      <c r="Y138" s="43">
        <v>35000</v>
      </c>
      <c r="Z138" s="43">
        <v>27720</v>
      </c>
      <c r="AA138" s="43">
        <v>0</v>
      </c>
      <c r="AB138" s="43">
        <v>0</v>
      </c>
      <c r="AC138" s="43">
        <f t="shared" si="28"/>
        <v>0</v>
      </c>
      <c r="AD138" s="43">
        <v>0</v>
      </c>
      <c r="AE138" s="43">
        <f t="shared" si="29"/>
        <v>0</v>
      </c>
      <c r="AF138" s="43">
        <f t="shared" si="18"/>
        <v>448</v>
      </c>
      <c r="AG138" s="43">
        <f t="shared" si="19"/>
        <v>448</v>
      </c>
      <c r="AH138" s="38">
        <v>45444</v>
      </c>
      <c r="AI138" s="38">
        <v>45505</v>
      </c>
      <c r="AJ138" s="38"/>
      <c r="AK138" s="38">
        <v>45474</v>
      </c>
      <c r="AL138" s="38">
        <v>45536</v>
      </c>
      <c r="AM138" s="48"/>
      <c r="AN138" s="42"/>
      <c r="AO138" s="42" t="s">
        <v>324</v>
      </c>
      <c r="AP138" s="42" t="s">
        <v>325</v>
      </c>
      <c r="AQ138" s="42" t="s">
        <v>326</v>
      </c>
      <c r="AR138" s="42" t="s">
        <v>148</v>
      </c>
      <c r="AS138" s="50">
        <v>0</v>
      </c>
      <c r="AT138" s="39">
        <v>100</v>
      </c>
      <c r="AU138" s="39" t="s">
        <v>327</v>
      </c>
      <c r="AV138" s="49">
        <v>140</v>
      </c>
      <c r="AW138" s="39" t="s">
        <v>62</v>
      </c>
      <c r="AX138" s="39">
        <v>10</v>
      </c>
      <c r="AY138" s="30">
        <f>(J138*10)/100</f>
        <v>67526609.920000002</v>
      </c>
      <c r="AZ138" s="42" t="s">
        <v>405</v>
      </c>
    </row>
    <row r="139" spans="1:52" ht="66" customHeight="1" x14ac:dyDescent="0.25">
      <c r="A139" s="46" t="s">
        <v>1039</v>
      </c>
      <c r="B139" s="48">
        <v>45274</v>
      </c>
      <c r="C139" s="42">
        <v>1416</v>
      </c>
      <c r="D139" s="37" t="s">
        <v>434</v>
      </c>
      <c r="E139" s="41" t="s">
        <v>1040</v>
      </c>
      <c r="F139" s="38" t="s">
        <v>434</v>
      </c>
      <c r="G139" s="39" t="s">
        <v>434</v>
      </c>
      <c r="H139" s="42" t="s">
        <v>434</v>
      </c>
      <c r="I139" s="42" t="s">
        <v>1041</v>
      </c>
      <c r="J139" s="56">
        <v>1379400</v>
      </c>
      <c r="K139" s="56">
        <v>1379400</v>
      </c>
      <c r="L139" s="56"/>
      <c r="M139" s="56"/>
      <c r="N139" s="44">
        <f t="shared" si="20"/>
        <v>100</v>
      </c>
      <c r="O139" s="45">
        <f t="shared" si="31"/>
        <v>1379400</v>
      </c>
      <c r="P139" s="43"/>
      <c r="Q139" s="45">
        <f t="shared" si="25"/>
        <v>1379400</v>
      </c>
      <c r="R139" s="43">
        <v>0</v>
      </c>
      <c r="S139" s="30">
        <f t="shared" si="26"/>
        <v>0</v>
      </c>
      <c r="T139" s="30">
        <f t="shared" si="26"/>
        <v>0</v>
      </c>
      <c r="U139" s="30" t="e">
        <f>T139/X139</f>
        <v>#DIV/0!</v>
      </c>
      <c r="V139" s="43" t="e">
        <f>T139/X139</f>
        <v>#DIV/0!</v>
      </c>
      <c r="W139" s="43" t="e">
        <f t="shared" si="27"/>
        <v>#DIV/0!</v>
      </c>
      <c r="X139" s="43">
        <f t="shared" si="30"/>
        <v>0</v>
      </c>
      <c r="Y139" s="43">
        <v>0</v>
      </c>
      <c r="Z139" s="43">
        <v>0</v>
      </c>
      <c r="AA139" s="43">
        <v>0</v>
      </c>
      <c r="AB139" s="43"/>
      <c r="AC139" s="43" t="e">
        <f t="shared" si="28"/>
        <v>#DIV/0!</v>
      </c>
      <c r="AD139" s="43"/>
      <c r="AE139" s="43" t="e">
        <f t="shared" si="29"/>
        <v>#DIV/0!</v>
      </c>
      <c r="AF139" s="43" t="e">
        <f t="shared" si="18"/>
        <v>#DIV/0!</v>
      </c>
      <c r="AG139" s="43" t="e">
        <f t="shared" si="19"/>
        <v>#DIV/0!</v>
      </c>
      <c r="AH139" s="38">
        <v>45352</v>
      </c>
      <c r="AI139" s="38"/>
      <c r="AJ139" s="38"/>
      <c r="AK139" s="38"/>
      <c r="AL139" s="38"/>
      <c r="AM139" s="48"/>
      <c r="AN139" s="42"/>
      <c r="AO139" s="42"/>
      <c r="AP139" s="42"/>
      <c r="AQ139" s="42"/>
      <c r="AR139" s="42"/>
      <c r="AS139" s="50"/>
      <c r="AT139" s="39"/>
      <c r="AU139" s="39"/>
      <c r="AV139" s="49"/>
      <c r="AW139" s="39"/>
      <c r="AX139" s="39">
        <v>10</v>
      </c>
      <c r="AY139" s="30">
        <f>(J139*10)/100</f>
        <v>137940</v>
      </c>
      <c r="AZ139" s="42" t="s">
        <v>434</v>
      </c>
    </row>
    <row r="140" spans="1:52" ht="66" customHeight="1" x14ac:dyDescent="0.25">
      <c r="A140" s="46" t="s">
        <v>1042</v>
      </c>
      <c r="B140" s="48">
        <v>45275</v>
      </c>
      <c r="C140" s="42" t="s">
        <v>435</v>
      </c>
      <c r="D140" s="37" t="s">
        <v>1043</v>
      </c>
      <c r="E140" s="41" t="s">
        <v>1044</v>
      </c>
      <c r="F140" s="38">
        <v>45314</v>
      </c>
      <c r="G140" s="39" t="s">
        <v>1045</v>
      </c>
      <c r="H140" s="42" t="s">
        <v>824</v>
      </c>
      <c r="I140" s="42" t="s">
        <v>825</v>
      </c>
      <c r="J140" s="56">
        <v>1526748762</v>
      </c>
      <c r="K140" s="56">
        <v>1526748762</v>
      </c>
      <c r="L140" s="56">
        <v>0</v>
      </c>
      <c r="M140" s="56">
        <v>0</v>
      </c>
      <c r="N140" s="44">
        <f t="shared" si="20"/>
        <v>0</v>
      </c>
      <c r="O140" s="45">
        <f t="shared" si="31"/>
        <v>0</v>
      </c>
      <c r="P140" s="43">
        <v>1526748762</v>
      </c>
      <c r="Q140" s="45">
        <f t="shared" si="25"/>
        <v>0</v>
      </c>
      <c r="R140" s="43">
        <v>1526748762</v>
      </c>
      <c r="S140" s="30">
        <f t="shared" si="26"/>
        <v>1526748762</v>
      </c>
      <c r="T140" s="30">
        <f t="shared" si="26"/>
        <v>1526748762</v>
      </c>
      <c r="U140" s="30">
        <f>T140/X140</f>
        <v>204.82</v>
      </c>
      <c r="V140" s="43">
        <f>T140/X140</f>
        <v>204.82</v>
      </c>
      <c r="W140" s="43">
        <f t="shared" si="27"/>
        <v>6144.5999999999995</v>
      </c>
      <c r="X140" s="43">
        <f t="shared" si="30"/>
        <v>7454100</v>
      </c>
      <c r="Y140" s="43">
        <v>7454100</v>
      </c>
      <c r="Z140" s="43">
        <v>0</v>
      </c>
      <c r="AA140" s="43">
        <v>0</v>
      </c>
      <c r="AB140" s="43"/>
      <c r="AC140" s="43">
        <f t="shared" si="28"/>
        <v>0</v>
      </c>
      <c r="AD140" s="43"/>
      <c r="AE140" s="43">
        <f t="shared" si="29"/>
        <v>0</v>
      </c>
      <c r="AF140" s="43">
        <f t="shared" si="18"/>
        <v>248470</v>
      </c>
      <c r="AG140" s="43">
        <f t="shared" si="19"/>
        <v>248470</v>
      </c>
      <c r="AH140" s="38">
        <v>45383</v>
      </c>
      <c r="AI140" s="38"/>
      <c r="AJ140" s="38"/>
      <c r="AK140" s="38">
        <v>45413</v>
      </c>
      <c r="AL140" s="38"/>
      <c r="AM140" s="48"/>
      <c r="AN140" s="42"/>
      <c r="AO140" s="42" t="s">
        <v>1046</v>
      </c>
      <c r="AP140" s="42" t="s">
        <v>1047</v>
      </c>
      <c r="AQ140" s="42" t="s">
        <v>1048</v>
      </c>
      <c r="AR140" s="42" t="s">
        <v>82</v>
      </c>
      <c r="AS140" s="50">
        <v>100</v>
      </c>
      <c r="AT140" s="39">
        <v>0</v>
      </c>
      <c r="AU140" s="39" t="s">
        <v>389</v>
      </c>
      <c r="AV140" s="49">
        <v>30</v>
      </c>
      <c r="AW140" s="39" t="s">
        <v>62</v>
      </c>
      <c r="AX140" s="39">
        <v>10</v>
      </c>
      <c r="AY140" s="30">
        <f>(J140*10)/100</f>
        <v>152674876.19999999</v>
      </c>
      <c r="AZ140" s="42" t="s">
        <v>405</v>
      </c>
    </row>
    <row r="141" spans="1:52" s="60" customFormat="1" ht="66" customHeight="1" x14ac:dyDescent="0.25">
      <c r="A141" s="46" t="s">
        <v>1049</v>
      </c>
      <c r="B141" s="48">
        <v>45275</v>
      </c>
      <c r="C141" s="42" t="s">
        <v>435</v>
      </c>
      <c r="D141" s="37" t="s">
        <v>1050</v>
      </c>
      <c r="E141" s="41" t="s">
        <v>1051</v>
      </c>
      <c r="F141" s="38">
        <v>45314</v>
      </c>
      <c r="G141" s="39" t="s">
        <v>1052</v>
      </c>
      <c r="H141" s="42" t="s">
        <v>824</v>
      </c>
      <c r="I141" s="42" t="s">
        <v>825</v>
      </c>
      <c r="J141" s="56">
        <v>1140112096.2</v>
      </c>
      <c r="K141" s="56">
        <v>1140112096.2</v>
      </c>
      <c r="L141" s="56">
        <v>0</v>
      </c>
      <c r="M141" s="56">
        <v>0</v>
      </c>
      <c r="N141" s="44">
        <f t="shared" si="20"/>
        <v>0</v>
      </c>
      <c r="O141" s="45">
        <f t="shared" si="31"/>
        <v>0</v>
      </c>
      <c r="P141" s="43">
        <v>1140112096.2</v>
      </c>
      <c r="Q141" s="45">
        <f t="shared" si="25"/>
        <v>0</v>
      </c>
      <c r="R141" s="43">
        <v>1140112096.2</v>
      </c>
      <c r="S141" s="30">
        <f t="shared" si="26"/>
        <v>1140112096.2</v>
      </c>
      <c r="T141" s="30">
        <f t="shared" si="26"/>
        <v>1140112096.2</v>
      </c>
      <c r="U141" s="30">
        <f>T141/X141</f>
        <v>204.82000000000002</v>
      </c>
      <c r="V141" s="43">
        <f>T141/X141</f>
        <v>204.82000000000002</v>
      </c>
      <c r="W141" s="43">
        <f t="shared" si="27"/>
        <v>6144.6</v>
      </c>
      <c r="X141" s="43">
        <f t="shared" si="30"/>
        <v>5566410</v>
      </c>
      <c r="Y141" s="43">
        <v>5566410</v>
      </c>
      <c r="Z141" s="43">
        <v>0</v>
      </c>
      <c r="AA141" s="43">
        <v>0</v>
      </c>
      <c r="AB141" s="43">
        <v>0</v>
      </c>
      <c r="AC141" s="43">
        <f t="shared" si="28"/>
        <v>0</v>
      </c>
      <c r="AD141" s="43">
        <v>0</v>
      </c>
      <c r="AE141" s="43">
        <f t="shared" si="29"/>
        <v>0</v>
      </c>
      <c r="AF141" s="43">
        <f t="shared" si="18"/>
        <v>185547</v>
      </c>
      <c r="AG141" s="43">
        <f t="shared" si="19"/>
        <v>185547</v>
      </c>
      <c r="AH141" s="38">
        <v>45352</v>
      </c>
      <c r="AI141" s="38"/>
      <c r="AJ141" s="38"/>
      <c r="AK141" s="38">
        <v>45383</v>
      </c>
      <c r="AL141" s="38"/>
      <c r="AM141" s="48"/>
      <c r="AN141" s="42"/>
      <c r="AO141" s="42" t="s">
        <v>826</v>
      </c>
      <c r="AP141" s="42" t="s">
        <v>827</v>
      </c>
      <c r="AQ141" s="42" t="s">
        <v>828</v>
      </c>
      <c r="AR141" s="42" t="s">
        <v>82</v>
      </c>
      <c r="AS141" s="50">
        <v>100</v>
      </c>
      <c r="AT141" s="39">
        <v>0</v>
      </c>
      <c r="AU141" s="39" t="s">
        <v>389</v>
      </c>
      <c r="AV141" s="49">
        <v>30</v>
      </c>
      <c r="AW141" s="39" t="s">
        <v>221</v>
      </c>
      <c r="AX141" s="39">
        <v>10</v>
      </c>
      <c r="AY141" s="30">
        <f>(J141*10)/100</f>
        <v>114011209.62</v>
      </c>
      <c r="AZ141" s="42" t="s">
        <v>405</v>
      </c>
    </row>
    <row r="142" spans="1:52" s="60" customFormat="1" ht="66" customHeight="1" x14ac:dyDescent="0.25">
      <c r="A142" s="46" t="s">
        <v>1053</v>
      </c>
      <c r="B142" s="48">
        <v>45275</v>
      </c>
      <c r="C142" s="42">
        <v>1416</v>
      </c>
      <c r="D142" s="37" t="s">
        <v>1054</v>
      </c>
      <c r="E142" s="41" t="s">
        <v>1055</v>
      </c>
      <c r="F142" s="38">
        <v>45313</v>
      </c>
      <c r="G142" s="39" t="s">
        <v>1056</v>
      </c>
      <c r="H142" s="42" t="s">
        <v>88</v>
      </c>
      <c r="I142" s="42" t="s">
        <v>716</v>
      </c>
      <c r="J142" s="56">
        <v>421756960</v>
      </c>
      <c r="K142" s="56">
        <v>210878480</v>
      </c>
      <c r="L142" s="56">
        <v>210878480</v>
      </c>
      <c r="M142" s="56">
        <v>0</v>
      </c>
      <c r="N142" s="44">
        <f t="shared" si="20"/>
        <v>0</v>
      </c>
      <c r="O142" s="45">
        <f t="shared" si="31"/>
        <v>0</v>
      </c>
      <c r="P142" s="43">
        <v>421756960</v>
      </c>
      <c r="Q142" s="45">
        <f t="shared" si="25"/>
        <v>210878480</v>
      </c>
      <c r="R142" s="43">
        <v>210878480</v>
      </c>
      <c r="S142" s="30">
        <f t="shared" si="26"/>
        <v>210878480</v>
      </c>
      <c r="T142" s="30">
        <v>421756960</v>
      </c>
      <c r="U142" s="30">
        <f>T142/X142</f>
        <v>10.72</v>
      </c>
      <c r="V142" s="43">
        <f>T142/X142</f>
        <v>10.72</v>
      </c>
      <c r="W142" s="43" t="e">
        <f t="shared" si="27"/>
        <v>#VALUE!</v>
      </c>
      <c r="X142" s="43">
        <v>39343000</v>
      </c>
      <c r="Y142" s="43">
        <f>6456500+3381500</f>
        <v>9838000</v>
      </c>
      <c r="Z142" s="43">
        <f>6456500+3377000</f>
        <v>9833500</v>
      </c>
      <c r="AA142" s="43">
        <v>0</v>
      </c>
      <c r="AB142" s="43">
        <f>6456500+6456500</f>
        <v>12913000</v>
      </c>
      <c r="AC142" s="43">
        <f t="shared" si="28"/>
        <v>138427360</v>
      </c>
      <c r="AD142" s="43">
        <f>3381500+3377000</f>
        <v>6758500</v>
      </c>
      <c r="AE142" s="43">
        <f t="shared" si="29"/>
        <v>72451120</v>
      </c>
      <c r="AF142" s="43" t="s">
        <v>1057</v>
      </c>
      <c r="AG142" s="56" t="s">
        <v>1058</v>
      </c>
      <c r="AH142" s="38">
        <v>45352</v>
      </c>
      <c r="AI142" s="38">
        <v>45504</v>
      </c>
      <c r="AJ142" s="38">
        <v>45717</v>
      </c>
      <c r="AK142" s="38">
        <v>45383</v>
      </c>
      <c r="AL142" s="38">
        <v>45536</v>
      </c>
      <c r="AM142" s="48">
        <v>45748</v>
      </c>
      <c r="AN142" s="42"/>
      <c r="AO142" s="42" t="s">
        <v>1059</v>
      </c>
      <c r="AP142" s="42" t="s">
        <v>1060</v>
      </c>
      <c r="AQ142" s="42" t="s">
        <v>1061</v>
      </c>
      <c r="AR142" s="42" t="s">
        <v>1062</v>
      </c>
      <c r="AS142" s="50">
        <v>0</v>
      </c>
      <c r="AT142" s="39">
        <v>100</v>
      </c>
      <c r="AU142" s="39" t="s">
        <v>95</v>
      </c>
      <c r="AV142" s="53" t="s">
        <v>1063</v>
      </c>
      <c r="AW142" s="39" t="s">
        <v>62</v>
      </c>
      <c r="AX142" s="39">
        <v>10</v>
      </c>
      <c r="AY142" s="30">
        <f>(J142*10)/100</f>
        <v>42175696</v>
      </c>
      <c r="AZ142" s="42" t="s">
        <v>405</v>
      </c>
    </row>
    <row r="143" spans="1:52" ht="66" customHeight="1" x14ac:dyDescent="0.25">
      <c r="A143" s="46" t="s">
        <v>1064</v>
      </c>
      <c r="B143" s="48">
        <v>45275</v>
      </c>
      <c r="C143" s="42">
        <v>1416</v>
      </c>
      <c r="D143" s="37" t="s">
        <v>1065</v>
      </c>
      <c r="E143" s="41" t="s">
        <v>1066</v>
      </c>
      <c r="F143" s="38">
        <v>45314</v>
      </c>
      <c r="G143" s="39" t="s">
        <v>1067</v>
      </c>
      <c r="H143" s="42" t="s">
        <v>359</v>
      </c>
      <c r="I143" s="42" t="s">
        <v>1068</v>
      </c>
      <c r="J143" s="56">
        <v>1696403023.9200001</v>
      </c>
      <c r="K143" s="56">
        <v>1696403023.9200001</v>
      </c>
      <c r="L143" s="56">
        <v>0</v>
      </c>
      <c r="M143" s="56">
        <v>0</v>
      </c>
      <c r="N143" s="44">
        <f t="shared" si="20"/>
        <v>0</v>
      </c>
      <c r="O143" s="45">
        <f t="shared" si="31"/>
        <v>0</v>
      </c>
      <c r="P143" s="43">
        <v>1696403023.9200001</v>
      </c>
      <c r="Q143" s="45">
        <f t="shared" si="25"/>
        <v>0</v>
      </c>
      <c r="R143" s="43">
        <v>1696403023.9200001</v>
      </c>
      <c r="S143" s="30">
        <f t="shared" si="26"/>
        <v>1696403023.9200001</v>
      </c>
      <c r="T143" s="30">
        <f t="shared" si="26"/>
        <v>1696403023.9200001</v>
      </c>
      <c r="U143" s="30">
        <f>T143/X143</f>
        <v>263842.7</v>
      </c>
      <c r="V143" s="43">
        <f>T143/X143</f>
        <v>263842.7</v>
      </c>
      <c r="W143" s="43">
        <f t="shared" si="27"/>
        <v>105537.08000000002</v>
      </c>
      <c r="X143" s="43">
        <f t="shared" si="30"/>
        <v>6429.6</v>
      </c>
      <c r="Y143" s="43">
        <f>1141.6+186.8</f>
        <v>1328.3999999999999</v>
      </c>
      <c r="Z143" s="43">
        <f>4385.6+715.6</f>
        <v>5101.2000000000007</v>
      </c>
      <c r="AA143" s="43">
        <v>0</v>
      </c>
      <c r="AB143" s="43">
        <f>1141.6+4385.6</f>
        <v>5527.2000000000007</v>
      </c>
      <c r="AC143" s="43">
        <f t="shared" si="28"/>
        <v>1458311371.4400003</v>
      </c>
      <c r="AD143" s="43">
        <f>186.8+715.6</f>
        <v>902.40000000000009</v>
      </c>
      <c r="AE143" s="43">
        <f t="shared" si="29"/>
        <v>238091652.48000005</v>
      </c>
      <c r="AF143" s="43">
        <f t="shared" ref="AF143:AF206" si="32">X143/AV143</f>
        <v>16074</v>
      </c>
      <c r="AG143" s="43">
        <f t="shared" ref="AG143:AG206" si="33">_xlfn.CEILING.MATH(AF143)</f>
        <v>16074</v>
      </c>
      <c r="AH143" s="38">
        <v>45366</v>
      </c>
      <c r="AI143" s="38">
        <v>45412</v>
      </c>
      <c r="AJ143" s="38"/>
      <c r="AK143" s="38">
        <v>45397</v>
      </c>
      <c r="AL143" s="38">
        <v>45444</v>
      </c>
      <c r="AM143" s="48"/>
      <c r="AN143" s="42"/>
      <c r="AO143" s="42" t="s">
        <v>746</v>
      </c>
      <c r="AP143" s="42" t="s">
        <v>1069</v>
      </c>
      <c r="AQ143" s="42" t="s">
        <v>748</v>
      </c>
      <c r="AR143" s="42" t="s">
        <v>266</v>
      </c>
      <c r="AS143" s="50">
        <v>0</v>
      </c>
      <c r="AT143" s="39">
        <v>100</v>
      </c>
      <c r="AU143" s="39" t="s">
        <v>83</v>
      </c>
      <c r="AV143" s="54">
        <v>0.4</v>
      </c>
      <c r="AW143" s="39" t="s">
        <v>62</v>
      </c>
      <c r="AX143" s="39">
        <v>10</v>
      </c>
      <c r="AY143" s="30">
        <f>(J143*10)/100</f>
        <v>169640302.39200002</v>
      </c>
      <c r="AZ143" s="42" t="s">
        <v>405</v>
      </c>
    </row>
    <row r="144" spans="1:52" ht="66" customHeight="1" x14ac:dyDescent="0.25">
      <c r="A144" s="46" t="s">
        <v>1070</v>
      </c>
      <c r="B144" s="48">
        <v>45275</v>
      </c>
      <c r="C144" s="42">
        <v>1416</v>
      </c>
      <c r="D144" s="37" t="s">
        <v>434</v>
      </c>
      <c r="E144" s="41" t="s">
        <v>1071</v>
      </c>
      <c r="F144" s="38" t="s">
        <v>434</v>
      </c>
      <c r="G144" s="39" t="s">
        <v>434</v>
      </c>
      <c r="H144" s="42" t="s">
        <v>434</v>
      </c>
      <c r="I144" s="42" t="s">
        <v>1072</v>
      </c>
      <c r="J144" s="56">
        <v>63181752.479999997</v>
      </c>
      <c r="K144" s="56">
        <v>63181752.479999997</v>
      </c>
      <c r="L144" s="56"/>
      <c r="M144" s="56"/>
      <c r="N144" s="44">
        <f t="shared" si="20"/>
        <v>100</v>
      </c>
      <c r="O144" s="45">
        <f t="shared" si="31"/>
        <v>63181752.479999997</v>
      </c>
      <c r="P144" s="43"/>
      <c r="Q144" s="45">
        <f t="shared" si="25"/>
        <v>63181752.479999997</v>
      </c>
      <c r="R144" s="43">
        <v>0</v>
      </c>
      <c r="S144" s="30">
        <f t="shared" si="26"/>
        <v>0</v>
      </c>
      <c r="T144" s="30">
        <f t="shared" si="26"/>
        <v>0</v>
      </c>
      <c r="U144" s="30" t="e">
        <f>T144/X144</f>
        <v>#DIV/0!</v>
      </c>
      <c r="V144" s="43" t="e">
        <f>T144/X144</f>
        <v>#DIV/0!</v>
      </c>
      <c r="W144" s="43" t="e">
        <f t="shared" si="27"/>
        <v>#DIV/0!</v>
      </c>
      <c r="X144" s="43">
        <f t="shared" si="30"/>
        <v>0</v>
      </c>
      <c r="Y144" s="43">
        <v>0</v>
      </c>
      <c r="Z144" s="43">
        <v>0</v>
      </c>
      <c r="AA144" s="43">
        <v>0</v>
      </c>
      <c r="AB144" s="43"/>
      <c r="AC144" s="43" t="e">
        <f t="shared" si="28"/>
        <v>#DIV/0!</v>
      </c>
      <c r="AD144" s="43"/>
      <c r="AE144" s="43" t="e">
        <f t="shared" si="29"/>
        <v>#DIV/0!</v>
      </c>
      <c r="AF144" s="43" t="e">
        <f t="shared" si="32"/>
        <v>#DIV/0!</v>
      </c>
      <c r="AG144" s="43" t="e">
        <f t="shared" si="33"/>
        <v>#DIV/0!</v>
      </c>
      <c r="AH144" s="38">
        <v>45352</v>
      </c>
      <c r="AI144" s="38"/>
      <c r="AJ144" s="38"/>
      <c r="AK144" s="38"/>
      <c r="AL144" s="38"/>
      <c r="AM144" s="48"/>
      <c r="AN144" s="42"/>
      <c r="AO144" s="42"/>
      <c r="AP144" s="42"/>
      <c r="AQ144" s="42"/>
      <c r="AR144" s="42"/>
      <c r="AS144" s="50"/>
      <c r="AT144" s="39"/>
      <c r="AU144" s="39"/>
      <c r="AV144" s="49"/>
      <c r="AW144" s="39"/>
      <c r="AX144" s="39">
        <v>10</v>
      </c>
      <c r="AY144" s="30">
        <f>(J144*10)/100</f>
        <v>6318175.2479999997</v>
      </c>
      <c r="AZ144" s="42" t="s">
        <v>434</v>
      </c>
    </row>
    <row r="145" spans="1:52" ht="66" customHeight="1" x14ac:dyDescent="0.25">
      <c r="A145" s="46" t="s">
        <v>1073</v>
      </c>
      <c r="B145" s="48">
        <v>45275</v>
      </c>
      <c r="C145" s="42">
        <v>1416</v>
      </c>
      <c r="D145" s="37" t="s">
        <v>1074</v>
      </c>
      <c r="E145" s="41" t="s">
        <v>1075</v>
      </c>
      <c r="F145" s="38">
        <v>45313</v>
      </c>
      <c r="G145" s="39" t="s">
        <v>1076</v>
      </c>
      <c r="H145" s="42" t="s">
        <v>88</v>
      </c>
      <c r="I145" s="42" t="s">
        <v>1077</v>
      </c>
      <c r="J145" s="56">
        <v>360340176</v>
      </c>
      <c r="K145" s="56">
        <v>360340176</v>
      </c>
      <c r="L145" s="56">
        <v>0</v>
      </c>
      <c r="M145" s="56">
        <v>0</v>
      </c>
      <c r="N145" s="44">
        <f t="shared" si="20"/>
        <v>0</v>
      </c>
      <c r="O145" s="45">
        <f t="shared" si="31"/>
        <v>0</v>
      </c>
      <c r="P145" s="43">
        <v>360340176</v>
      </c>
      <c r="Q145" s="45">
        <f t="shared" si="25"/>
        <v>0</v>
      </c>
      <c r="R145" s="43">
        <v>360340176</v>
      </c>
      <c r="S145" s="30">
        <f t="shared" si="26"/>
        <v>360340176</v>
      </c>
      <c r="T145" s="30">
        <f t="shared" si="26"/>
        <v>360340176</v>
      </c>
      <c r="U145" s="30">
        <f>T145/X145</f>
        <v>175.81</v>
      </c>
      <c r="V145" s="43">
        <f>T145/X145</f>
        <v>175.81</v>
      </c>
      <c r="W145" s="43">
        <f t="shared" si="27"/>
        <v>70324</v>
      </c>
      <c r="X145" s="43">
        <f t="shared" si="30"/>
        <v>2049600</v>
      </c>
      <c r="Y145" s="43">
        <f>1444800+604800</f>
        <v>2049600</v>
      </c>
      <c r="Z145" s="43">
        <v>0</v>
      </c>
      <c r="AA145" s="43">
        <v>0</v>
      </c>
      <c r="AB145" s="43">
        <v>1444800</v>
      </c>
      <c r="AC145" s="43">
        <f t="shared" si="28"/>
        <v>254010288</v>
      </c>
      <c r="AD145" s="43">
        <v>604800</v>
      </c>
      <c r="AE145" s="43">
        <f t="shared" si="29"/>
        <v>106329888</v>
      </c>
      <c r="AF145" s="43">
        <f t="shared" si="32"/>
        <v>5124</v>
      </c>
      <c r="AG145" s="43">
        <f t="shared" si="33"/>
        <v>5124</v>
      </c>
      <c r="AH145" s="38">
        <v>45352</v>
      </c>
      <c r="AI145" s="38"/>
      <c r="AJ145" s="38"/>
      <c r="AK145" s="38">
        <v>45383</v>
      </c>
      <c r="AL145" s="38"/>
      <c r="AM145" s="48"/>
      <c r="AN145" s="42"/>
      <c r="AO145" s="42" t="s">
        <v>1078</v>
      </c>
      <c r="AP145" s="42" t="s">
        <v>1079</v>
      </c>
      <c r="AQ145" s="42" t="s">
        <v>1080</v>
      </c>
      <c r="AR145" s="42" t="s">
        <v>94</v>
      </c>
      <c r="AS145" s="50">
        <v>0</v>
      </c>
      <c r="AT145" s="39">
        <v>100</v>
      </c>
      <c r="AU145" s="39" t="s">
        <v>1081</v>
      </c>
      <c r="AV145" s="49">
        <v>400</v>
      </c>
      <c r="AW145" s="39" t="s">
        <v>62</v>
      </c>
      <c r="AX145" s="39">
        <v>10</v>
      </c>
      <c r="AY145" s="30">
        <f>(J145*10)/100</f>
        <v>36034017.600000001</v>
      </c>
      <c r="AZ145" s="42" t="s">
        <v>405</v>
      </c>
    </row>
    <row r="146" spans="1:52" ht="66" customHeight="1" x14ac:dyDescent="0.25">
      <c r="A146" s="46" t="s">
        <v>1082</v>
      </c>
      <c r="B146" s="48">
        <v>45278</v>
      </c>
      <c r="C146" s="42">
        <v>1416</v>
      </c>
      <c r="D146" s="37" t="s">
        <v>434</v>
      </c>
      <c r="E146" s="41" t="s">
        <v>1083</v>
      </c>
      <c r="F146" s="38" t="s">
        <v>434</v>
      </c>
      <c r="G146" s="39" t="s">
        <v>434</v>
      </c>
      <c r="H146" s="42" t="s">
        <v>434</v>
      </c>
      <c r="I146" s="42" t="s">
        <v>1084</v>
      </c>
      <c r="J146" s="56">
        <v>455563001.51999998</v>
      </c>
      <c r="K146" s="56">
        <v>455563001.51999998</v>
      </c>
      <c r="L146" s="56"/>
      <c r="M146" s="56"/>
      <c r="N146" s="44">
        <f t="shared" si="20"/>
        <v>100</v>
      </c>
      <c r="O146" s="45">
        <f t="shared" si="31"/>
        <v>455563001.51999998</v>
      </c>
      <c r="P146" s="43"/>
      <c r="Q146" s="45">
        <f t="shared" si="25"/>
        <v>455563001.51999998</v>
      </c>
      <c r="R146" s="43">
        <v>0</v>
      </c>
      <c r="S146" s="30">
        <f t="shared" si="26"/>
        <v>0</v>
      </c>
      <c r="T146" s="30">
        <f t="shared" si="26"/>
        <v>0</v>
      </c>
      <c r="U146" s="30" t="e">
        <f>T146/X146</f>
        <v>#DIV/0!</v>
      </c>
      <c r="V146" s="43" t="e">
        <f>T146/X146</f>
        <v>#DIV/0!</v>
      </c>
      <c r="W146" s="43" t="e">
        <f t="shared" si="27"/>
        <v>#DIV/0!</v>
      </c>
      <c r="X146" s="43">
        <f t="shared" si="30"/>
        <v>0</v>
      </c>
      <c r="Y146" s="43">
        <v>0</v>
      </c>
      <c r="Z146" s="43">
        <v>0</v>
      </c>
      <c r="AA146" s="43">
        <v>0</v>
      </c>
      <c r="AB146" s="43"/>
      <c r="AC146" s="43" t="e">
        <f t="shared" si="28"/>
        <v>#DIV/0!</v>
      </c>
      <c r="AD146" s="43"/>
      <c r="AE146" s="43" t="e">
        <f t="shared" si="29"/>
        <v>#DIV/0!</v>
      </c>
      <c r="AF146" s="43" t="e">
        <f t="shared" si="32"/>
        <v>#DIV/0!</v>
      </c>
      <c r="AG146" s="43" t="e">
        <f t="shared" si="33"/>
        <v>#DIV/0!</v>
      </c>
      <c r="AH146" s="38">
        <v>45352</v>
      </c>
      <c r="AI146" s="38"/>
      <c r="AJ146" s="38"/>
      <c r="AK146" s="38"/>
      <c r="AL146" s="38"/>
      <c r="AM146" s="48"/>
      <c r="AN146" s="42"/>
      <c r="AO146" s="42"/>
      <c r="AP146" s="42"/>
      <c r="AQ146" s="42"/>
      <c r="AR146" s="42"/>
      <c r="AS146" s="50"/>
      <c r="AT146" s="39"/>
      <c r="AU146" s="39"/>
      <c r="AV146" s="49"/>
      <c r="AW146" s="39"/>
      <c r="AX146" s="39">
        <v>10</v>
      </c>
      <c r="AY146" s="30">
        <f>(J146*10)/100</f>
        <v>45556300.151999995</v>
      </c>
      <c r="AZ146" s="42" t="s">
        <v>434</v>
      </c>
    </row>
    <row r="147" spans="1:52" ht="66" customHeight="1" x14ac:dyDescent="0.25">
      <c r="A147" s="46" t="s">
        <v>1085</v>
      </c>
      <c r="B147" s="48">
        <v>45278</v>
      </c>
      <c r="C147" s="42">
        <v>545</v>
      </c>
      <c r="D147" s="37" t="s">
        <v>1086</v>
      </c>
      <c r="E147" s="41" t="s">
        <v>1087</v>
      </c>
      <c r="F147" s="38">
        <v>45307</v>
      </c>
      <c r="G147" s="39" t="s">
        <v>1088</v>
      </c>
      <c r="H147" s="42" t="s">
        <v>141</v>
      </c>
      <c r="I147" s="42" t="s">
        <v>1089</v>
      </c>
      <c r="J147" s="56">
        <v>3719931.6</v>
      </c>
      <c r="K147" s="56">
        <v>3719931.6</v>
      </c>
      <c r="L147" s="56">
        <v>0</v>
      </c>
      <c r="M147" s="56">
        <v>0</v>
      </c>
      <c r="N147" s="44">
        <f t="shared" si="20"/>
        <v>0</v>
      </c>
      <c r="O147" s="45">
        <f t="shared" si="31"/>
        <v>0</v>
      </c>
      <c r="P147" s="56">
        <v>3719931.6</v>
      </c>
      <c r="Q147" s="45">
        <f t="shared" si="25"/>
        <v>0</v>
      </c>
      <c r="R147" s="56">
        <v>3719931.6</v>
      </c>
      <c r="S147" s="30">
        <v>4835911.08</v>
      </c>
      <c r="T147" s="30">
        <f t="shared" ref="T147:T155" si="34">S147</f>
        <v>4835911.08</v>
      </c>
      <c r="U147" s="30">
        <f>T147/X147</f>
        <v>4428.49</v>
      </c>
      <c r="V147" s="43">
        <f>T147/X147</f>
        <v>4428.49</v>
      </c>
      <c r="W147" s="43">
        <f t="shared" si="27"/>
        <v>123997.72</v>
      </c>
      <c r="X147" s="43">
        <f t="shared" si="30"/>
        <v>1092</v>
      </c>
      <c r="Y147" s="43">
        <v>1092</v>
      </c>
      <c r="Z147" s="43">
        <v>0</v>
      </c>
      <c r="AA147" s="43">
        <v>0</v>
      </c>
      <c r="AB147" s="43"/>
      <c r="AC147" s="43">
        <f t="shared" si="28"/>
        <v>0</v>
      </c>
      <c r="AD147" s="43"/>
      <c r="AE147" s="43">
        <f t="shared" si="29"/>
        <v>0</v>
      </c>
      <c r="AF147" s="43">
        <f t="shared" si="32"/>
        <v>39</v>
      </c>
      <c r="AG147" s="43">
        <f t="shared" si="33"/>
        <v>39</v>
      </c>
      <c r="AH147" s="38">
        <v>45337</v>
      </c>
      <c r="AI147" s="38"/>
      <c r="AJ147" s="38"/>
      <c r="AK147" s="38">
        <v>45366</v>
      </c>
      <c r="AL147" s="38"/>
      <c r="AM147" s="48"/>
      <c r="AN147" s="42"/>
      <c r="AO147" s="42" t="s">
        <v>1090</v>
      </c>
      <c r="AP147" s="42" t="s">
        <v>1091</v>
      </c>
      <c r="AQ147" s="42" t="s">
        <v>1092</v>
      </c>
      <c r="AR147" s="42" t="s">
        <v>60</v>
      </c>
      <c r="AS147" s="50">
        <v>0</v>
      </c>
      <c r="AT147" s="39">
        <v>100</v>
      </c>
      <c r="AU147" s="39" t="s">
        <v>389</v>
      </c>
      <c r="AV147" s="49">
        <v>28</v>
      </c>
      <c r="AW147" s="39" t="s">
        <v>62</v>
      </c>
      <c r="AX147" s="39">
        <v>10</v>
      </c>
      <c r="AY147" s="30">
        <f>(J147*10)/100</f>
        <v>371993.16</v>
      </c>
      <c r="AZ147" s="42" t="s">
        <v>405</v>
      </c>
    </row>
    <row r="148" spans="1:52" ht="66" customHeight="1" x14ac:dyDescent="0.25">
      <c r="A148" s="46" t="s">
        <v>1093</v>
      </c>
      <c r="B148" s="48">
        <v>45280</v>
      </c>
      <c r="C148" s="42">
        <v>1416</v>
      </c>
      <c r="D148" s="37" t="s">
        <v>1094</v>
      </c>
      <c r="E148" s="41" t="s">
        <v>1095</v>
      </c>
      <c r="F148" s="38">
        <v>45314</v>
      </c>
      <c r="G148" s="39" t="s">
        <v>1096</v>
      </c>
      <c r="H148" s="42" t="s">
        <v>141</v>
      </c>
      <c r="I148" s="42" t="s">
        <v>1097</v>
      </c>
      <c r="J148" s="56">
        <v>466054680</v>
      </c>
      <c r="K148" s="56">
        <v>466054680</v>
      </c>
      <c r="L148" s="56">
        <v>0</v>
      </c>
      <c r="M148" s="56">
        <v>0</v>
      </c>
      <c r="N148" s="44">
        <f t="shared" si="20"/>
        <v>0</v>
      </c>
      <c r="O148" s="45">
        <f t="shared" si="31"/>
        <v>0</v>
      </c>
      <c r="P148" s="43">
        <v>466054680</v>
      </c>
      <c r="Q148" s="45">
        <f t="shared" si="25"/>
        <v>0</v>
      </c>
      <c r="R148" s="43">
        <v>466054680</v>
      </c>
      <c r="S148" s="30">
        <f t="shared" ref="S148:T172" si="35">R148</f>
        <v>466054680</v>
      </c>
      <c r="T148" s="30">
        <f t="shared" si="34"/>
        <v>466054680</v>
      </c>
      <c r="U148" s="30">
        <f>T148/X148</f>
        <v>164.15</v>
      </c>
      <c r="V148" s="43">
        <f>T148/X148</f>
        <v>164.15</v>
      </c>
      <c r="W148" s="43">
        <f t="shared" si="27"/>
        <v>65660</v>
      </c>
      <c r="X148" s="43">
        <f t="shared" si="30"/>
        <v>2839200</v>
      </c>
      <c r="Y148" s="43">
        <f>1603600+1235600</f>
        <v>2839200</v>
      </c>
      <c r="Z148" s="43">
        <v>0</v>
      </c>
      <c r="AA148" s="43">
        <v>0</v>
      </c>
      <c r="AB148" s="43">
        <v>1536400</v>
      </c>
      <c r="AC148" s="43">
        <f t="shared" si="28"/>
        <v>252200060</v>
      </c>
      <c r="AD148" s="43">
        <v>1302800</v>
      </c>
      <c r="AE148" s="43">
        <f t="shared" si="29"/>
        <v>213854620</v>
      </c>
      <c r="AF148" s="43">
        <f t="shared" si="32"/>
        <v>7098</v>
      </c>
      <c r="AG148" s="43">
        <f t="shared" si="33"/>
        <v>7098</v>
      </c>
      <c r="AH148" s="38">
        <v>45383</v>
      </c>
      <c r="AI148" s="38"/>
      <c r="AJ148" s="38"/>
      <c r="AK148" s="38">
        <v>45413</v>
      </c>
      <c r="AL148" s="38"/>
      <c r="AM148" s="48"/>
      <c r="AN148" s="42"/>
      <c r="AO148" s="42" t="s">
        <v>1098</v>
      </c>
      <c r="AP148" s="42" t="s">
        <v>1079</v>
      </c>
      <c r="AQ148" s="42" t="s">
        <v>1099</v>
      </c>
      <c r="AR148" s="42" t="s">
        <v>82</v>
      </c>
      <c r="AS148" s="50">
        <v>100</v>
      </c>
      <c r="AT148" s="39">
        <v>0</v>
      </c>
      <c r="AU148" s="39" t="s">
        <v>1081</v>
      </c>
      <c r="AV148" s="49">
        <v>400</v>
      </c>
      <c r="AW148" s="39" t="s">
        <v>62</v>
      </c>
      <c r="AX148" s="39">
        <v>10</v>
      </c>
      <c r="AY148" s="30">
        <f>(J148*10)/100</f>
        <v>46605468</v>
      </c>
      <c r="AZ148" s="42" t="s">
        <v>405</v>
      </c>
    </row>
    <row r="149" spans="1:52" ht="66" customHeight="1" x14ac:dyDescent="0.25">
      <c r="A149" s="46" t="s">
        <v>1100</v>
      </c>
      <c r="B149" s="48">
        <v>45280</v>
      </c>
      <c r="C149" s="42">
        <v>1416</v>
      </c>
      <c r="D149" s="37" t="s">
        <v>1101</v>
      </c>
      <c r="E149" s="41" t="s">
        <v>1102</v>
      </c>
      <c r="F149" s="38">
        <v>45313</v>
      </c>
      <c r="G149" s="39" t="s">
        <v>1103</v>
      </c>
      <c r="H149" s="42" t="s">
        <v>504</v>
      </c>
      <c r="I149" s="42" t="s">
        <v>1104</v>
      </c>
      <c r="J149" s="56">
        <v>380020516</v>
      </c>
      <c r="K149" s="56">
        <v>380020516</v>
      </c>
      <c r="L149" s="56">
        <v>0</v>
      </c>
      <c r="M149" s="56">
        <v>0</v>
      </c>
      <c r="N149" s="44">
        <f t="shared" si="20"/>
        <v>0</v>
      </c>
      <c r="O149" s="45">
        <f t="shared" si="31"/>
        <v>0</v>
      </c>
      <c r="P149" s="43">
        <v>380020516</v>
      </c>
      <c r="Q149" s="45">
        <f t="shared" si="25"/>
        <v>0</v>
      </c>
      <c r="R149" s="43">
        <v>380020516</v>
      </c>
      <c r="S149" s="30">
        <f t="shared" si="35"/>
        <v>380020516</v>
      </c>
      <c r="T149" s="30">
        <f t="shared" si="34"/>
        <v>380020516</v>
      </c>
      <c r="U149" s="30">
        <f>T149/X149</f>
        <v>7950.22</v>
      </c>
      <c r="V149" s="43">
        <f>T149/X149</f>
        <v>7950.22</v>
      </c>
      <c r="W149" s="43">
        <f t="shared" si="27"/>
        <v>39751.1</v>
      </c>
      <c r="X149" s="43">
        <f t="shared" si="30"/>
        <v>47800</v>
      </c>
      <c r="Y149" s="43">
        <f>38070+9730</f>
        <v>47800</v>
      </c>
      <c r="Z149" s="43">
        <v>0</v>
      </c>
      <c r="AA149" s="43">
        <v>0</v>
      </c>
      <c r="AB149" s="43">
        <v>38160</v>
      </c>
      <c r="AC149" s="43">
        <f t="shared" si="28"/>
        <v>303380395.19999999</v>
      </c>
      <c r="AD149" s="43">
        <v>9640</v>
      </c>
      <c r="AE149" s="43">
        <f t="shared" si="29"/>
        <v>76640120.799999997</v>
      </c>
      <c r="AF149" s="43">
        <f t="shared" si="32"/>
        <v>9560</v>
      </c>
      <c r="AG149" s="43">
        <f t="shared" si="33"/>
        <v>9560</v>
      </c>
      <c r="AH149" s="38">
        <v>45352</v>
      </c>
      <c r="AI149" s="38"/>
      <c r="AJ149" s="38"/>
      <c r="AK149" s="38">
        <v>45383</v>
      </c>
      <c r="AL149" s="38"/>
      <c r="AM149" s="48"/>
      <c r="AN149" s="42"/>
      <c r="AO149" s="42" t="s">
        <v>1105</v>
      </c>
      <c r="AP149" s="42" t="s">
        <v>1106</v>
      </c>
      <c r="AQ149" s="42" t="s">
        <v>1107</v>
      </c>
      <c r="AR149" s="42" t="s">
        <v>94</v>
      </c>
      <c r="AS149" s="50">
        <v>0</v>
      </c>
      <c r="AT149" s="39">
        <v>100</v>
      </c>
      <c r="AU149" s="39" t="s">
        <v>83</v>
      </c>
      <c r="AV149" s="49">
        <v>5</v>
      </c>
      <c r="AW149" s="39" t="s">
        <v>221</v>
      </c>
      <c r="AX149" s="39">
        <v>10</v>
      </c>
      <c r="AY149" s="30">
        <f>(J149*10)/100</f>
        <v>38002051.600000001</v>
      </c>
      <c r="AZ149" s="42" t="s">
        <v>405</v>
      </c>
    </row>
    <row r="150" spans="1:52" ht="66" customHeight="1" x14ac:dyDescent="0.25">
      <c r="A150" s="46" t="s">
        <v>1108</v>
      </c>
      <c r="B150" s="48">
        <v>45280</v>
      </c>
      <c r="C150" s="42">
        <v>1416</v>
      </c>
      <c r="D150" s="37" t="s">
        <v>1109</v>
      </c>
      <c r="E150" s="41" t="s">
        <v>1110</v>
      </c>
      <c r="F150" s="38">
        <v>45313</v>
      </c>
      <c r="G150" s="39" t="s">
        <v>1111</v>
      </c>
      <c r="H150" s="42" t="s">
        <v>1112</v>
      </c>
      <c r="I150" s="42" t="s">
        <v>1113</v>
      </c>
      <c r="J150" s="56">
        <v>379881680.63999999</v>
      </c>
      <c r="K150" s="56">
        <v>379881680.63999999</v>
      </c>
      <c r="L150" s="56">
        <v>0</v>
      </c>
      <c r="M150" s="56">
        <v>0</v>
      </c>
      <c r="N150" s="44">
        <f t="shared" si="20"/>
        <v>0</v>
      </c>
      <c r="O150" s="45">
        <f t="shared" si="31"/>
        <v>0</v>
      </c>
      <c r="P150" s="43">
        <v>379881680.63999999</v>
      </c>
      <c r="Q150" s="45">
        <f t="shared" si="25"/>
        <v>0</v>
      </c>
      <c r="R150" s="43">
        <v>379881680.63999999</v>
      </c>
      <c r="S150" s="30">
        <f t="shared" si="35"/>
        <v>379881680.63999999</v>
      </c>
      <c r="T150" s="30">
        <f t="shared" si="34"/>
        <v>379881680.63999999</v>
      </c>
      <c r="U150" s="30">
        <f>T150/X150</f>
        <v>13332.55</v>
      </c>
      <c r="V150" s="43">
        <f>T150/X150</f>
        <v>13332.55</v>
      </c>
      <c r="W150" s="43">
        <f t="shared" si="27"/>
        <v>63996.239999999991</v>
      </c>
      <c r="X150" s="43">
        <f t="shared" si="30"/>
        <v>28492.799999999999</v>
      </c>
      <c r="Y150" s="43">
        <f>17664+10828.8</f>
        <v>28492.799999999999</v>
      </c>
      <c r="Z150" s="43">
        <v>0</v>
      </c>
      <c r="AA150" s="43">
        <v>0</v>
      </c>
      <c r="AB150" s="43">
        <v>17664</v>
      </c>
      <c r="AC150" s="43">
        <f t="shared" si="28"/>
        <v>235506163.19999999</v>
      </c>
      <c r="AD150" s="43">
        <v>10828.8</v>
      </c>
      <c r="AE150" s="43">
        <f t="shared" si="29"/>
        <v>144375517.43999997</v>
      </c>
      <c r="AF150" s="43">
        <f t="shared" si="32"/>
        <v>5936</v>
      </c>
      <c r="AG150" s="43">
        <f t="shared" si="33"/>
        <v>5936</v>
      </c>
      <c r="AH150" s="38">
        <v>45352</v>
      </c>
      <c r="AI150" s="38"/>
      <c r="AJ150" s="38"/>
      <c r="AK150" s="38">
        <v>45383</v>
      </c>
      <c r="AL150" s="38"/>
      <c r="AM150" s="48"/>
      <c r="AN150" s="42"/>
      <c r="AO150" s="42" t="s">
        <v>1114</v>
      </c>
      <c r="AP150" s="42" t="s">
        <v>1115</v>
      </c>
      <c r="AQ150" s="42" t="s">
        <v>1116</v>
      </c>
      <c r="AR150" s="42" t="s">
        <v>277</v>
      </c>
      <c r="AS150" s="50">
        <v>0</v>
      </c>
      <c r="AT150" s="39">
        <v>100</v>
      </c>
      <c r="AU150" s="39" t="s">
        <v>327</v>
      </c>
      <c r="AV150" s="54">
        <v>4.8</v>
      </c>
      <c r="AW150" s="39" t="s">
        <v>62</v>
      </c>
      <c r="AX150" s="39">
        <v>10</v>
      </c>
      <c r="AY150" s="30">
        <f>(J150*10)/100</f>
        <v>37988168.063999996</v>
      </c>
      <c r="AZ150" s="42" t="s">
        <v>405</v>
      </c>
    </row>
    <row r="151" spans="1:52" ht="66" customHeight="1" x14ac:dyDescent="0.25">
      <c r="A151" s="46" t="s">
        <v>1117</v>
      </c>
      <c r="B151" s="48">
        <v>45280</v>
      </c>
      <c r="C151" s="42">
        <v>1416</v>
      </c>
      <c r="D151" s="37" t="s">
        <v>1118</v>
      </c>
      <c r="E151" s="41" t="s">
        <v>1119</v>
      </c>
      <c r="F151" s="38">
        <v>45314</v>
      </c>
      <c r="G151" s="39" t="s">
        <v>1120</v>
      </c>
      <c r="H151" s="42" t="s">
        <v>141</v>
      </c>
      <c r="I151" s="42" t="s">
        <v>1121</v>
      </c>
      <c r="J151" s="56">
        <v>712501307.10000002</v>
      </c>
      <c r="K151" s="56">
        <v>712501307.10000002</v>
      </c>
      <c r="L151" s="56">
        <v>0</v>
      </c>
      <c r="M151" s="56">
        <v>0</v>
      </c>
      <c r="N151" s="44">
        <f t="shared" si="20"/>
        <v>0</v>
      </c>
      <c r="O151" s="45">
        <f t="shared" si="31"/>
        <v>0</v>
      </c>
      <c r="P151" s="43">
        <v>712501307.10000002</v>
      </c>
      <c r="Q151" s="45">
        <f t="shared" si="25"/>
        <v>0</v>
      </c>
      <c r="R151" s="43">
        <v>712501307.10000002</v>
      </c>
      <c r="S151" s="30">
        <f t="shared" si="35"/>
        <v>712501307.10000002</v>
      </c>
      <c r="T151" s="30">
        <f t="shared" si="34"/>
        <v>712501307.10000002</v>
      </c>
      <c r="U151" s="30">
        <f>T151/X151</f>
        <v>401.58000000000004</v>
      </c>
      <c r="V151" s="43">
        <f>T151/X151</f>
        <v>401.58000000000004</v>
      </c>
      <c r="W151" s="43">
        <f t="shared" si="27"/>
        <v>6023.7000000000007</v>
      </c>
      <c r="X151" s="43">
        <f t="shared" si="30"/>
        <v>1774245</v>
      </c>
      <c r="Y151" s="43">
        <f>1115040+9960</f>
        <v>1125000</v>
      </c>
      <c r="Z151" s="43">
        <f>557910+91335</f>
        <v>649245</v>
      </c>
      <c r="AA151" s="43">
        <v>0</v>
      </c>
      <c r="AB151" s="43">
        <f>1115040+557910</f>
        <v>1672950</v>
      </c>
      <c r="AC151" s="43">
        <f t="shared" si="28"/>
        <v>671823261.00000012</v>
      </c>
      <c r="AD151" s="43">
        <f>9960+91335</f>
        <v>101295</v>
      </c>
      <c r="AE151" s="43">
        <f t="shared" si="29"/>
        <v>40678046.100000001</v>
      </c>
      <c r="AF151" s="43">
        <f t="shared" si="32"/>
        <v>118283</v>
      </c>
      <c r="AG151" s="43">
        <f t="shared" si="33"/>
        <v>118283</v>
      </c>
      <c r="AH151" s="38">
        <v>45352</v>
      </c>
      <c r="AI151" s="38">
        <v>45444</v>
      </c>
      <c r="AJ151" s="38"/>
      <c r="AK151" s="38">
        <v>45383</v>
      </c>
      <c r="AL151" s="38">
        <v>45474</v>
      </c>
      <c r="AM151" s="48"/>
      <c r="AN151" s="42"/>
      <c r="AO151" s="42" t="s">
        <v>1122</v>
      </c>
      <c r="AP151" s="42" t="s">
        <v>1123</v>
      </c>
      <c r="AQ151" s="42" t="s">
        <v>1124</v>
      </c>
      <c r="AR151" s="42" t="s">
        <v>82</v>
      </c>
      <c r="AS151" s="50">
        <v>100</v>
      </c>
      <c r="AT151" s="39">
        <v>0</v>
      </c>
      <c r="AU151" s="39" t="s">
        <v>83</v>
      </c>
      <c r="AV151" s="49">
        <v>15</v>
      </c>
      <c r="AW151" s="39" t="s">
        <v>62</v>
      </c>
      <c r="AX151" s="39">
        <v>10</v>
      </c>
      <c r="AY151" s="30">
        <f>(J151*10)/100</f>
        <v>71250130.709999993</v>
      </c>
      <c r="AZ151" s="42" t="s">
        <v>405</v>
      </c>
    </row>
    <row r="152" spans="1:52" ht="66" customHeight="1" x14ac:dyDescent="0.25">
      <c r="A152" s="46" t="s">
        <v>1125</v>
      </c>
      <c r="B152" s="48">
        <v>45280</v>
      </c>
      <c r="C152" s="42">
        <v>1416</v>
      </c>
      <c r="D152" s="37" t="s">
        <v>1126</v>
      </c>
      <c r="E152" s="41" t="s">
        <v>1127</v>
      </c>
      <c r="F152" s="38">
        <v>45307</v>
      </c>
      <c r="G152" s="39" t="s">
        <v>1128</v>
      </c>
      <c r="H152" s="42" t="s">
        <v>1129</v>
      </c>
      <c r="I152" s="42" t="s">
        <v>1130</v>
      </c>
      <c r="J152" s="56">
        <v>27891956.399999999</v>
      </c>
      <c r="K152" s="56">
        <v>27891956.399999999</v>
      </c>
      <c r="L152" s="56">
        <v>0</v>
      </c>
      <c r="M152" s="56">
        <v>0</v>
      </c>
      <c r="N152" s="44">
        <f t="shared" si="20"/>
        <v>0.50089279502816453</v>
      </c>
      <c r="O152" s="45">
        <f t="shared" si="31"/>
        <v>139708.79999999702</v>
      </c>
      <c r="P152" s="43">
        <v>27752247.600000001</v>
      </c>
      <c r="Q152" s="45">
        <f t="shared" si="25"/>
        <v>139708.79999999702</v>
      </c>
      <c r="R152" s="43">
        <v>27752247.600000001</v>
      </c>
      <c r="S152" s="30">
        <f t="shared" si="35"/>
        <v>27752247.600000001</v>
      </c>
      <c r="T152" s="30">
        <f t="shared" si="34"/>
        <v>27752247.600000001</v>
      </c>
      <c r="U152" s="30">
        <f>T152/X152</f>
        <v>429.07000000000005</v>
      </c>
      <c r="V152" s="43">
        <f>T152/X152</f>
        <v>429.07000000000005</v>
      </c>
      <c r="W152" s="43">
        <f t="shared" si="27"/>
        <v>8581.4000000000015</v>
      </c>
      <c r="X152" s="43">
        <f t="shared" si="30"/>
        <v>64680</v>
      </c>
      <c r="Y152" s="43">
        <v>64680</v>
      </c>
      <c r="Z152" s="43">
        <v>0</v>
      </c>
      <c r="AA152" s="43">
        <v>0</v>
      </c>
      <c r="AB152" s="43">
        <v>0</v>
      </c>
      <c r="AC152" s="43">
        <f t="shared" si="28"/>
        <v>0</v>
      </c>
      <c r="AD152" s="43">
        <v>64680</v>
      </c>
      <c r="AE152" s="43">
        <f t="shared" si="29"/>
        <v>27752247.600000001</v>
      </c>
      <c r="AF152" s="43">
        <f t="shared" si="32"/>
        <v>3234</v>
      </c>
      <c r="AG152" s="43">
        <f t="shared" si="33"/>
        <v>3234</v>
      </c>
      <c r="AH152" s="38">
        <v>45352</v>
      </c>
      <c r="AI152" s="38"/>
      <c r="AJ152" s="38"/>
      <c r="AK152" s="38">
        <v>45383</v>
      </c>
      <c r="AL152" s="38"/>
      <c r="AM152" s="48"/>
      <c r="AN152" s="42"/>
      <c r="AO152" s="42" t="s">
        <v>1131</v>
      </c>
      <c r="AP152" s="42" t="s">
        <v>1132</v>
      </c>
      <c r="AQ152" s="42" t="s">
        <v>1133</v>
      </c>
      <c r="AR152" s="42" t="s">
        <v>82</v>
      </c>
      <c r="AS152" s="50">
        <v>100</v>
      </c>
      <c r="AT152" s="39">
        <v>0</v>
      </c>
      <c r="AU152" s="39" t="s">
        <v>389</v>
      </c>
      <c r="AV152" s="49">
        <v>20</v>
      </c>
      <c r="AW152" s="39" t="s">
        <v>62</v>
      </c>
      <c r="AX152" s="39">
        <v>10</v>
      </c>
      <c r="AY152" s="30">
        <f>(J152*10)/100</f>
        <v>2789195.64</v>
      </c>
      <c r="AZ152" s="42" t="s">
        <v>405</v>
      </c>
    </row>
    <row r="153" spans="1:52" ht="66" customHeight="1" x14ac:dyDescent="0.25">
      <c r="A153" s="46" t="s">
        <v>1134</v>
      </c>
      <c r="B153" s="48">
        <v>45280</v>
      </c>
      <c r="C153" s="42">
        <v>1416</v>
      </c>
      <c r="D153" s="37" t="s">
        <v>1135</v>
      </c>
      <c r="E153" s="41" t="s">
        <v>1136</v>
      </c>
      <c r="F153" s="38">
        <v>45314</v>
      </c>
      <c r="G153" s="39" t="s">
        <v>1137</v>
      </c>
      <c r="H153" s="42" t="s">
        <v>141</v>
      </c>
      <c r="I153" s="42" t="s">
        <v>1138</v>
      </c>
      <c r="J153" s="56">
        <v>371696160</v>
      </c>
      <c r="K153" s="56">
        <v>371696160</v>
      </c>
      <c r="L153" s="56">
        <v>0</v>
      </c>
      <c r="M153" s="56">
        <v>0</v>
      </c>
      <c r="N153" s="44">
        <f t="shared" si="20"/>
        <v>0</v>
      </c>
      <c r="O153" s="45">
        <f t="shared" si="31"/>
        <v>0</v>
      </c>
      <c r="P153" s="43">
        <v>371696160</v>
      </c>
      <c r="Q153" s="45">
        <f t="shared" si="25"/>
        <v>0</v>
      </c>
      <c r="R153" s="43">
        <v>371696160</v>
      </c>
      <c r="S153" s="30">
        <f t="shared" si="35"/>
        <v>371696160</v>
      </c>
      <c r="T153" s="30">
        <f t="shared" si="34"/>
        <v>371696160</v>
      </c>
      <c r="U153" s="30">
        <f>T153/X153</f>
        <v>48.48</v>
      </c>
      <c r="V153" s="43">
        <f>T153/X153</f>
        <v>48.48</v>
      </c>
      <c r="W153" s="43">
        <f t="shared" si="27"/>
        <v>48480</v>
      </c>
      <c r="X153" s="43">
        <f t="shared" si="30"/>
        <v>7667000</v>
      </c>
      <c r="Y153" s="43">
        <f>6190000+1477000</f>
        <v>7667000</v>
      </c>
      <c r="Z153" s="43">
        <v>0</v>
      </c>
      <c r="AA153" s="43">
        <v>0</v>
      </c>
      <c r="AB153" s="43">
        <v>6190000</v>
      </c>
      <c r="AC153" s="43">
        <f t="shared" si="28"/>
        <v>300091200</v>
      </c>
      <c r="AD153" s="43">
        <v>1477000</v>
      </c>
      <c r="AE153" s="43">
        <f t="shared" si="29"/>
        <v>71604960</v>
      </c>
      <c r="AF153" s="43">
        <f t="shared" si="32"/>
        <v>7667</v>
      </c>
      <c r="AG153" s="43">
        <f t="shared" si="33"/>
        <v>7667</v>
      </c>
      <c r="AH153" s="38">
        <v>45381</v>
      </c>
      <c r="AI153" s="38"/>
      <c r="AJ153" s="38"/>
      <c r="AK153" s="38">
        <v>45413</v>
      </c>
      <c r="AL153" s="38"/>
      <c r="AM153" s="48"/>
      <c r="AN153" s="42"/>
      <c r="AO153" s="42" t="s">
        <v>1139</v>
      </c>
      <c r="AP153" s="42" t="s">
        <v>1140</v>
      </c>
      <c r="AQ153" s="42" t="s">
        <v>1141</v>
      </c>
      <c r="AR153" s="42" t="s">
        <v>788</v>
      </c>
      <c r="AS153" s="50">
        <v>0</v>
      </c>
      <c r="AT153" s="39">
        <v>100</v>
      </c>
      <c r="AU153" s="39" t="s">
        <v>1081</v>
      </c>
      <c r="AV153" s="49">
        <v>1000</v>
      </c>
      <c r="AW153" s="39" t="s">
        <v>62</v>
      </c>
      <c r="AX153" s="39">
        <v>10</v>
      </c>
      <c r="AY153" s="30">
        <f>(J153*10)/100</f>
        <v>37169616</v>
      </c>
      <c r="AZ153" s="42" t="s">
        <v>405</v>
      </c>
    </row>
    <row r="154" spans="1:52" ht="66" customHeight="1" x14ac:dyDescent="0.25">
      <c r="A154" s="46" t="s">
        <v>1142</v>
      </c>
      <c r="B154" s="48">
        <v>45280</v>
      </c>
      <c r="C154" s="42">
        <v>1416</v>
      </c>
      <c r="D154" s="37" t="s">
        <v>1143</v>
      </c>
      <c r="E154" s="41" t="s">
        <v>1144</v>
      </c>
      <c r="F154" s="38">
        <v>45303</v>
      </c>
      <c r="G154" s="39" t="s">
        <v>1145</v>
      </c>
      <c r="H154" s="42" t="s">
        <v>226</v>
      </c>
      <c r="I154" s="42" t="s">
        <v>1146</v>
      </c>
      <c r="J154" s="56">
        <v>1135795.5</v>
      </c>
      <c r="K154" s="56">
        <v>1135795.5</v>
      </c>
      <c r="L154" s="56">
        <v>0</v>
      </c>
      <c r="M154" s="56">
        <v>0</v>
      </c>
      <c r="N154" s="44">
        <f t="shared" si="20"/>
        <v>0</v>
      </c>
      <c r="O154" s="45">
        <f t="shared" si="31"/>
        <v>0</v>
      </c>
      <c r="P154" s="43">
        <v>1135795.5</v>
      </c>
      <c r="Q154" s="45">
        <f t="shared" si="25"/>
        <v>0</v>
      </c>
      <c r="R154" s="43">
        <v>1135795.5</v>
      </c>
      <c r="S154" s="30">
        <f t="shared" si="35"/>
        <v>1135795.5</v>
      </c>
      <c r="T154" s="30">
        <f t="shared" si="34"/>
        <v>1135795.5</v>
      </c>
      <c r="U154" s="30">
        <f>T154/X154</f>
        <v>1802.85</v>
      </c>
      <c r="V154" s="43">
        <f>T154/X154</f>
        <v>1802.85</v>
      </c>
      <c r="W154" s="43">
        <f t="shared" si="27"/>
        <v>37859.85</v>
      </c>
      <c r="X154" s="43">
        <f t="shared" si="30"/>
        <v>630</v>
      </c>
      <c r="Y154" s="43">
        <v>630</v>
      </c>
      <c r="Z154" s="43">
        <v>0</v>
      </c>
      <c r="AA154" s="43">
        <v>0</v>
      </c>
      <c r="AB154" s="43">
        <v>0</v>
      </c>
      <c r="AC154" s="43">
        <f t="shared" si="28"/>
        <v>0</v>
      </c>
      <c r="AD154" s="43">
        <v>630</v>
      </c>
      <c r="AE154" s="43">
        <f t="shared" si="29"/>
        <v>1135795.5</v>
      </c>
      <c r="AF154" s="43">
        <f t="shared" si="32"/>
        <v>30</v>
      </c>
      <c r="AG154" s="43">
        <f t="shared" si="33"/>
        <v>30</v>
      </c>
      <c r="AH154" s="38">
        <v>45352</v>
      </c>
      <c r="AI154" s="38"/>
      <c r="AJ154" s="38"/>
      <c r="AK154" s="38">
        <v>45383</v>
      </c>
      <c r="AL154" s="38"/>
      <c r="AM154" s="48"/>
      <c r="AN154" s="42"/>
      <c r="AO154" s="42" t="s">
        <v>1147</v>
      </c>
      <c r="AP154" s="42" t="s">
        <v>1148</v>
      </c>
      <c r="AQ154" s="42" t="s">
        <v>1149</v>
      </c>
      <c r="AR154" s="42" t="s">
        <v>82</v>
      </c>
      <c r="AS154" s="50">
        <v>100</v>
      </c>
      <c r="AT154" s="39">
        <v>0</v>
      </c>
      <c r="AU154" s="39" t="s">
        <v>389</v>
      </c>
      <c r="AV154" s="49">
        <v>21</v>
      </c>
      <c r="AW154" s="39" t="s">
        <v>221</v>
      </c>
      <c r="AX154" s="39">
        <v>10</v>
      </c>
      <c r="AY154" s="30">
        <f>(J154*10)/100</f>
        <v>113579.55</v>
      </c>
      <c r="AZ154" s="42" t="s">
        <v>405</v>
      </c>
    </row>
    <row r="155" spans="1:52" ht="66" customHeight="1" x14ac:dyDescent="0.25">
      <c r="A155" s="46" t="s">
        <v>1150</v>
      </c>
      <c r="B155" s="48">
        <v>45280</v>
      </c>
      <c r="C155" s="42">
        <v>1416</v>
      </c>
      <c r="D155" s="37" t="s">
        <v>1151</v>
      </c>
      <c r="E155" s="41" t="s">
        <v>1152</v>
      </c>
      <c r="F155" s="38">
        <v>45308</v>
      </c>
      <c r="G155" s="39" t="s">
        <v>1153</v>
      </c>
      <c r="H155" s="42" t="s">
        <v>141</v>
      </c>
      <c r="I155" s="42" t="s">
        <v>1154</v>
      </c>
      <c r="J155" s="56">
        <v>20722240</v>
      </c>
      <c r="K155" s="56">
        <v>20722240</v>
      </c>
      <c r="L155" s="56">
        <v>0</v>
      </c>
      <c r="M155" s="56">
        <v>0</v>
      </c>
      <c r="N155" s="44">
        <f t="shared" si="20"/>
        <v>0</v>
      </c>
      <c r="O155" s="45">
        <f t="shared" si="31"/>
        <v>0</v>
      </c>
      <c r="P155" s="43">
        <v>20722240</v>
      </c>
      <c r="Q155" s="45">
        <f t="shared" si="25"/>
        <v>0</v>
      </c>
      <c r="R155" s="43">
        <v>20722240</v>
      </c>
      <c r="S155" s="30">
        <f t="shared" si="35"/>
        <v>20722240</v>
      </c>
      <c r="T155" s="30">
        <f t="shared" si="34"/>
        <v>20722240</v>
      </c>
      <c r="U155" s="30">
        <f>T155/X155</f>
        <v>51.04</v>
      </c>
      <c r="V155" s="43">
        <f>T155/X155</f>
        <v>51.04</v>
      </c>
      <c r="W155" s="43">
        <f t="shared" si="27"/>
        <v>25520</v>
      </c>
      <c r="X155" s="43">
        <f t="shared" si="30"/>
        <v>406000</v>
      </c>
      <c r="Y155" s="43">
        <v>406000</v>
      </c>
      <c r="Z155" s="43">
        <v>0</v>
      </c>
      <c r="AA155" s="43">
        <v>0</v>
      </c>
      <c r="AB155" s="43">
        <v>406000</v>
      </c>
      <c r="AC155" s="43">
        <f t="shared" si="28"/>
        <v>20722240</v>
      </c>
      <c r="AD155" s="43">
        <v>0</v>
      </c>
      <c r="AE155" s="43">
        <f t="shared" si="29"/>
        <v>0</v>
      </c>
      <c r="AF155" s="43">
        <f t="shared" si="32"/>
        <v>812</v>
      </c>
      <c r="AG155" s="43">
        <f t="shared" si="33"/>
        <v>812</v>
      </c>
      <c r="AH155" s="38">
        <v>45381</v>
      </c>
      <c r="AI155" s="38"/>
      <c r="AJ155" s="38"/>
      <c r="AK155" s="38">
        <v>45413</v>
      </c>
      <c r="AL155" s="38"/>
      <c r="AM155" s="48"/>
      <c r="AN155" s="42"/>
      <c r="AO155" s="42" t="s">
        <v>1139</v>
      </c>
      <c r="AP155" s="42" t="s">
        <v>1155</v>
      </c>
      <c r="AQ155" s="42" t="s">
        <v>1141</v>
      </c>
      <c r="AR155" s="42" t="s">
        <v>788</v>
      </c>
      <c r="AS155" s="50">
        <v>0</v>
      </c>
      <c r="AT155" s="39">
        <v>100</v>
      </c>
      <c r="AU155" s="39" t="s">
        <v>1081</v>
      </c>
      <c r="AV155" s="49">
        <v>500</v>
      </c>
      <c r="AW155" s="39" t="s">
        <v>62</v>
      </c>
      <c r="AX155" s="39">
        <v>10</v>
      </c>
      <c r="AY155" s="30">
        <f>(J155*10)/100</f>
        <v>2072224</v>
      </c>
      <c r="AZ155" s="42" t="s">
        <v>405</v>
      </c>
    </row>
    <row r="156" spans="1:52" ht="66" customHeight="1" x14ac:dyDescent="0.25">
      <c r="A156" s="46" t="s">
        <v>1156</v>
      </c>
      <c r="B156" s="48">
        <v>45280</v>
      </c>
      <c r="C156" s="42">
        <v>1416</v>
      </c>
      <c r="D156" s="37" t="s">
        <v>1157</v>
      </c>
      <c r="E156" s="41" t="s">
        <v>1158</v>
      </c>
      <c r="F156" s="38">
        <v>45314</v>
      </c>
      <c r="G156" s="39" t="s">
        <v>1159</v>
      </c>
      <c r="H156" s="42" t="s">
        <v>88</v>
      </c>
      <c r="I156" s="42" t="s">
        <v>680</v>
      </c>
      <c r="J156" s="56">
        <v>1441732800</v>
      </c>
      <c r="K156" s="56">
        <v>720866400</v>
      </c>
      <c r="L156" s="56">
        <v>720866400</v>
      </c>
      <c r="M156" s="56">
        <v>0</v>
      </c>
      <c r="N156" s="44">
        <f t="shared" si="20"/>
        <v>0</v>
      </c>
      <c r="O156" s="45">
        <f t="shared" si="31"/>
        <v>0</v>
      </c>
      <c r="P156" s="43">
        <v>1441732800</v>
      </c>
      <c r="Q156" s="45">
        <f t="shared" si="25"/>
        <v>720866400</v>
      </c>
      <c r="R156" s="43">
        <v>720866400</v>
      </c>
      <c r="S156" s="30">
        <f t="shared" si="35"/>
        <v>720866400</v>
      </c>
      <c r="T156" s="30">
        <v>1441732800</v>
      </c>
      <c r="U156" s="30">
        <f>T156/X156</f>
        <v>10.72</v>
      </c>
      <c r="V156" s="43">
        <f>T156/X156</f>
        <v>10.72</v>
      </c>
      <c r="W156" s="43" t="e">
        <f t="shared" si="27"/>
        <v>#VALUE!</v>
      </c>
      <c r="X156" s="43">
        <v>134490000</v>
      </c>
      <c r="Y156" s="43">
        <f>14124000+32252000</f>
        <v>46376000</v>
      </c>
      <c r="Z156" s="43">
        <f>6354000+14515000</f>
        <v>20869000</v>
      </c>
      <c r="AA156" s="43">
        <v>0</v>
      </c>
      <c r="AB156" s="43">
        <f>14124000+6354000</f>
        <v>20478000</v>
      </c>
      <c r="AC156" s="43">
        <f t="shared" si="28"/>
        <v>219524160</v>
      </c>
      <c r="AD156" s="43">
        <f>32252000+14515000</f>
        <v>46767000</v>
      </c>
      <c r="AE156" s="43">
        <f t="shared" si="29"/>
        <v>501342240.00000006</v>
      </c>
      <c r="AF156" s="43" t="e">
        <f t="shared" si="32"/>
        <v>#VALUE!</v>
      </c>
      <c r="AG156" s="43" t="e">
        <f t="shared" si="33"/>
        <v>#VALUE!</v>
      </c>
      <c r="AH156" s="38">
        <v>45352</v>
      </c>
      <c r="AI156" s="38">
        <v>45565</v>
      </c>
      <c r="AJ156" s="38" t="s">
        <v>1160</v>
      </c>
      <c r="AK156" s="38">
        <v>45383</v>
      </c>
      <c r="AL156" s="38">
        <v>45597</v>
      </c>
      <c r="AM156" s="48" t="s">
        <v>1161</v>
      </c>
      <c r="AN156" s="42"/>
      <c r="AO156" s="42" t="s">
        <v>1162</v>
      </c>
      <c r="AP156" s="42" t="s">
        <v>1163</v>
      </c>
      <c r="AQ156" s="42" t="s">
        <v>1164</v>
      </c>
      <c r="AR156" s="42" t="s">
        <v>1062</v>
      </c>
      <c r="AS156" s="50">
        <v>0</v>
      </c>
      <c r="AT156" s="39">
        <v>100</v>
      </c>
      <c r="AU156" s="39" t="s">
        <v>95</v>
      </c>
      <c r="AV156" s="53" t="s">
        <v>1165</v>
      </c>
      <c r="AW156" s="39" t="s">
        <v>62</v>
      </c>
      <c r="AX156" s="39">
        <v>10</v>
      </c>
      <c r="AY156" s="30">
        <f>(J156*10)/100</f>
        <v>144173280</v>
      </c>
      <c r="AZ156" s="42" t="s">
        <v>405</v>
      </c>
    </row>
    <row r="157" spans="1:52" ht="66" customHeight="1" x14ac:dyDescent="0.25">
      <c r="A157" s="46" t="s">
        <v>1166</v>
      </c>
      <c r="B157" s="48">
        <v>45280</v>
      </c>
      <c r="C157" s="42">
        <v>1416</v>
      </c>
      <c r="D157" s="37" t="s">
        <v>434</v>
      </c>
      <c r="E157" s="41" t="s">
        <v>1167</v>
      </c>
      <c r="F157" s="38" t="s">
        <v>434</v>
      </c>
      <c r="G157" s="39" t="s">
        <v>434</v>
      </c>
      <c r="H157" s="42" t="s">
        <v>434</v>
      </c>
      <c r="I157" s="42" t="s">
        <v>1168</v>
      </c>
      <c r="J157" s="56">
        <v>239282920</v>
      </c>
      <c r="K157" s="56">
        <v>239282920</v>
      </c>
      <c r="L157" s="56"/>
      <c r="M157" s="56"/>
      <c r="N157" s="44">
        <f t="shared" si="20"/>
        <v>100</v>
      </c>
      <c r="O157" s="45">
        <f t="shared" si="31"/>
        <v>239282920</v>
      </c>
      <c r="P157" s="43"/>
      <c r="Q157" s="45">
        <f t="shared" si="25"/>
        <v>239282920</v>
      </c>
      <c r="R157" s="43">
        <v>0</v>
      </c>
      <c r="S157" s="30">
        <f t="shared" si="35"/>
        <v>0</v>
      </c>
      <c r="T157" s="30">
        <f t="shared" si="35"/>
        <v>0</v>
      </c>
      <c r="U157" s="30" t="e">
        <f>T157/X157</f>
        <v>#DIV/0!</v>
      </c>
      <c r="V157" s="43" t="e">
        <f>T157/X157</f>
        <v>#DIV/0!</v>
      </c>
      <c r="W157" s="43" t="e">
        <f t="shared" si="27"/>
        <v>#DIV/0!</v>
      </c>
      <c r="X157" s="43">
        <f t="shared" si="30"/>
        <v>0</v>
      </c>
      <c r="Y157" s="43">
        <v>0</v>
      </c>
      <c r="Z157" s="43">
        <v>0</v>
      </c>
      <c r="AA157" s="43">
        <v>0</v>
      </c>
      <c r="AB157" s="43"/>
      <c r="AC157" s="43" t="e">
        <f t="shared" si="28"/>
        <v>#DIV/0!</v>
      </c>
      <c r="AD157" s="43"/>
      <c r="AE157" s="43" t="e">
        <f t="shared" si="29"/>
        <v>#DIV/0!</v>
      </c>
      <c r="AF157" s="43" t="e">
        <f t="shared" si="32"/>
        <v>#DIV/0!</v>
      </c>
      <c r="AG157" s="43" t="e">
        <f t="shared" si="33"/>
        <v>#DIV/0!</v>
      </c>
      <c r="AH157" s="38">
        <v>45382</v>
      </c>
      <c r="AI157" s="38">
        <v>45483</v>
      </c>
      <c r="AJ157" s="38"/>
      <c r="AK157" s="38"/>
      <c r="AL157" s="38"/>
      <c r="AM157" s="48"/>
      <c r="AN157" s="42"/>
      <c r="AO157" s="42"/>
      <c r="AP157" s="42"/>
      <c r="AQ157" s="42"/>
      <c r="AR157" s="42"/>
      <c r="AS157" s="50"/>
      <c r="AT157" s="39"/>
      <c r="AU157" s="39"/>
      <c r="AV157" s="49"/>
      <c r="AW157" s="39"/>
      <c r="AX157" s="39">
        <v>10</v>
      </c>
      <c r="AY157" s="30">
        <f>(J157*10)/100</f>
        <v>23928292</v>
      </c>
      <c r="AZ157" s="42" t="s">
        <v>405</v>
      </c>
    </row>
    <row r="158" spans="1:52" ht="58.5" customHeight="1" x14ac:dyDescent="0.25">
      <c r="A158" s="46" t="s">
        <v>1169</v>
      </c>
      <c r="B158" s="48">
        <v>45280</v>
      </c>
      <c r="C158" s="42">
        <v>545</v>
      </c>
      <c r="D158" s="37" t="s">
        <v>1170</v>
      </c>
      <c r="E158" s="41" t="s">
        <v>1171</v>
      </c>
      <c r="F158" s="38">
        <v>45313</v>
      </c>
      <c r="G158" s="39" t="s">
        <v>1172</v>
      </c>
      <c r="H158" s="42" t="s">
        <v>271</v>
      </c>
      <c r="I158" s="42" t="s">
        <v>1173</v>
      </c>
      <c r="J158" s="56">
        <v>293433282.44999999</v>
      </c>
      <c r="K158" s="56">
        <v>293433282.44999999</v>
      </c>
      <c r="L158" s="56">
        <v>0</v>
      </c>
      <c r="M158" s="56">
        <v>0</v>
      </c>
      <c r="N158" s="44">
        <f t="shared" si="20"/>
        <v>0</v>
      </c>
      <c r="O158" s="45">
        <f t="shared" si="31"/>
        <v>0</v>
      </c>
      <c r="P158" s="43">
        <v>293433282.44999999</v>
      </c>
      <c r="Q158" s="45">
        <f t="shared" si="25"/>
        <v>0</v>
      </c>
      <c r="R158" s="43">
        <v>293433282.44999999</v>
      </c>
      <c r="S158" s="30">
        <f t="shared" si="35"/>
        <v>293433282.44999999</v>
      </c>
      <c r="T158" s="30">
        <f t="shared" si="35"/>
        <v>293433282.44999999</v>
      </c>
      <c r="U158" s="30">
        <f>T158/X158</f>
        <v>204411.9</v>
      </c>
      <c r="V158" s="43">
        <f>T158/X158</f>
        <v>204411.9</v>
      </c>
      <c r="W158" s="43">
        <f t="shared" si="27"/>
        <v>919853.54999999993</v>
      </c>
      <c r="X158" s="43">
        <f t="shared" si="30"/>
        <v>1435.5</v>
      </c>
      <c r="Y158" s="43">
        <v>1435.5</v>
      </c>
      <c r="Z158" s="43">
        <v>0</v>
      </c>
      <c r="AA158" s="43">
        <v>0</v>
      </c>
      <c r="AB158" s="43">
        <v>0</v>
      </c>
      <c r="AC158" s="43">
        <f t="shared" si="28"/>
        <v>0</v>
      </c>
      <c r="AD158" s="43">
        <v>0</v>
      </c>
      <c r="AE158" s="43">
        <f t="shared" si="29"/>
        <v>0</v>
      </c>
      <c r="AF158" s="43">
        <f t="shared" si="32"/>
        <v>319</v>
      </c>
      <c r="AG158" s="43">
        <f t="shared" si="33"/>
        <v>319</v>
      </c>
      <c r="AH158" s="38">
        <v>45352</v>
      </c>
      <c r="AI158" s="38"/>
      <c r="AJ158" s="38"/>
      <c r="AK158" s="38">
        <v>45383</v>
      </c>
      <c r="AL158" s="38"/>
      <c r="AM158" s="48"/>
      <c r="AN158" s="42"/>
      <c r="AO158" s="42" t="s">
        <v>762</v>
      </c>
      <c r="AP158" s="42" t="s">
        <v>1174</v>
      </c>
      <c r="AQ158" s="42" t="s">
        <v>764</v>
      </c>
      <c r="AR158" s="42" t="s">
        <v>148</v>
      </c>
      <c r="AS158" s="50">
        <v>0</v>
      </c>
      <c r="AT158" s="39">
        <v>100</v>
      </c>
      <c r="AU158" s="39" t="s">
        <v>83</v>
      </c>
      <c r="AV158" s="54">
        <v>4.5</v>
      </c>
      <c r="AW158" s="39" t="s">
        <v>62</v>
      </c>
      <c r="AX158" s="39">
        <v>10</v>
      </c>
      <c r="AY158" s="30">
        <f>(J158*10)/100</f>
        <v>29343328.245000001</v>
      </c>
      <c r="AZ158" s="42" t="s">
        <v>405</v>
      </c>
    </row>
    <row r="159" spans="1:52" ht="58.5" customHeight="1" x14ac:dyDescent="0.25">
      <c r="A159" s="46" t="s">
        <v>1175</v>
      </c>
      <c r="B159" s="48">
        <v>45287</v>
      </c>
      <c r="C159" s="42">
        <v>1416</v>
      </c>
      <c r="D159" s="37" t="s">
        <v>1176</v>
      </c>
      <c r="E159" s="41" t="s">
        <v>1177</v>
      </c>
      <c r="F159" s="38">
        <v>45320</v>
      </c>
      <c r="G159" s="39" t="s">
        <v>1178</v>
      </c>
      <c r="H159" s="42" t="s">
        <v>1179</v>
      </c>
      <c r="I159" s="42" t="s">
        <v>1180</v>
      </c>
      <c r="J159" s="56">
        <v>346834734.83999997</v>
      </c>
      <c r="K159" s="56">
        <v>346834734.83999997</v>
      </c>
      <c r="L159" s="56">
        <v>0</v>
      </c>
      <c r="M159" s="56">
        <v>0</v>
      </c>
      <c r="N159" s="44">
        <f t="shared" si="20"/>
        <v>0</v>
      </c>
      <c r="O159" s="45">
        <f t="shared" si="31"/>
        <v>0</v>
      </c>
      <c r="P159" s="43">
        <v>346834734.83999997</v>
      </c>
      <c r="Q159" s="45">
        <f t="shared" si="25"/>
        <v>0</v>
      </c>
      <c r="R159" s="43">
        <v>346834734.83999997</v>
      </c>
      <c r="S159" s="30">
        <f t="shared" si="35"/>
        <v>346834734.83999997</v>
      </c>
      <c r="T159" s="30">
        <f t="shared" si="35"/>
        <v>346834734.83999997</v>
      </c>
      <c r="U159" s="30">
        <f>T159/X159</f>
        <v>50773.64</v>
      </c>
      <c r="V159" s="43">
        <f>T159/X159</f>
        <v>50773.64</v>
      </c>
      <c r="W159" s="43">
        <f t="shared" si="27"/>
        <v>152320.91999999998</v>
      </c>
      <c r="X159" s="43">
        <f t="shared" si="30"/>
        <v>6831</v>
      </c>
      <c r="Y159" s="43">
        <f>5037+1794</f>
        <v>6831</v>
      </c>
      <c r="Z159" s="43">
        <v>0</v>
      </c>
      <c r="AA159" s="43">
        <v>0</v>
      </c>
      <c r="AB159" s="43">
        <v>5037</v>
      </c>
      <c r="AC159" s="43">
        <f t="shared" si="28"/>
        <v>255746824.68000001</v>
      </c>
      <c r="AD159" s="43">
        <v>1794</v>
      </c>
      <c r="AE159" s="43">
        <f t="shared" si="29"/>
        <v>91087910.159999996</v>
      </c>
      <c r="AF159" s="43">
        <f t="shared" si="32"/>
        <v>2277</v>
      </c>
      <c r="AG159" s="43">
        <f t="shared" si="33"/>
        <v>2277</v>
      </c>
      <c r="AH159" s="38">
        <v>45352</v>
      </c>
      <c r="AI159" s="38"/>
      <c r="AJ159" s="38"/>
      <c r="AK159" s="38">
        <v>45383</v>
      </c>
      <c r="AL159" s="38"/>
      <c r="AM159" s="48"/>
      <c r="AN159" s="42"/>
      <c r="AO159" s="42" t="s">
        <v>1181</v>
      </c>
      <c r="AP159" s="42" t="s">
        <v>1182</v>
      </c>
      <c r="AQ159" s="42" t="s">
        <v>1183</v>
      </c>
      <c r="AR159" s="42" t="s">
        <v>1184</v>
      </c>
      <c r="AS159" s="50">
        <v>0</v>
      </c>
      <c r="AT159" s="39">
        <v>100</v>
      </c>
      <c r="AU159" s="39" t="s">
        <v>83</v>
      </c>
      <c r="AV159" s="49">
        <v>3</v>
      </c>
      <c r="AW159" s="39" t="s">
        <v>62</v>
      </c>
      <c r="AX159" s="39">
        <v>10</v>
      </c>
      <c r="AY159" s="30">
        <f>(J159*10)/100</f>
        <v>34683473.483999997</v>
      </c>
      <c r="AZ159" s="42" t="s">
        <v>405</v>
      </c>
    </row>
    <row r="160" spans="1:52" ht="58.5" customHeight="1" x14ac:dyDescent="0.25">
      <c r="A160" s="46" t="s">
        <v>1185</v>
      </c>
      <c r="B160" s="48">
        <v>45287</v>
      </c>
      <c r="C160" s="42">
        <v>1416</v>
      </c>
      <c r="D160" s="37" t="s">
        <v>1186</v>
      </c>
      <c r="E160" s="41" t="s">
        <v>1187</v>
      </c>
      <c r="F160" s="38">
        <v>45317</v>
      </c>
      <c r="G160" s="39" t="s">
        <v>1188</v>
      </c>
      <c r="H160" s="42" t="s">
        <v>141</v>
      </c>
      <c r="I160" s="42" t="s">
        <v>1189</v>
      </c>
      <c r="J160" s="56">
        <v>966903210</v>
      </c>
      <c r="K160" s="56">
        <v>966903210</v>
      </c>
      <c r="L160" s="56">
        <v>0</v>
      </c>
      <c r="M160" s="56">
        <v>0</v>
      </c>
      <c r="N160" s="44">
        <f t="shared" ref="N160:N223" si="36">((J160-P160)/J160)*100</f>
        <v>0</v>
      </c>
      <c r="O160" s="45">
        <f t="shared" si="31"/>
        <v>0</v>
      </c>
      <c r="P160" s="43">
        <v>966903210</v>
      </c>
      <c r="Q160" s="45">
        <f t="shared" si="25"/>
        <v>0</v>
      </c>
      <c r="R160" s="43">
        <v>966903210</v>
      </c>
      <c r="S160" s="30">
        <f t="shared" si="35"/>
        <v>966903210</v>
      </c>
      <c r="T160" s="30">
        <f t="shared" si="35"/>
        <v>966903210</v>
      </c>
      <c r="U160" s="30">
        <f>T160/X160</f>
        <v>12.39</v>
      </c>
      <c r="V160" s="43">
        <f>T160/X160</f>
        <v>12.39</v>
      </c>
      <c r="W160" s="43" t="e">
        <f t="shared" si="27"/>
        <v>#VALUE!</v>
      </c>
      <c r="X160" s="43">
        <f t="shared" si="30"/>
        <v>78039000</v>
      </c>
      <c r="Y160" s="43">
        <f>23753000+16538000</f>
        <v>40291000</v>
      </c>
      <c r="Z160" s="43">
        <f>23739000+14009000</f>
        <v>37748000</v>
      </c>
      <c r="AA160" s="43">
        <v>0</v>
      </c>
      <c r="AB160" s="43">
        <f>23753000+23739000</f>
        <v>47492000</v>
      </c>
      <c r="AC160" s="43">
        <f t="shared" si="28"/>
        <v>588425880</v>
      </c>
      <c r="AD160" s="43">
        <f>16538000+14009000</f>
        <v>30547000</v>
      </c>
      <c r="AE160" s="43">
        <f t="shared" si="29"/>
        <v>378477330</v>
      </c>
      <c r="AF160" s="43" t="e">
        <f t="shared" si="32"/>
        <v>#VALUE!</v>
      </c>
      <c r="AG160" s="43" t="e">
        <f t="shared" si="33"/>
        <v>#VALUE!</v>
      </c>
      <c r="AH160" s="38">
        <v>45383</v>
      </c>
      <c r="AI160" s="38">
        <v>45432</v>
      </c>
      <c r="AJ160" s="38"/>
      <c r="AK160" s="38">
        <v>45413</v>
      </c>
      <c r="AL160" s="38">
        <v>45463</v>
      </c>
      <c r="AM160" s="48"/>
      <c r="AN160" s="42"/>
      <c r="AO160" s="42" t="s">
        <v>1190</v>
      </c>
      <c r="AP160" s="42" t="s">
        <v>1191</v>
      </c>
      <c r="AQ160" s="42" t="s">
        <v>1192</v>
      </c>
      <c r="AR160" s="42" t="s">
        <v>1193</v>
      </c>
      <c r="AS160" s="50">
        <v>0</v>
      </c>
      <c r="AT160" s="39">
        <v>100</v>
      </c>
      <c r="AU160" s="39" t="s">
        <v>95</v>
      </c>
      <c r="AV160" s="53" t="s">
        <v>1194</v>
      </c>
      <c r="AW160" s="39" t="s">
        <v>62</v>
      </c>
      <c r="AX160" s="39">
        <v>10</v>
      </c>
      <c r="AY160" s="30">
        <f>(J160*10)/100</f>
        <v>96690321</v>
      </c>
      <c r="AZ160" s="42" t="s">
        <v>405</v>
      </c>
    </row>
    <row r="161" spans="1:52" ht="58.5" customHeight="1" x14ac:dyDescent="0.25">
      <c r="A161" s="46" t="s">
        <v>1195</v>
      </c>
      <c r="B161" s="48">
        <v>45287</v>
      </c>
      <c r="C161" s="42">
        <v>1416</v>
      </c>
      <c r="D161" s="37" t="s">
        <v>1196</v>
      </c>
      <c r="E161" s="41" t="s">
        <v>1197</v>
      </c>
      <c r="F161" s="38">
        <v>45320</v>
      </c>
      <c r="G161" s="39" t="s">
        <v>1198</v>
      </c>
      <c r="H161" s="59" t="s">
        <v>1199</v>
      </c>
      <c r="I161" s="42" t="s">
        <v>1200</v>
      </c>
      <c r="J161" s="56">
        <v>41849051.399999999</v>
      </c>
      <c r="K161" s="56">
        <v>41849051.399999999</v>
      </c>
      <c r="L161" s="56">
        <v>0</v>
      </c>
      <c r="M161" s="56">
        <v>0</v>
      </c>
      <c r="N161" s="44">
        <f t="shared" si="36"/>
        <v>2.5000000358430996</v>
      </c>
      <c r="O161" s="45">
        <f t="shared" si="31"/>
        <v>1046226.299999997</v>
      </c>
      <c r="P161" s="43">
        <v>40802825.100000001</v>
      </c>
      <c r="Q161" s="45">
        <f t="shared" si="25"/>
        <v>8537716.1999999993</v>
      </c>
      <c r="R161" s="43">
        <v>33311335.199999999</v>
      </c>
      <c r="S161" s="30">
        <f t="shared" si="35"/>
        <v>33311335.199999999</v>
      </c>
      <c r="T161" s="30">
        <f t="shared" si="35"/>
        <v>33311335.199999999</v>
      </c>
      <c r="U161" s="30">
        <f>T161/X161</f>
        <v>44.44</v>
      </c>
      <c r="V161" s="43">
        <f>T161/X161</f>
        <v>44.44</v>
      </c>
      <c r="W161" s="43">
        <f t="shared" si="27"/>
        <v>2666.3999999999996</v>
      </c>
      <c r="X161" s="43">
        <f t="shared" si="30"/>
        <v>749580</v>
      </c>
      <c r="Y161" s="43">
        <f>21060+194940</f>
        <v>216000</v>
      </c>
      <c r="Z161" s="43">
        <f>51720+481860</f>
        <v>533580</v>
      </c>
      <c r="AA161" s="43">
        <v>0</v>
      </c>
      <c r="AB161" s="43">
        <f>21060+51720</f>
        <v>72780</v>
      </c>
      <c r="AC161" s="43">
        <f t="shared" si="28"/>
        <v>3234343.1999999997</v>
      </c>
      <c r="AD161" s="43">
        <f>194940+481860</f>
        <v>676800</v>
      </c>
      <c r="AE161" s="43">
        <f t="shared" si="29"/>
        <v>30076992</v>
      </c>
      <c r="AF161" s="43">
        <f t="shared" si="32"/>
        <v>12493</v>
      </c>
      <c r="AG161" s="43">
        <f t="shared" si="33"/>
        <v>12493</v>
      </c>
      <c r="AH161" s="38">
        <v>45352</v>
      </c>
      <c r="AI161" s="38">
        <v>45474</v>
      </c>
      <c r="AJ161" s="38"/>
      <c r="AK161" s="38">
        <v>45383</v>
      </c>
      <c r="AL161" s="38">
        <v>45505</v>
      </c>
      <c r="AM161" s="48"/>
      <c r="AN161" s="42"/>
      <c r="AO161" s="42" t="s">
        <v>1201</v>
      </c>
      <c r="AP161" s="42" t="s">
        <v>1202</v>
      </c>
      <c r="AQ161" s="42" t="s">
        <v>1203</v>
      </c>
      <c r="AR161" s="42" t="s">
        <v>82</v>
      </c>
      <c r="AS161" s="50">
        <v>100</v>
      </c>
      <c r="AT161" s="39">
        <v>0</v>
      </c>
      <c r="AU161" s="39" t="s">
        <v>389</v>
      </c>
      <c r="AV161" s="49">
        <v>60</v>
      </c>
      <c r="AW161" s="39" t="s">
        <v>62</v>
      </c>
      <c r="AX161" s="39">
        <v>10</v>
      </c>
      <c r="AY161" s="30">
        <f>(J161*10)/100</f>
        <v>4184905.14</v>
      </c>
      <c r="AZ161" s="42" t="s">
        <v>405</v>
      </c>
    </row>
    <row r="162" spans="1:52" ht="58.5" customHeight="1" x14ac:dyDescent="0.25">
      <c r="A162" s="46" t="s">
        <v>1204</v>
      </c>
      <c r="B162" s="48">
        <v>45287</v>
      </c>
      <c r="C162" s="42">
        <v>1416</v>
      </c>
      <c r="D162" s="37" t="s">
        <v>1205</v>
      </c>
      <c r="E162" s="41" t="s">
        <v>1206</v>
      </c>
      <c r="F162" s="38">
        <v>45317</v>
      </c>
      <c r="G162" s="39" t="s">
        <v>1207</v>
      </c>
      <c r="H162" s="42" t="s">
        <v>141</v>
      </c>
      <c r="I162" s="42" t="s">
        <v>1208</v>
      </c>
      <c r="J162" s="56">
        <v>1312363937.5</v>
      </c>
      <c r="K162" s="56">
        <v>1312363937.5</v>
      </c>
      <c r="L162" s="56">
        <v>0</v>
      </c>
      <c r="M162" s="56">
        <v>0</v>
      </c>
      <c r="N162" s="44">
        <f t="shared" si="36"/>
        <v>0</v>
      </c>
      <c r="O162" s="45">
        <f t="shared" si="31"/>
        <v>0</v>
      </c>
      <c r="P162" s="43">
        <v>1312363937.5</v>
      </c>
      <c r="Q162" s="45">
        <f t="shared" si="25"/>
        <v>0</v>
      </c>
      <c r="R162" s="43">
        <v>1312363937.5</v>
      </c>
      <c r="S162" s="30">
        <f t="shared" si="35"/>
        <v>1312363937.5</v>
      </c>
      <c r="T162" s="30">
        <f t="shared" si="35"/>
        <v>1312363937.5</v>
      </c>
      <c r="U162" s="30">
        <f>T162/X162</f>
        <v>23003.75</v>
      </c>
      <c r="V162" s="43">
        <f>T162/X162</f>
        <v>23003.75</v>
      </c>
      <c r="W162" s="43">
        <f t="shared" si="27"/>
        <v>23003.75</v>
      </c>
      <c r="X162" s="43">
        <f t="shared" si="30"/>
        <v>57050</v>
      </c>
      <c r="Y162" s="43">
        <f>310+56740</f>
        <v>57050</v>
      </c>
      <c r="Z162" s="43">
        <v>0</v>
      </c>
      <c r="AA162" s="43">
        <v>0</v>
      </c>
      <c r="AB162" s="43">
        <v>310</v>
      </c>
      <c r="AC162" s="43">
        <f t="shared" si="28"/>
        <v>7131162.5</v>
      </c>
      <c r="AD162" s="43">
        <v>56740</v>
      </c>
      <c r="AE162" s="43">
        <f t="shared" si="29"/>
        <v>1305232775</v>
      </c>
      <c r="AF162" s="43">
        <f t="shared" si="32"/>
        <v>57050</v>
      </c>
      <c r="AG162" s="43">
        <f t="shared" si="33"/>
        <v>57050</v>
      </c>
      <c r="AH162" s="38">
        <v>45383</v>
      </c>
      <c r="AI162" s="38"/>
      <c r="AJ162" s="38"/>
      <c r="AK162" s="38">
        <v>45413</v>
      </c>
      <c r="AL162" s="38"/>
      <c r="AM162" s="48"/>
      <c r="AN162" s="42"/>
      <c r="AO162" s="42" t="s">
        <v>1209</v>
      </c>
      <c r="AP162" s="42" t="s">
        <v>1210</v>
      </c>
      <c r="AQ162" s="42" t="s">
        <v>1211</v>
      </c>
      <c r="AR162" s="42" t="s">
        <v>94</v>
      </c>
      <c r="AS162" s="50">
        <v>0</v>
      </c>
      <c r="AT162" s="39">
        <v>100</v>
      </c>
      <c r="AU162" s="39" t="s">
        <v>83</v>
      </c>
      <c r="AV162" s="49">
        <v>1</v>
      </c>
      <c r="AW162" s="39" t="s">
        <v>62</v>
      </c>
      <c r="AX162" s="39">
        <v>10</v>
      </c>
      <c r="AY162" s="30">
        <f>(J162*10)/100</f>
        <v>131236393.75</v>
      </c>
      <c r="AZ162" s="42" t="s">
        <v>405</v>
      </c>
    </row>
    <row r="163" spans="1:52" ht="58.5" customHeight="1" x14ac:dyDescent="0.25">
      <c r="A163" s="46" t="s">
        <v>1212</v>
      </c>
      <c r="B163" s="48">
        <v>45287</v>
      </c>
      <c r="C163" s="42">
        <v>1416</v>
      </c>
      <c r="D163" s="37" t="s">
        <v>1213</v>
      </c>
      <c r="E163" s="41" t="s">
        <v>1214</v>
      </c>
      <c r="F163" s="38">
        <v>45317</v>
      </c>
      <c r="G163" s="39" t="s">
        <v>1215</v>
      </c>
      <c r="H163" s="42" t="s">
        <v>1216</v>
      </c>
      <c r="I163" s="42" t="s">
        <v>1217</v>
      </c>
      <c r="J163" s="56">
        <v>29904355.5</v>
      </c>
      <c r="K163" s="56">
        <v>29904355.5</v>
      </c>
      <c r="L163" s="56">
        <v>0</v>
      </c>
      <c r="M163" s="56">
        <v>0</v>
      </c>
      <c r="N163" s="44">
        <f t="shared" si="36"/>
        <v>0</v>
      </c>
      <c r="O163" s="45">
        <f t="shared" si="31"/>
        <v>0</v>
      </c>
      <c r="P163" s="43">
        <v>29904355.5</v>
      </c>
      <c r="Q163" s="45">
        <f t="shared" si="25"/>
        <v>0</v>
      </c>
      <c r="R163" s="43">
        <v>29904355.5</v>
      </c>
      <c r="S163" s="30">
        <f t="shared" si="35"/>
        <v>29904355.5</v>
      </c>
      <c r="T163" s="30">
        <f t="shared" si="35"/>
        <v>29904355.5</v>
      </c>
      <c r="U163" s="30">
        <f>T163/X163</f>
        <v>15.69</v>
      </c>
      <c r="V163" s="43">
        <f>T163/X163</f>
        <v>15.69</v>
      </c>
      <c r="W163" s="43" t="e">
        <f t="shared" si="27"/>
        <v>#VALUE!</v>
      </c>
      <c r="X163" s="43">
        <f t="shared" si="30"/>
        <v>1905950</v>
      </c>
      <c r="Y163" s="43">
        <f>950150+955800</f>
        <v>1905950</v>
      </c>
      <c r="Z163" s="43">
        <v>0</v>
      </c>
      <c r="AA163" s="43">
        <v>0</v>
      </c>
      <c r="AB163" s="43">
        <v>950150</v>
      </c>
      <c r="AC163" s="43">
        <f t="shared" si="28"/>
        <v>14907853.5</v>
      </c>
      <c r="AD163" s="43">
        <v>955800</v>
      </c>
      <c r="AE163" s="43">
        <f t="shared" si="29"/>
        <v>14996502</v>
      </c>
      <c r="AF163" s="43" t="e">
        <f t="shared" si="32"/>
        <v>#VALUE!</v>
      </c>
      <c r="AG163" s="43" t="e">
        <f t="shared" si="33"/>
        <v>#VALUE!</v>
      </c>
      <c r="AH163" s="38">
        <v>45352</v>
      </c>
      <c r="AI163" s="38"/>
      <c r="AJ163" s="38"/>
      <c r="AK163" s="38">
        <v>45383</v>
      </c>
      <c r="AL163" s="38"/>
      <c r="AM163" s="48"/>
      <c r="AN163" s="42"/>
      <c r="AO163" s="42" t="s">
        <v>1218</v>
      </c>
      <c r="AP163" s="42" t="s">
        <v>1219</v>
      </c>
      <c r="AQ163" s="42" t="s">
        <v>1220</v>
      </c>
      <c r="AR163" s="42" t="s">
        <v>82</v>
      </c>
      <c r="AS163" s="50">
        <v>100</v>
      </c>
      <c r="AT163" s="39">
        <v>0</v>
      </c>
      <c r="AU163" s="39" t="s">
        <v>389</v>
      </c>
      <c r="AV163" s="53" t="s">
        <v>1221</v>
      </c>
      <c r="AW163" s="39" t="s">
        <v>62</v>
      </c>
      <c r="AX163" s="39">
        <v>10</v>
      </c>
      <c r="AY163" s="30">
        <f>(J163*10)/100</f>
        <v>2990435.55</v>
      </c>
      <c r="AZ163" s="42" t="s">
        <v>405</v>
      </c>
    </row>
    <row r="164" spans="1:52" ht="58.5" customHeight="1" x14ac:dyDescent="0.25">
      <c r="A164" s="46" t="s">
        <v>1222</v>
      </c>
      <c r="B164" s="48">
        <v>45287</v>
      </c>
      <c r="C164" s="42">
        <v>545</v>
      </c>
      <c r="D164" s="37" t="s">
        <v>1223</v>
      </c>
      <c r="E164" s="41" t="s">
        <v>1224</v>
      </c>
      <c r="F164" s="38">
        <v>45320</v>
      </c>
      <c r="G164" s="39" t="s">
        <v>1225</v>
      </c>
      <c r="H164" s="42" t="s">
        <v>88</v>
      </c>
      <c r="I164" s="42" t="s">
        <v>384</v>
      </c>
      <c r="J164" s="56">
        <v>445962000</v>
      </c>
      <c r="K164" s="56">
        <v>445962000</v>
      </c>
      <c r="L164" s="56">
        <v>0</v>
      </c>
      <c r="M164" s="56">
        <v>0</v>
      </c>
      <c r="N164" s="44">
        <f t="shared" si="36"/>
        <v>0</v>
      </c>
      <c r="O164" s="45">
        <f t="shared" si="31"/>
        <v>0</v>
      </c>
      <c r="P164" s="43">
        <v>445962000</v>
      </c>
      <c r="Q164" s="45">
        <f t="shared" si="25"/>
        <v>0</v>
      </c>
      <c r="R164" s="43">
        <v>445962000</v>
      </c>
      <c r="S164" s="30">
        <f t="shared" si="35"/>
        <v>445962000</v>
      </c>
      <c r="T164" s="30">
        <f t="shared" si="35"/>
        <v>445962000</v>
      </c>
      <c r="U164" s="30">
        <f>T164/X164</f>
        <v>15950</v>
      </c>
      <c r="V164" s="43">
        <f>T164/X164</f>
        <v>15950</v>
      </c>
      <c r="W164" s="43">
        <f t="shared" si="27"/>
        <v>957000</v>
      </c>
      <c r="X164" s="43">
        <f t="shared" si="30"/>
        <v>27960</v>
      </c>
      <c r="Y164" s="43">
        <v>27960</v>
      </c>
      <c r="Z164" s="43">
        <v>0</v>
      </c>
      <c r="AA164" s="43">
        <v>0</v>
      </c>
      <c r="AB164" s="43"/>
      <c r="AC164" s="43">
        <f t="shared" si="28"/>
        <v>0</v>
      </c>
      <c r="AD164" s="43"/>
      <c r="AE164" s="43">
        <f t="shared" si="29"/>
        <v>0</v>
      </c>
      <c r="AF164" s="43">
        <f t="shared" si="32"/>
        <v>466</v>
      </c>
      <c r="AG164" s="43">
        <f t="shared" si="33"/>
        <v>466</v>
      </c>
      <c r="AH164" s="38">
        <v>45352</v>
      </c>
      <c r="AI164" s="38"/>
      <c r="AJ164" s="38"/>
      <c r="AK164" s="38">
        <v>45383</v>
      </c>
      <c r="AL164" s="38"/>
      <c r="AM164" s="48"/>
      <c r="AN164" s="42"/>
      <c r="AO164" s="42" t="s">
        <v>385</v>
      </c>
      <c r="AP164" s="42" t="s">
        <v>1226</v>
      </c>
      <c r="AQ164" s="42" t="s">
        <v>387</v>
      </c>
      <c r="AR164" s="42" t="s">
        <v>388</v>
      </c>
      <c r="AS164" s="50">
        <v>100</v>
      </c>
      <c r="AT164" s="39">
        <v>0</v>
      </c>
      <c r="AU164" s="39" t="s">
        <v>389</v>
      </c>
      <c r="AV164" s="49">
        <v>60</v>
      </c>
      <c r="AW164" s="39" t="s">
        <v>62</v>
      </c>
      <c r="AX164" s="39">
        <v>10</v>
      </c>
      <c r="AY164" s="30">
        <f>(J164*10)/100</f>
        <v>44596200</v>
      </c>
      <c r="AZ164" s="42" t="s">
        <v>405</v>
      </c>
    </row>
    <row r="165" spans="1:52" ht="58.5" customHeight="1" x14ac:dyDescent="0.25">
      <c r="A165" s="46" t="s">
        <v>1227</v>
      </c>
      <c r="B165" s="48">
        <v>45287</v>
      </c>
      <c r="C165" s="42">
        <v>1416</v>
      </c>
      <c r="D165" s="37" t="s">
        <v>1228</v>
      </c>
      <c r="E165" s="41" t="s">
        <v>1229</v>
      </c>
      <c r="F165" s="38">
        <v>45320</v>
      </c>
      <c r="G165" s="39" t="s">
        <v>1230</v>
      </c>
      <c r="H165" s="42" t="s">
        <v>1231</v>
      </c>
      <c r="I165" s="42" t="s">
        <v>1232</v>
      </c>
      <c r="J165" s="56">
        <v>33513232.5</v>
      </c>
      <c r="K165" s="56">
        <v>33513232.5</v>
      </c>
      <c r="L165" s="56">
        <v>0</v>
      </c>
      <c r="M165" s="56">
        <v>0</v>
      </c>
      <c r="N165" s="44">
        <f t="shared" si="36"/>
        <v>0</v>
      </c>
      <c r="O165" s="45">
        <f t="shared" si="31"/>
        <v>0</v>
      </c>
      <c r="P165" s="43">
        <v>33513232.5</v>
      </c>
      <c r="Q165" s="45">
        <f t="shared" si="25"/>
        <v>0</v>
      </c>
      <c r="R165" s="43">
        <v>33513232.5</v>
      </c>
      <c r="S165" s="30">
        <f t="shared" si="35"/>
        <v>33513232.5</v>
      </c>
      <c r="T165" s="30">
        <f t="shared" si="35"/>
        <v>33513232.5</v>
      </c>
      <c r="U165" s="30">
        <f>T165/X165</f>
        <v>22.11</v>
      </c>
      <c r="V165" s="43">
        <f>T165/X165</f>
        <v>22.11</v>
      </c>
      <c r="W165" s="43" t="e">
        <f t="shared" si="27"/>
        <v>#VALUE!</v>
      </c>
      <c r="X165" s="43">
        <f t="shared" si="30"/>
        <v>1515750</v>
      </c>
      <c r="Y165" s="43">
        <f>281500+1234250</f>
        <v>1515750</v>
      </c>
      <c r="Z165" s="43">
        <v>0</v>
      </c>
      <c r="AA165" s="43">
        <v>0</v>
      </c>
      <c r="AB165" s="43">
        <v>281500</v>
      </c>
      <c r="AC165" s="43">
        <f t="shared" si="28"/>
        <v>6223965</v>
      </c>
      <c r="AD165" s="43">
        <v>1234250</v>
      </c>
      <c r="AE165" s="43">
        <f t="shared" si="29"/>
        <v>27289267.5</v>
      </c>
      <c r="AF165" s="43" t="e">
        <f t="shared" si="32"/>
        <v>#VALUE!</v>
      </c>
      <c r="AG165" s="43" t="e">
        <f t="shared" si="33"/>
        <v>#VALUE!</v>
      </c>
      <c r="AH165" s="38">
        <v>45352</v>
      </c>
      <c r="AI165" s="38"/>
      <c r="AJ165" s="38"/>
      <c r="AK165" s="38">
        <v>45383</v>
      </c>
      <c r="AL165" s="38"/>
      <c r="AM165" s="48"/>
      <c r="AN165" s="42"/>
      <c r="AO165" s="42" t="s">
        <v>1233</v>
      </c>
      <c r="AP165" s="42" t="s">
        <v>1234</v>
      </c>
      <c r="AQ165" s="42" t="s">
        <v>1235</v>
      </c>
      <c r="AR165" s="42" t="s">
        <v>82</v>
      </c>
      <c r="AS165" s="50">
        <v>100</v>
      </c>
      <c r="AT165" s="39">
        <v>0</v>
      </c>
      <c r="AU165" s="39" t="s">
        <v>389</v>
      </c>
      <c r="AV165" s="53" t="s">
        <v>1221</v>
      </c>
      <c r="AW165" s="39" t="s">
        <v>62</v>
      </c>
      <c r="AX165" s="39">
        <v>10</v>
      </c>
      <c r="AY165" s="30">
        <f>(J165*10)/100</f>
        <v>3351323.25</v>
      </c>
      <c r="AZ165" s="42" t="s">
        <v>405</v>
      </c>
    </row>
    <row r="166" spans="1:52" ht="58.5" customHeight="1" x14ac:dyDescent="0.25">
      <c r="A166" s="46" t="s">
        <v>1236</v>
      </c>
      <c r="B166" s="48">
        <v>45287</v>
      </c>
      <c r="C166" s="42">
        <v>1416</v>
      </c>
      <c r="D166" s="37" t="s">
        <v>1237</v>
      </c>
      <c r="E166" s="41" t="s">
        <v>1238</v>
      </c>
      <c r="F166" s="38">
        <v>45317</v>
      </c>
      <c r="G166" s="39" t="s">
        <v>1239</v>
      </c>
      <c r="H166" s="42" t="s">
        <v>141</v>
      </c>
      <c r="I166" s="42" t="s">
        <v>1240</v>
      </c>
      <c r="J166" s="56">
        <v>7338720.4000000004</v>
      </c>
      <c r="K166" s="56">
        <v>7338720.4000000004</v>
      </c>
      <c r="L166" s="56">
        <v>0</v>
      </c>
      <c r="M166" s="56">
        <v>0</v>
      </c>
      <c r="N166" s="44">
        <f t="shared" si="36"/>
        <v>0</v>
      </c>
      <c r="O166" s="45">
        <f t="shared" si="31"/>
        <v>0</v>
      </c>
      <c r="P166" s="43">
        <v>7338720.4000000004</v>
      </c>
      <c r="Q166" s="45">
        <f t="shared" si="25"/>
        <v>0</v>
      </c>
      <c r="R166" s="43">
        <v>7338720.4000000004</v>
      </c>
      <c r="S166" s="30">
        <f t="shared" si="35"/>
        <v>7338720.4000000004</v>
      </c>
      <c r="T166" s="30">
        <f t="shared" si="35"/>
        <v>7338720.4000000004</v>
      </c>
      <c r="U166" s="30">
        <f>T166/X166</f>
        <v>14446.300000000001</v>
      </c>
      <c r="V166" s="43">
        <f>T166/X166</f>
        <v>14446.300000000001</v>
      </c>
      <c r="W166" s="43">
        <f t="shared" si="27"/>
        <v>14446.300000000001</v>
      </c>
      <c r="X166" s="43">
        <f t="shared" si="30"/>
        <v>508</v>
      </c>
      <c r="Y166" s="43">
        <f>4+504</f>
        <v>508</v>
      </c>
      <c r="Z166" s="43">
        <v>0</v>
      </c>
      <c r="AA166" s="43">
        <v>0</v>
      </c>
      <c r="AB166" s="43">
        <v>4</v>
      </c>
      <c r="AC166" s="43">
        <f t="shared" si="28"/>
        <v>57785.200000000004</v>
      </c>
      <c r="AD166" s="43">
        <v>504</v>
      </c>
      <c r="AE166" s="43">
        <f t="shared" si="29"/>
        <v>7280935.2000000002</v>
      </c>
      <c r="AF166" s="43">
        <f t="shared" si="32"/>
        <v>508</v>
      </c>
      <c r="AG166" s="43">
        <f t="shared" si="33"/>
        <v>508</v>
      </c>
      <c r="AH166" s="38">
        <v>45383</v>
      </c>
      <c r="AI166" s="38"/>
      <c r="AJ166" s="38"/>
      <c r="AK166" s="38">
        <v>45413</v>
      </c>
      <c r="AL166" s="38"/>
      <c r="AM166" s="48"/>
      <c r="AN166" s="42"/>
      <c r="AO166" s="42" t="s">
        <v>1209</v>
      </c>
      <c r="AP166" s="42" t="s">
        <v>1241</v>
      </c>
      <c r="AQ166" s="42" t="s">
        <v>1211</v>
      </c>
      <c r="AR166" s="42" t="s">
        <v>94</v>
      </c>
      <c r="AS166" s="50">
        <v>0</v>
      </c>
      <c r="AT166" s="39">
        <v>100</v>
      </c>
      <c r="AU166" s="39" t="s">
        <v>389</v>
      </c>
      <c r="AV166" s="49">
        <v>1</v>
      </c>
      <c r="AW166" s="39" t="s">
        <v>62</v>
      </c>
      <c r="AX166" s="39">
        <v>10</v>
      </c>
      <c r="AY166" s="30">
        <f>(J166*10)/100</f>
        <v>733872.04</v>
      </c>
      <c r="AZ166" s="42" t="s">
        <v>405</v>
      </c>
    </row>
    <row r="167" spans="1:52" ht="58.5" customHeight="1" x14ac:dyDescent="0.25">
      <c r="A167" s="46" t="s">
        <v>1242</v>
      </c>
      <c r="B167" s="48">
        <v>45287</v>
      </c>
      <c r="C167" s="42">
        <v>1416</v>
      </c>
      <c r="D167" s="37" t="s">
        <v>1243</v>
      </c>
      <c r="E167" s="41" t="s">
        <v>1244</v>
      </c>
      <c r="F167" s="38">
        <v>45320</v>
      </c>
      <c r="G167" s="39" t="s">
        <v>1245</v>
      </c>
      <c r="H167" s="42" t="s">
        <v>88</v>
      </c>
      <c r="I167" s="42" t="s">
        <v>1246</v>
      </c>
      <c r="J167" s="56">
        <v>28214993.25</v>
      </c>
      <c r="K167" s="56">
        <v>28214993.25</v>
      </c>
      <c r="L167" s="56">
        <v>0</v>
      </c>
      <c r="M167" s="56">
        <v>0</v>
      </c>
      <c r="N167" s="44">
        <f t="shared" si="36"/>
        <v>0</v>
      </c>
      <c r="O167" s="45">
        <f t="shared" si="31"/>
        <v>0</v>
      </c>
      <c r="P167" s="43">
        <v>28214993.25</v>
      </c>
      <c r="Q167" s="45">
        <f t="shared" si="25"/>
        <v>0</v>
      </c>
      <c r="R167" s="43">
        <v>28214993.25</v>
      </c>
      <c r="S167" s="30">
        <f t="shared" si="35"/>
        <v>28214993.25</v>
      </c>
      <c r="T167" s="30">
        <f t="shared" si="35"/>
        <v>28214993.25</v>
      </c>
      <c r="U167" s="30">
        <f>T167/X167</f>
        <v>69666.649999999994</v>
      </c>
      <c r="V167" s="43">
        <f>T167/X167</f>
        <v>69666.649999999994</v>
      </c>
      <c r="W167" s="43">
        <f t="shared" si="27"/>
        <v>208999.94999999998</v>
      </c>
      <c r="X167" s="43">
        <f t="shared" si="30"/>
        <v>405</v>
      </c>
      <c r="Y167" s="43">
        <v>405</v>
      </c>
      <c r="Z167" s="43">
        <v>0</v>
      </c>
      <c r="AA167" s="43">
        <v>0</v>
      </c>
      <c r="AB167" s="43">
        <v>0</v>
      </c>
      <c r="AC167" s="43">
        <f t="shared" si="28"/>
        <v>0</v>
      </c>
      <c r="AD167" s="43">
        <v>405</v>
      </c>
      <c r="AE167" s="43">
        <f t="shared" si="29"/>
        <v>28214993.249999996</v>
      </c>
      <c r="AF167" s="43">
        <f t="shared" si="32"/>
        <v>135</v>
      </c>
      <c r="AG167" s="43">
        <f t="shared" si="33"/>
        <v>135</v>
      </c>
      <c r="AH167" s="38">
        <v>45352</v>
      </c>
      <c r="AI167" s="38"/>
      <c r="AJ167" s="38"/>
      <c r="AK167" s="38">
        <v>45383</v>
      </c>
      <c r="AL167" s="38"/>
      <c r="AM167" s="48"/>
      <c r="AN167" s="42"/>
      <c r="AO167" s="42" t="s">
        <v>1247</v>
      </c>
      <c r="AP167" s="42" t="s">
        <v>1248</v>
      </c>
      <c r="AQ167" s="42" t="s">
        <v>1249</v>
      </c>
      <c r="AR167" s="42" t="s">
        <v>94</v>
      </c>
      <c r="AS167" s="50">
        <v>0</v>
      </c>
      <c r="AT167" s="39">
        <v>100</v>
      </c>
      <c r="AU167" s="39" t="s">
        <v>389</v>
      </c>
      <c r="AV167" s="49">
        <v>3</v>
      </c>
      <c r="AW167" s="39" t="s">
        <v>62</v>
      </c>
      <c r="AX167" s="39">
        <v>10</v>
      </c>
      <c r="AY167" s="30">
        <f>(J167*10)/100</f>
        <v>2821499.3250000002</v>
      </c>
      <c r="AZ167" s="42" t="s">
        <v>405</v>
      </c>
    </row>
    <row r="168" spans="1:52" ht="58.5" customHeight="1" x14ac:dyDescent="0.25">
      <c r="A168" s="46" t="s">
        <v>1250</v>
      </c>
      <c r="B168" s="48">
        <v>45287</v>
      </c>
      <c r="C168" s="42">
        <v>1416</v>
      </c>
      <c r="D168" s="37" t="s">
        <v>434</v>
      </c>
      <c r="E168" s="41" t="s">
        <v>1251</v>
      </c>
      <c r="F168" s="38" t="s">
        <v>434</v>
      </c>
      <c r="G168" s="39" t="s">
        <v>434</v>
      </c>
      <c r="H168" s="42" t="s">
        <v>434</v>
      </c>
      <c r="I168" s="42" t="s">
        <v>1252</v>
      </c>
      <c r="J168" s="56">
        <v>5281557.5</v>
      </c>
      <c r="K168" s="56">
        <v>5281557.5</v>
      </c>
      <c r="L168" s="56"/>
      <c r="M168" s="56"/>
      <c r="N168" s="44">
        <f t="shared" si="36"/>
        <v>100</v>
      </c>
      <c r="O168" s="45">
        <f t="shared" si="31"/>
        <v>5281557.5</v>
      </c>
      <c r="P168" s="43"/>
      <c r="Q168" s="45">
        <f t="shared" si="25"/>
        <v>5281557.5</v>
      </c>
      <c r="R168" s="43">
        <v>0</v>
      </c>
      <c r="S168" s="30">
        <f t="shared" si="35"/>
        <v>0</v>
      </c>
      <c r="T168" s="30">
        <f t="shared" si="35"/>
        <v>0</v>
      </c>
      <c r="U168" s="30" t="e">
        <f>T168/X168</f>
        <v>#DIV/0!</v>
      </c>
      <c r="V168" s="43" t="e">
        <f>T168/X168</f>
        <v>#DIV/0!</v>
      </c>
      <c r="W168" s="43" t="e">
        <f t="shared" si="27"/>
        <v>#DIV/0!</v>
      </c>
      <c r="X168" s="43">
        <f t="shared" si="30"/>
        <v>0</v>
      </c>
      <c r="Y168" s="43">
        <v>0</v>
      </c>
      <c r="Z168" s="43">
        <v>0</v>
      </c>
      <c r="AA168" s="43">
        <v>0</v>
      </c>
      <c r="AB168" s="43"/>
      <c r="AC168" s="43" t="e">
        <f t="shared" si="28"/>
        <v>#DIV/0!</v>
      </c>
      <c r="AD168" s="43"/>
      <c r="AE168" s="43" t="e">
        <f t="shared" si="29"/>
        <v>#DIV/0!</v>
      </c>
      <c r="AF168" s="43" t="e">
        <f t="shared" si="32"/>
        <v>#DIV/0!</v>
      </c>
      <c r="AG168" s="43" t="e">
        <f t="shared" si="33"/>
        <v>#DIV/0!</v>
      </c>
      <c r="AH168" s="38">
        <v>45352</v>
      </c>
      <c r="AI168" s="38"/>
      <c r="AJ168" s="38"/>
      <c r="AK168" s="38"/>
      <c r="AL168" s="38"/>
      <c r="AM168" s="48"/>
      <c r="AN168" s="42"/>
      <c r="AO168" s="42"/>
      <c r="AP168" s="42"/>
      <c r="AQ168" s="42"/>
      <c r="AR168" s="42"/>
      <c r="AS168" s="50"/>
      <c r="AT168" s="39"/>
      <c r="AU168" s="39"/>
      <c r="AV168" s="49"/>
      <c r="AW168" s="39"/>
      <c r="AX168" s="39">
        <v>10</v>
      </c>
      <c r="AY168" s="30">
        <f>(J168*10)/100</f>
        <v>528155.75</v>
      </c>
      <c r="AZ168" s="42" t="s">
        <v>434</v>
      </c>
    </row>
    <row r="169" spans="1:52" ht="58.5" customHeight="1" x14ac:dyDescent="0.25">
      <c r="A169" s="46" t="s">
        <v>1253</v>
      </c>
      <c r="B169" s="48">
        <v>45287</v>
      </c>
      <c r="C169" s="42" t="s">
        <v>435</v>
      </c>
      <c r="D169" s="37" t="s">
        <v>1254</v>
      </c>
      <c r="E169" s="41" t="s">
        <v>1255</v>
      </c>
      <c r="F169" s="38">
        <v>45317</v>
      </c>
      <c r="G169" s="39" t="s">
        <v>1256</v>
      </c>
      <c r="H169" s="42" t="s">
        <v>226</v>
      </c>
      <c r="I169" s="42" t="s">
        <v>494</v>
      </c>
      <c r="J169" s="56">
        <v>64380912</v>
      </c>
      <c r="K169" s="56">
        <v>64380912</v>
      </c>
      <c r="L169" s="56">
        <v>0</v>
      </c>
      <c r="M169" s="56">
        <v>0</v>
      </c>
      <c r="N169" s="44">
        <f t="shared" si="36"/>
        <v>0</v>
      </c>
      <c r="O169" s="45">
        <f t="shared" si="31"/>
        <v>0</v>
      </c>
      <c r="P169" s="43">
        <v>64380912</v>
      </c>
      <c r="Q169" s="45">
        <f t="shared" si="25"/>
        <v>0</v>
      </c>
      <c r="R169" s="43">
        <v>64380912</v>
      </c>
      <c r="S169" s="30">
        <f t="shared" si="35"/>
        <v>64380912</v>
      </c>
      <c r="T169" s="30">
        <f t="shared" si="35"/>
        <v>64380912</v>
      </c>
      <c r="U169" s="30">
        <f>T169/X169</f>
        <v>17.3</v>
      </c>
      <c r="V169" s="43">
        <f>T169/X169</f>
        <v>17.3</v>
      </c>
      <c r="W169" s="43">
        <f t="shared" si="27"/>
        <v>1038</v>
      </c>
      <c r="X169" s="43">
        <f t="shared" si="30"/>
        <v>3721440</v>
      </c>
      <c r="Y169" s="43">
        <v>3721440</v>
      </c>
      <c r="Z169" s="43">
        <v>0</v>
      </c>
      <c r="AA169" s="43">
        <v>0</v>
      </c>
      <c r="AB169" s="43">
        <v>0</v>
      </c>
      <c r="AC169" s="43">
        <f t="shared" si="28"/>
        <v>0</v>
      </c>
      <c r="AD169" s="43">
        <v>0</v>
      </c>
      <c r="AE169" s="43">
        <f t="shared" si="29"/>
        <v>0</v>
      </c>
      <c r="AF169" s="43">
        <f t="shared" si="32"/>
        <v>62024</v>
      </c>
      <c r="AG169" s="43">
        <f t="shared" si="33"/>
        <v>62024</v>
      </c>
      <c r="AH169" s="38">
        <v>45382</v>
      </c>
      <c r="AI169" s="38"/>
      <c r="AJ169" s="38"/>
      <c r="AK169" s="38">
        <v>45413</v>
      </c>
      <c r="AL169" s="38"/>
      <c r="AM169" s="48"/>
      <c r="AN169" s="42"/>
      <c r="AO169" s="42" t="s">
        <v>1257</v>
      </c>
      <c r="AP169" s="42" t="s">
        <v>1258</v>
      </c>
      <c r="AQ169" s="42" t="s">
        <v>1259</v>
      </c>
      <c r="AR169" s="42" t="s">
        <v>82</v>
      </c>
      <c r="AS169" s="50">
        <v>100</v>
      </c>
      <c r="AT169" s="39">
        <v>0</v>
      </c>
      <c r="AU169" s="39" t="s">
        <v>389</v>
      </c>
      <c r="AV169" s="49">
        <v>60</v>
      </c>
      <c r="AW169" s="39" t="s">
        <v>62</v>
      </c>
      <c r="AX169" s="39">
        <v>10</v>
      </c>
      <c r="AY169" s="30">
        <f>(J169*10)/100</f>
        <v>6438091.2000000002</v>
      </c>
      <c r="AZ169" s="42" t="s">
        <v>405</v>
      </c>
    </row>
    <row r="170" spans="1:52" ht="58.5" customHeight="1" x14ac:dyDescent="0.25">
      <c r="A170" s="46" t="s">
        <v>1260</v>
      </c>
      <c r="B170" s="48">
        <v>45287</v>
      </c>
      <c r="C170" s="42" t="s">
        <v>435</v>
      </c>
      <c r="D170" s="37" t="s">
        <v>1261</v>
      </c>
      <c r="E170" s="41" t="s">
        <v>1262</v>
      </c>
      <c r="F170" s="38">
        <v>45317</v>
      </c>
      <c r="G170" s="39" t="s">
        <v>1263</v>
      </c>
      <c r="H170" s="42" t="s">
        <v>226</v>
      </c>
      <c r="I170" s="42" t="s">
        <v>1264</v>
      </c>
      <c r="J170" s="56">
        <v>18012532.800000001</v>
      </c>
      <c r="K170" s="56">
        <v>18012532.800000001</v>
      </c>
      <c r="L170" s="56">
        <v>0</v>
      </c>
      <c r="M170" s="56">
        <v>0</v>
      </c>
      <c r="N170" s="44">
        <f t="shared" si="36"/>
        <v>0</v>
      </c>
      <c r="O170" s="45">
        <f t="shared" si="31"/>
        <v>0</v>
      </c>
      <c r="P170" s="43">
        <v>18012532.800000001</v>
      </c>
      <c r="Q170" s="45">
        <f t="shared" si="25"/>
        <v>0</v>
      </c>
      <c r="R170" s="43">
        <v>18012532.800000001</v>
      </c>
      <c r="S170" s="30">
        <f t="shared" si="35"/>
        <v>18012532.800000001</v>
      </c>
      <c r="T170" s="30">
        <f t="shared" si="35"/>
        <v>18012532.800000001</v>
      </c>
      <c r="U170" s="30">
        <f>T170/X170</f>
        <v>110.86</v>
      </c>
      <c r="V170" s="43">
        <f>T170/X170</f>
        <v>110.86</v>
      </c>
      <c r="W170" s="43">
        <f t="shared" si="27"/>
        <v>13303.2</v>
      </c>
      <c r="X170" s="43">
        <f t="shared" si="30"/>
        <v>162480</v>
      </c>
      <c r="Y170" s="43">
        <v>162480</v>
      </c>
      <c r="Z170" s="43">
        <v>0</v>
      </c>
      <c r="AA170" s="43">
        <v>0</v>
      </c>
      <c r="AB170" s="43">
        <v>0</v>
      </c>
      <c r="AC170" s="43">
        <f t="shared" si="28"/>
        <v>0</v>
      </c>
      <c r="AD170" s="43">
        <v>0</v>
      </c>
      <c r="AE170" s="43">
        <f t="shared" si="29"/>
        <v>0</v>
      </c>
      <c r="AF170" s="43">
        <f t="shared" si="32"/>
        <v>1354</v>
      </c>
      <c r="AG170" s="43">
        <f t="shared" si="33"/>
        <v>1354</v>
      </c>
      <c r="AH170" s="38">
        <v>45383</v>
      </c>
      <c r="AI170" s="38"/>
      <c r="AJ170" s="38"/>
      <c r="AK170" s="38">
        <v>45413</v>
      </c>
      <c r="AL170" s="38"/>
      <c r="AM170" s="48"/>
      <c r="AN170" s="42"/>
      <c r="AO170" s="42" t="s">
        <v>1265</v>
      </c>
      <c r="AP170" s="42" t="s">
        <v>1266</v>
      </c>
      <c r="AQ170" s="42" t="s">
        <v>1267</v>
      </c>
      <c r="AR170" s="42" t="s">
        <v>82</v>
      </c>
      <c r="AS170" s="50">
        <v>100</v>
      </c>
      <c r="AT170" s="39">
        <v>0</v>
      </c>
      <c r="AU170" s="39" t="s">
        <v>389</v>
      </c>
      <c r="AV170" s="49">
        <v>120</v>
      </c>
      <c r="AW170" s="39" t="s">
        <v>62</v>
      </c>
      <c r="AX170" s="39">
        <v>10</v>
      </c>
      <c r="AY170" s="30">
        <f>(J170*10)/100</f>
        <v>1801253.28</v>
      </c>
      <c r="AZ170" s="42" t="s">
        <v>405</v>
      </c>
    </row>
    <row r="171" spans="1:52" ht="58.5" customHeight="1" x14ac:dyDescent="0.25">
      <c r="A171" s="46" t="s">
        <v>1268</v>
      </c>
      <c r="B171" s="48">
        <v>45287</v>
      </c>
      <c r="C171" s="42" t="s">
        <v>435</v>
      </c>
      <c r="D171" s="37" t="s">
        <v>1269</v>
      </c>
      <c r="E171" s="41" t="s">
        <v>1270</v>
      </c>
      <c r="F171" s="38" t="s">
        <v>1269</v>
      </c>
      <c r="G171" s="39" t="s">
        <v>1269</v>
      </c>
      <c r="H171" s="39" t="s">
        <v>1269</v>
      </c>
      <c r="I171" s="42" t="s">
        <v>1271</v>
      </c>
      <c r="J171" s="56">
        <v>7038016</v>
      </c>
      <c r="K171" s="56">
        <v>7038016</v>
      </c>
      <c r="L171" s="56"/>
      <c r="M171" s="56"/>
      <c r="N171" s="44">
        <f t="shared" si="36"/>
        <v>100</v>
      </c>
      <c r="O171" s="45">
        <f t="shared" si="31"/>
        <v>7038016</v>
      </c>
      <c r="P171" s="43"/>
      <c r="Q171" s="45">
        <f t="shared" si="25"/>
        <v>7038016</v>
      </c>
      <c r="R171" s="43">
        <v>0</v>
      </c>
      <c r="S171" s="30">
        <f t="shared" si="35"/>
        <v>0</v>
      </c>
      <c r="T171" s="30">
        <f t="shared" si="35"/>
        <v>0</v>
      </c>
      <c r="U171" s="30" t="e">
        <f>T171/X171</f>
        <v>#DIV/0!</v>
      </c>
      <c r="V171" s="43" t="e">
        <f>T171/X171</f>
        <v>#DIV/0!</v>
      </c>
      <c r="W171" s="43" t="e">
        <f t="shared" si="27"/>
        <v>#DIV/0!</v>
      </c>
      <c r="X171" s="43">
        <f t="shared" si="30"/>
        <v>0</v>
      </c>
      <c r="Y171" s="43">
        <v>0</v>
      </c>
      <c r="Z171" s="43">
        <v>0</v>
      </c>
      <c r="AA171" s="43">
        <v>0</v>
      </c>
      <c r="AB171" s="43"/>
      <c r="AC171" s="43" t="e">
        <f t="shared" si="28"/>
        <v>#DIV/0!</v>
      </c>
      <c r="AD171" s="43"/>
      <c r="AE171" s="43" t="e">
        <f t="shared" si="29"/>
        <v>#DIV/0!</v>
      </c>
      <c r="AF171" s="43" t="e">
        <f t="shared" si="32"/>
        <v>#DIV/0!</v>
      </c>
      <c r="AG171" s="43" t="e">
        <f t="shared" si="33"/>
        <v>#DIV/0!</v>
      </c>
      <c r="AH171" s="38">
        <v>45337</v>
      </c>
      <c r="AI171" s="38"/>
      <c r="AJ171" s="38"/>
      <c r="AK171" s="38"/>
      <c r="AL171" s="38"/>
      <c r="AM171" s="48"/>
      <c r="AN171" s="42"/>
      <c r="AO171" s="42"/>
      <c r="AP171" s="42"/>
      <c r="AQ171" s="42"/>
      <c r="AR171" s="42"/>
      <c r="AS171" s="50"/>
      <c r="AT171" s="39"/>
      <c r="AU171" s="39"/>
      <c r="AV171" s="49"/>
      <c r="AW171" s="39"/>
      <c r="AX171" s="39">
        <v>10</v>
      </c>
      <c r="AY171" s="30">
        <f>(J171*10)/100</f>
        <v>703801.6</v>
      </c>
      <c r="AZ171" s="39" t="s">
        <v>1269</v>
      </c>
    </row>
    <row r="172" spans="1:52" ht="58.5" customHeight="1" x14ac:dyDescent="0.25">
      <c r="A172" s="46" t="s">
        <v>1272</v>
      </c>
      <c r="B172" s="48">
        <v>45287</v>
      </c>
      <c r="C172" s="42" t="s">
        <v>435</v>
      </c>
      <c r="D172" s="37" t="s">
        <v>434</v>
      </c>
      <c r="E172" s="41" t="s">
        <v>1273</v>
      </c>
      <c r="F172" s="38" t="s">
        <v>434</v>
      </c>
      <c r="G172" s="39" t="s">
        <v>434</v>
      </c>
      <c r="H172" s="42" t="s">
        <v>434</v>
      </c>
      <c r="I172" s="42" t="s">
        <v>1274</v>
      </c>
      <c r="J172" s="56">
        <v>2030112</v>
      </c>
      <c r="K172" s="56">
        <v>2030112</v>
      </c>
      <c r="L172" s="56"/>
      <c r="M172" s="56"/>
      <c r="N172" s="44">
        <f t="shared" si="36"/>
        <v>100</v>
      </c>
      <c r="O172" s="45">
        <f t="shared" si="31"/>
        <v>2030112</v>
      </c>
      <c r="P172" s="43"/>
      <c r="Q172" s="45">
        <f t="shared" si="25"/>
        <v>2030112</v>
      </c>
      <c r="R172" s="43">
        <v>0</v>
      </c>
      <c r="S172" s="30">
        <f t="shared" si="35"/>
        <v>0</v>
      </c>
      <c r="T172" s="30">
        <f t="shared" si="35"/>
        <v>0</v>
      </c>
      <c r="U172" s="30" t="e">
        <f>T172/X172</f>
        <v>#DIV/0!</v>
      </c>
      <c r="V172" s="43" t="e">
        <f>T172/X172</f>
        <v>#DIV/0!</v>
      </c>
      <c r="W172" s="43" t="e">
        <f t="shared" si="27"/>
        <v>#DIV/0!</v>
      </c>
      <c r="X172" s="43">
        <f t="shared" si="30"/>
        <v>0</v>
      </c>
      <c r="Y172" s="43">
        <v>0</v>
      </c>
      <c r="Z172" s="43">
        <v>0</v>
      </c>
      <c r="AA172" s="43">
        <v>0</v>
      </c>
      <c r="AB172" s="43"/>
      <c r="AC172" s="43" t="e">
        <f t="shared" si="28"/>
        <v>#DIV/0!</v>
      </c>
      <c r="AD172" s="43"/>
      <c r="AE172" s="43" t="e">
        <f t="shared" si="29"/>
        <v>#DIV/0!</v>
      </c>
      <c r="AF172" s="43" t="e">
        <f t="shared" si="32"/>
        <v>#DIV/0!</v>
      </c>
      <c r="AG172" s="43" t="e">
        <f t="shared" si="33"/>
        <v>#DIV/0!</v>
      </c>
      <c r="AH172" s="38">
        <v>45383</v>
      </c>
      <c r="AI172" s="38"/>
      <c r="AJ172" s="38"/>
      <c r="AK172" s="38"/>
      <c r="AL172" s="38"/>
      <c r="AM172" s="48"/>
      <c r="AN172" s="42"/>
      <c r="AO172" s="42"/>
      <c r="AP172" s="42"/>
      <c r="AQ172" s="42"/>
      <c r="AR172" s="42"/>
      <c r="AS172" s="50"/>
      <c r="AT172" s="39"/>
      <c r="AU172" s="39"/>
      <c r="AV172" s="49"/>
      <c r="AW172" s="39"/>
      <c r="AX172" s="39">
        <v>10</v>
      </c>
      <c r="AY172" s="30">
        <f>(J172*10)/100</f>
        <v>203011.20000000001</v>
      </c>
      <c r="AZ172" s="42" t="s">
        <v>434</v>
      </c>
    </row>
    <row r="173" spans="1:52" ht="58.5" customHeight="1" x14ac:dyDescent="0.25">
      <c r="A173" s="46" t="s">
        <v>1275</v>
      </c>
      <c r="B173" s="48">
        <v>45287</v>
      </c>
      <c r="C173" s="42">
        <v>545</v>
      </c>
      <c r="D173" s="37" t="s">
        <v>1276</v>
      </c>
      <c r="E173" s="41" t="s">
        <v>1277</v>
      </c>
      <c r="F173" s="38">
        <v>45320</v>
      </c>
      <c r="G173" s="39" t="s">
        <v>1278</v>
      </c>
      <c r="H173" s="42" t="s">
        <v>54</v>
      </c>
      <c r="I173" s="42" t="s">
        <v>1279</v>
      </c>
      <c r="J173" s="56">
        <v>9071705.1600000001</v>
      </c>
      <c r="K173" s="56">
        <v>9071705.1600000001</v>
      </c>
      <c r="L173" s="56">
        <v>0</v>
      </c>
      <c r="M173" s="56">
        <v>0</v>
      </c>
      <c r="N173" s="44">
        <f t="shared" si="36"/>
        <v>0</v>
      </c>
      <c r="O173" s="45">
        <f t="shared" si="31"/>
        <v>0</v>
      </c>
      <c r="P173" s="43">
        <v>9071705.1600000001</v>
      </c>
      <c r="Q173" s="45">
        <f t="shared" si="25"/>
        <v>0</v>
      </c>
      <c r="R173" s="43">
        <v>9071705.1600000001</v>
      </c>
      <c r="S173" s="30">
        <v>11663620.92</v>
      </c>
      <c r="T173" s="30">
        <f t="shared" ref="T173:T178" si="37">S173</f>
        <v>11663620.92</v>
      </c>
      <c r="U173" s="30">
        <f>T173/X173</f>
        <v>2204.0099999999998</v>
      </c>
      <c r="V173" s="43">
        <f>T173/X173</f>
        <v>2204.0099999999998</v>
      </c>
      <c r="W173" s="43">
        <f t="shared" si="27"/>
        <v>185136.83999999997</v>
      </c>
      <c r="X173" s="43">
        <f t="shared" si="30"/>
        <v>5292</v>
      </c>
      <c r="Y173" s="43">
        <v>5292</v>
      </c>
      <c r="Z173" s="43">
        <v>0</v>
      </c>
      <c r="AA173" s="43">
        <v>0</v>
      </c>
      <c r="AB173" s="43">
        <v>0</v>
      </c>
      <c r="AC173" s="43">
        <f t="shared" si="28"/>
        <v>0</v>
      </c>
      <c r="AD173" s="43">
        <v>0</v>
      </c>
      <c r="AE173" s="43">
        <f t="shared" si="29"/>
        <v>0</v>
      </c>
      <c r="AF173" s="43">
        <f t="shared" si="32"/>
        <v>63</v>
      </c>
      <c r="AG173" s="43">
        <f t="shared" si="33"/>
        <v>63</v>
      </c>
      <c r="AH173" s="38">
        <v>45337</v>
      </c>
      <c r="AI173" s="38"/>
      <c r="AJ173" s="38"/>
      <c r="AK173" s="38">
        <v>45366</v>
      </c>
      <c r="AL173" s="38"/>
      <c r="AM173" s="48"/>
      <c r="AN173" s="42"/>
      <c r="AO173" s="42" t="s">
        <v>581</v>
      </c>
      <c r="AP173" s="42" t="s">
        <v>1280</v>
      </c>
      <c r="AQ173" s="42" t="s">
        <v>847</v>
      </c>
      <c r="AR173" s="42" t="s">
        <v>60</v>
      </c>
      <c r="AS173" s="50">
        <v>0</v>
      </c>
      <c r="AT173" s="39">
        <v>100</v>
      </c>
      <c r="AU173" s="39" t="s">
        <v>389</v>
      </c>
      <c r="AV173" s="49">
        <v>84</v>
      </c>
      <c r="AW173" s="39" t="s">
        <v>62</v>
      </c>
      <c r="AX173" s="39">
        <v>10</v>
      </c>
      <c r="AY173" s="30">
        <f>(J173*10)/100</f>
        <v>907170.51599999995</v>
      </c>
      <c r="AZ173" s="42" t="s">
        <v>405</v>
      </c>
    </row>
    <row r="174" spans="1:52" ht="58.5" customHeight="1" x14ac:dyDescent="0.25">
      <c r="A174" s="46" t="s">
        <v>1281</v>
      </c>
      <c r="B174" s="48">
        <v>45287</v>
      </c>
      <c r="C174" s="42" t="s">
        <v>435</v>
      </c>
      <c r="D174" s="37" t="s">
        <v>1282</v>
      </c>
      <c r="E174" s="41" t="s">
        <v>1283</v>
      </c>
      <c r="F174" s="38">
        <v>45317</v>
      </c>
      <c r="G174" s="39" t="s">
        <v>1284</v>
      </c>
      <c r="H174" s="42" t="s">
        <v>141</v>
      </c>
      <c r="I174" s="42" t="s">
        <v>1285</v>
      </c>
      <c r="J174" s="56">
        <v>253458935.40000001</v>
      </c>
      <c r="K174" s="56">
        <v>253458935.40000001</v>
      </c>
      <c r="L174" s="56">
        <v>0</v>
      </c>
      <c r="M174" s="56">
        <v>0</v>
      </c>
      <c r="N174" s="44">
        <f t="shared" si="36"/>
        <v>0</v>
      </c>
      <c r="O174" s="45">
        <f t="shared" si="31"/>
        <v>0</v>
      </c>
      <c r="P174" s="43">
        <v>253458935.40000001</v>
      </c>
      <c r="Q174" s="45">
        <f t="shared" si="25"/>
        <v>0</v>
      </c>
      <c r="R174" s="43">
        <v>253458935.40000001</v>
      </c>
      <c r="S174" s="30">
        <f>R174</f>
        <v>253458935.40000001</v>
      </c>
      <c r="T174" s="30">
        <f t="shared" si="37"/>
        <v>253458935.40000001</v>
      </c>
      <c r="U174" s="30">
        <f>T174/X174</f>
        <v>835.01</v>
      </c>
      <c r="V174" s="43">
        <f>T174/X174</f>
        <v>835.01</v>
      </c>
      <c r="W174" s="43">
        <f t="shared" si="27"/>
        <v>25050.3</v>
      </c>
      <c r="X174" s="43">
        <f t="shared" si="30"/>
        <v>303540</v>
      </c>
      <c r="Y174" s="43">
        <v>303540</v>
      </c>
      <c r="Z174" s="43">
        <v>0</v>
      </c>
      <c r="AA174" s="43">
        <v>0</v>
      </c>
      <c r="AB174" s="43">
        <v>0</v>
      </c>
      <c r="AC174" s="43">
        <f t="shared" si="28"/>
        <v>0</v>
      </c>
      <c r="AD174" s="43">
        <v>0</v>
      </c>
      <c r="AE174" s="43">
        <f t="shared" si="29"/>
        <v>0</v>
      </c>
      <c r="AF174" s="43">
        <f t="shared" si="32"/>
        <v>10118</v>
      </c>
      <c r="AG174" s="43">
        <f t="shared" si="33"/>
        <v>10118</v>
      </c>
      <c r="AH174" s="38">
        <v>45352</v>
      </c>
      <c r="AI174" s="38"/>
      <c r="AJ174" s="38"/>
      <c r="AK174" s="38">
        <v>45383</v>
      </c>
      <c r="AL174" s="38"/>
      <c r="AM174" s="48"/>
      <c r="AN174" s="42"/>
      <c r="AO174" s="42" t="s">
        <v>1286</v>
      </c>
      <c r="AP174" s="42" t="s">
        <v>1287</v>
      </c>
      <c r="AQ174" s="42" t="s">
        <v>1288</v>
      </c>
      <c r="AR174" s="42" t="s">
        <v>1289</v>
      </c>
      <c r="AS174" s="50">
        <v>0</v>
      </c>
      <c r="AT174" s="39">
        <v>100</v>
      </c>
      <c r="AU174" s="39" t="s">
        <v>389</v>
      </c>
      <c r="AV174" s="49">
        <v>30</v>
      </c>
      <c r="AW174" s="39" t="s">
        <v>62</v>
      </c>
      <c r="AX174" s="39">
        <v>10</v>
      </c>
      <c r="AY174" s="30">
        <f>(J174*10)/100</f>
        <v>25345893.539999999</v>
      </c>
      <c r="AZ174" s="42" t="s">
        <v>405</v>
      </c>
    </row>
    <row r="175" spans="1:52" ht="58.5" customHeight="1" x14ac:dyDescent="0.25">
      <c r="A175" s="46" t="s">
        <v>1290</v>
      </c>
      <c r="B175" s="48">
        <v>45287</v>
      </c>
      <c r="C175" s="42">
        <v>1416</v>
      </c>
      <c r="D175" s="37" t="s">
        <v>1291</v>
      </c>
      <c r="E175" s="41" t="s">
        <v>1292</v>
      </c>
      <c r="F175" s="38">
        <v>45322</v>
      </c>
      <c r="G175" s="39" t="s">
        <v>1293</v>
      </c>
      <c r="H175" s="42" t="s">
        <v>141</v>
      </c>
      <c r="I175" s="42" t="s">
        <v>884</v>
      </c>
      <c r="J175" s="56">
        <v>51629211.270000003</v>
      </c>
      <c r="K175" s="56">
        <v>51629211.270000003</v>
      </c>
      <c r="L175" s="56">
        <v>0</v>
      </c>
      <c r="M175" s="56">
        <v>0</v>
      </c>
      <c r="N175" s="44">
        <f t="shared" si="36"/>
        <v>0</v>
      </c>
      <c r="O175" s="45">
        <f t="shared" si="31"/>
        <v>0</v>
      </c>
      <c r="P175" s="43">
        <v>51629211.270000003</v>
      </c>
      <c r="Q175" s="45">
        <f t="shared" si="25"/>
        <v>0</v>
      </c>
      <c r="R175" s="56">
        <v>51629211.270000003</v>
      </c>
      <c r="S175" s="30">
        <v>51628919.939999998</v>
      </c>
      <c r="T175" s="30">
        <f t="shared" si="37"/>
        <v>51628919.939999998</v>
      </c>
      <c r="U175" s="30">
        <f>T175/X175</f>
        <v>8860.9</v>
      </c>
      <c r="V175" s="43">
        <f>T175/X175</f>
        <v>8860.9</v>
      </c>
      <c r="W175" s="43">
        <f t="shared" si="27"/>
        <v>103672.52999999998</v>
      </c>
      <c r="X175" s="43">
        <f t="shared" si="30"/>
        <v>5826.6</v>
      </c>
      <c r="Y175" s="43">
        <v>5826.6</v>
      </c>
      <c r="Z175" s="43">
        <v>0</v>
      </c>
      <c r="AA175" s="43">
        <v>0</v>
      </c>
      <c r="AB175" s="43">
        <v>0</v>
      </c>
      <c r="AC175" s="43">
        <f t="shared" si="28"/>
        <v>0</v>
      </c>
      <c r="AD175" s="43">
        <v>5826.6</v>
      </c>
      <c r="AE175" s="43">
        <f t="shared" si="29"/>
        <v>51628919.939999998</v>
      </c>
      <c r="AF175" s="43">
        <f t="shared" si="32"/>
        <v>498.00000000000006</v>
      </c>
      <c r="AG175" s="43">
        <f t="shared" si="33"/>
        <v>498</v>
      </c>
      <c r="AH175" s="38">
        <v>45412</v>
      </c>
      <c r="AI175" s="38"/>
      <c r="AJ175" s="38"/>
      <c r="AK175" s="38">
        <v>45444</v>
      </c>
      <c r="AL175" s="38"/>
      <c r="AM175" s="48"/>
      <c r="AN175" s="42"/>
      <c r="AO175" s="42" t="s">
        <v>1294</v>
      </c>
      <c r="AP175" s="42" t="s">
        <v>1295</v>
      </c>
      <c r="AQ175" s="42" t="s">
        <v>1296</v>
      </c>
      <c r="AR175" s="42" t="s">
        <v>295</v>
      </c>
      <c r="AS175" s="50">
        <v>0</v>
      </c>
      <c r="AT175" s="39">
        <v>100</v>
      </c>
      <c r="AU175" s="39" t="s">
        <v>83</v>
      </c>
      <c r="AV175" s="54">
        <v>11.7</v>
      </c>
      <c r="AW175" s="39" t="s">
        <v>62</v>
      </c>
      <c r="AX175" s="39">
        <v>10</v>
      </c>
      <c r="AY175" s="30">
        <f>(J175*10)/100</f>
        <v>5162921.1270000003</v>
      </c>
      <c r="AZ175" s="42" t="s">
        <v>405</v>
      </c>
    </row>
    <row r="176" spans="1:52" ht="58.5" customHeight="1" x14ac:dyDescent="0.25">
      <c r="A176" s="46" t="s">
        <v>1297</v>
      </c>
      <c r="B176" s="48">
        <v>45287</v>
      </c>
      <c r="C176" s="42">
        <v>1416</v>
      </c>
      <c r="D176" s="37" t="s">
        <v>1298</v>
      </c>
      <c r="E176" s="41" t="s">
        <v>1299</v>
      </c>
      <c r="F176" s="38">
        <v>45320</v>
      </c>
      <c r="G176" s="39" t="s">
        <v>1300</v>
      </c>
      <c r="H176" s="42" t="s">
        <v>88</v>
      </c>
      <c r="I176" s="42" t="s">
        <v>1301</v>
      </c>
      <c r="J176" s="56">
        <v>785003812.20000005</v>
      </c>
      <c r="K176" s="56">
        <v>785003812.20000005</v>
      </c>
      <c r="L176" s="56">
        <v>0</v>
      </c>
      <c r="M176" s="56">
        <v>0</v>
      </c>
      <c r="N176" s="44">
        <f t="shared" si="36"/>
        <v>0</v>
      </c>
      <c r="O176" s="45">
        <f t="shared" si="31"/>
        <v>0</v>
      </c>
      <c r="P176" s="43">
        <v>785003812.20000005</v>
      </c>
      <c r="Q176" s="45">
        <f t="shared" si="25"/>
        <v>0</v>
      </c>
      <c r="R176" s="43">
        <v>785003812.20000005</v>
      </c>
      <c r="S176" s="30">
        <f>R176</f>
        <v>785003812.20000005</v>
      </c>
      <c r="T176" s="30">
        <f t="shared" si="37"/>
        <v>785003812.20000005</v>
      </c>
      <c r="U176" s="30">
        <f>T176/X176</f>
        <v>69666.650000000009</v>
      </c>
      <c r="V176" s="43">
        <f>T176/X176</f>
        <v>69666.650000000009</v>
      </c>
      <c r="W176" s="43">
        <f t="shared" si="27"/>
        <v>208999.95</v>
      </c>
      <c r="X176" s="43">
        <f t="shared" si="30"/>
        <v>11268</v>
      </c>
      <c r="Y176" s="43">
        <v>11268</v>
      </c>
      <c r="Z176" s="43">
        <v>0</v>
      </c>
      <c r="AA176" s="43">
        <v>0</v>
      </c>
      <c r="AB176" s="43">
        <v>0</v>
      </c>
      <c r="AC176" s="43">
        <f t="shared" si="28"/>
        <v>0</v>
      </c>
      <c r="AD176" s="43">
        <v>11268</v>
      </c>
      <c r="AE176" s="43">
        <f t="shared" si="29"/>
        <v>785003812.20000005</v>
      </c>
      <c r="AF176" s="43">
        <f t="shared" si="32"/>
        <v>3756</v>
      </c>
      <c r="AG176" s="43">
        <f t="shared" si="33"/>
        <v>3756</v>
      </c>
      <c r="AH176" s="38">
        <v>45352</v>
      </c>
      <c r="AI176" s="38"/>
      <c r="AJ176" s="38"/>
      <c r="AK176" s="38">
        <v>45383</v>
      </c>
      <c r="AL176" s="38"/>
      <c r="AM176" s="48"/>
      <c r="AN176" s="42"/>
      <c r="AO176" s="42" t="s">
        <v>1247</v>
      </c>
      <c r="AP176" s="42" t="s">
        <v>1302</v>
      </c>
      <c r="AQ176" s="42" t="s">
        <v>1303</v>
      </c>
      <c r="AR176" s="42" t="s">
        <v>82</v>
      </c>
      <c r="AS176" s="50">
        <v>100</v>
      </c>
      <c r="AT176" s="39">
        <v>0</v>
      </c>
      <c r="AU176" s="39" t="s">
        <v>389</v>
      </c>
      <c r="AV176" s="49">
        <v>3</v>
      </c>
      <c r="AW176" s="39" t="s">
        <v>62</v>
      </c>
      <c r="AX176" s="39">
        <v>10</v>
      </c>
      <c r="AY176" s="30">
        <f>(J176*10)/100</f>
        <v>78500381.219999999</v>
      </c>
      <c r="AZ176" s="42" t="s">
        <v>405</v>
      </c>
    </row>
    <row r="177" spans="1:52" ht="58.5" customHeight="1" x14ac:dyDescent="0.25">
      <c r="A177" s="46" t="s">
        <v>1304</v>
      </c>
      <c r="B177" s="48">
        <v>45287</v>
      </c>
      <c r="C177" s="42" t="s">
        <v>435</v>
      </c>
      <c r="D177" s="37" t="s">
        <v>1305</v>
      </c>
      <c r="E177" s="41" t="s">
        <v>1306</v>
      </c>
      <c r="F177" s="38">
        <v>45320</v>
      </c>
      <c r="G177" s="39" t="s">
        <v>1307</v>
      </c>
      <c r="H177" s="42" t="s">
        <v>226</v>
      </c>
      <c r="I177" s="42" t="s">
        <v>1308</v>
      </c>
      <c r="J177" s="56">
        <v>2669581.2000000002</v>
      </c>
      <c r="K177" s="56">
        <v>2669581.2000000002</v>
      </c>
      <c r="L177" s="56">
        <v>0</v>
      </c>
      <c r="M177" s="56">
        <v>0</v>
      </c>
      <c r="N177" s="44">
        <f t="shared" si="36"/>
        <v>0</v>
      </c>
      <c r="O177" s="45">
        <f t="shared" si="31"/>
        <v>0</v>
      </c>
      <c r="P177" s="43">
        <v>2669581.2000000002</v>
      </c>
      <c r="Q177" s="45">
        <f t="shared" si="25"/>
        <v>0</v>
      </c>
      <c r="R177" s="43">
        <v>2669581.2000000002</v>
      </c>
      <c r="S177" s="30">
        <f>R177</f>
        <v>2669581.2000000002</v>
      </c>
      <c r="T177" s="30">
        <f t="shared" si="37"/>
        <v>2669581.2000000002</v>
      </c>
      <c r="U177" s="30">
        <f>T177/X177</f>
        <v>13.24</v>
      </c>
      <c r="V177" s="43">
        <f>T177/X177</f>
        <v>13.24</v>
      </c>
      <c r="W177" s="43">
        <f t="shared" si="27"/>
        <v>794.4</v>
      </c>
      <c r="X177" s="43">
        <f t="shared" si="30"/>
        <v>201630</v>
      </c>
      <c r="Y177" s="43">
        <v>201630</v>
      </c>
      <c r="Z177" s="43">
        <v>0</v>
      </c>
      <c r="AA177" s="43">
        <v>0</v>
      </c>
      <c r="AB177" s="43">
        <v>0</v>
      </c>
      <c r="AC177" s="43">
        <f t="shared" si="28"/>
        <v>0</v>
      </c>
      <c r="AD177" s="43">
        <v>0</v>
      </c>
      <c r="AE177" s="43">
        <f t="shared" si="29"/>
        <v>0</v>
      </c>
      <c r="AF177" s="43">
        <f t="shared" si="32"/>
        <v>3360.5</v>
      </c>
      <c r="AG177" s="43">
        <f t="shared" si="33"/>
        <v>3361</v>
      </c>
      <c r="AH177" s="38">
        <v>45382</v>
      </c>
      <c r="AI177" s="38"/>
      <c r="AJ177" s="38"/>
      <c r="AK177" s="38">
        <v>45413</v>
      </c>
      <c r="AL177" s="38"/>
      <c r="AM177" s="48"/>
      <c r="AN177" s="42"/>
      <c r="AO177" s="42" t="s">
        <v>1309</v>
      </c>
      <c r="AP177" s="42" t="s">
        <v>1310</v>
      </c>
      <c r="AQ177" s="42" t="s">
        <v>1311</v>
      </c>
      <c r="AR177" s="42" t="s">
        <v>82</v>
      </c>
      <c r="AS177" s="50">
        <v>100</v>
      </c>
      <c r="AT177" s="39">
        <v>0</v>
      </c>
      <c r="AU177" s="39" t="s">
        <v>389</v>
      </c>
      <c r="AV177" s="49">
        <v>60</v>
      </c>
      <c r="AW177" s="39" t="s">
        <v>62</v>
      </c>
      <c r="AX177" s="39">
        <v>10</v>
      </c>
      <c r="AY177" s="30">
        <f>(J177*10)/100</f>
        <v>266958.12</v>
      </c>
      <c r="AZ177" s="42" t="s">
        <v>405</v>
      </c>
    </row>
    <row r="178" spans="1:52" ht="58.5" customHeight="1" x14ac:dyDescent="0.25">
      <c r="A178" s="46" t="s">
        <v>1312</v>
      </c>
      <c r="B178" s="48">
        <v>45287</v>
      </c>
      <c r="C178" s="42" t="s">
        <v>435</v>
      </c>
      <c r="D178" s="37" t="s">
        <v>1269</v>
      </c>
      <c r="E178" s="41" t="s">
        <v>1313</v>
      </c>
      <c r="F178" s="38" t="s">
        <v>1269</v>
      </c>
      <c r="G178" s="39" t="s">
        <v>1269</v>
      </c>
      <c r="H178" s="42" t="s">
        <v>1269</v>
      </c>
      <c r="I178" s="42" t="s">
        <v>1314</v>
      </c>
      <c r="J178" s="56">
        <v>8321227.2000000002</v>
      </c>
      <c r="K178" s="56">
        <v>8321227.2000000002</v>
      </c>
      <c r="L178" s="56">
        <v>0</v>
      </c>
      <c r="M178" s="56">
        <v>0</v>
      </c>
      <c r="N178" s="44">
        <f t="shared" si="36"/>
        <v>100</v>
      </c>
      <c r="O178" s="45">
        <f t="shared" si="31"/>
        <v>8321227.2000000002</v>
      </c>
      <c r="P178" s="43"/>
      <c r="Q178" s="45">
        <f t="shared" si="25"/>
        <v>8321227.2000000002</v>
      </c>
      <c r="R178" s="43">
        <v>0</v>
      </c>
      <c r="S178" s="30">
        <f>R178</f>
        <v>0</v>
      </c>
      <c r="T178" s="30">
        <f t="shared" si="37"/>
        <v>0</v>
      </c>
      <c r="U178" s="30" t="e">
        <f>T178/X178</f>
        <v>#DIV/0!</v>
      </c>
      <c r="V178" s="43" t="e">
        <f>T178/X178</f>
        <v>#DIV/0!</v>
      </c>
      <c r="W178" s="43" t="e">
        <f t="shared" si="27"/>
        <v>#DIV/0!</v>
      </c>
      <c r="X178" s="43">
        <f t="shared" si="30"/>
        <v>0</v>
      </c>
      <c r="Y178" s="43">
        <v>0</v>
      </c>
      <c r="Z178" s="43">
        <v>0</v>
      </c>
      <c r="AA178" s="43">
        <v>0</v>
      </c>
      <c r="AB178" s="43"/>
      <c r="AC178" s="43" t="e">
        <f t="shared" si="28"/>
        <v>#DIV/0!</v>
      </c>
      <c r="AD178" s="43"/>
      <c r="AE178" s="43" t="e">
        <f t="shared" si="29"/>
        <v>#DIV/0!</v>
      </c>
      <c r="AF178" s="43" t="e">
        <f t="shared" si="32"/>
        <v>#DIV/0!</v>
      </c>
      <c r="AG178" s="43" t="e">
        <f t="shared" si="33"/>
        <v>#DIV/0!</v>
      </c>
      <c r="AH178" s="38">
        <v>45382</v>
      </c>
      <c r="AI178" s="38"/>
      <c r="AJ178" s="38"/>
      <c r="AK178" s="38"/>
      <c r="AL178" s="38"/>
      <c r="AM178" s="48"/>
      <c r="AN178" s="42"/>
      <c r="AO178" s="42"/>
      <c r="AP178" s="42"/>
      <c r="AQ178" s="42"/>
      <c r="AR178" s="42"/>
      <c r="AS178" s="50"/>
      <c r="AT178" s="39"/>
      <c r="AU178" s="39"/>
      <c r="AV178" s="49"/>
      <c r="AW178" s="39"/>
      <c r="AX178" s="39">
        <v>10</v>
      </c>
      <c r="AY178" s="30">
        <f>(J178*10)/100</f>
        <v>832122.72</v>
      </c>
      <c r="AZ178" s="42" t="s">
        <v>1269</v>
      </c>
    </row>
    <row r="179" spans="1:52" ht="58.5" customHeight="1" x14ac:dyDescent="0.25">
      <c r="A179" s="46" t="s">
        <v>1315</v>
      </c>
      <c r="B179" s="48">
        <v>45287</v>
      </c>
      <c r="C179" s="42">
        <v>545</v>
      </c>
      <c r="D179" s="37" t="s">
        <v>1316</v>
      </c>
      <c r="E179" s="41" t="s">
        <v>1317</v>
      </c>
      <c r="F179" s="38">
        <v>45320</v>
      </c>
      <c r="G179" s="39" t="s">
        <v>1318</v>
      </c>
      <c r="H179" s="42" t="s">
        <v>88</v>
      </c>
      <c r="I179" s="42" t="s">
        <v>1319</v>
      </c>
      <c r="J179" s="56">
        <v>182434602.63</v>
      </c>
      <c r="K179" s="56">
        <v>182434602.63</v>
      </c>
      <c r="L179" s="56">
        <v>0</v>
      </c>
      <c r="M179" s="56">
        <v>0</v>
      </c>
      <c r="N179" s="44">
        <f t="shared" si="36"/>
        <v>0</v>
      </c>
      <c r="O179" s="45">
        <f t="shared" si="31"/>
        <v>0</v>
      </c>
      <c r="P179" s="43">
        <v>182434602.63</v>
      </c>
      <c r="Q179" s="45">
        <f t="shared" si="25"/>
        <v>0</v>
      </c>
      <c r="R179" s="43">
        <v>182434602.63</v>
      </c>
      <c r="S179" s="30">
        <v>217923400.71000001</v>
      </c>
      <c r="T179" s="30">
        <v>217923400.71000001</v>
      </c>
      <c r="U179" s="30">
        <f>T179/X179</f>
        <v>554512.47</v>
      </c>
      <c r="V179" s="43">
        <f>T179/X179</f>
        <v>554512.47</v>
      </c>
      <c r="W179" s="43">
        <f t="shared" si="27"/>
        <v>554512.47</v>
      </c>
      <c r="X179" s="43">
        <f t="shared" si="30"/>
        <v>393</v>
      </c>
      <c r="Y179" s="43">
        <v>393</v>
      </c>
      <c r="Z179" s="43">
        <v>0</v>
      </c>
      <c r="AA179" s="43">
        <v>0</v>
      </c>
      <c r="AB179" s="43">
        <v>0</v>
      </c>
      <c r="AC179" s="43">
        <f t="shared" si="28"/>
        <v>0</v>
      </c>
      <c r="AD179" s="43">
        <v>0</v>
      </c>
      <c r="AE179" s="43">
        <f t="shared" si="29"/>
        <v>0</v>
      </c>
      <c r="AF179" s="43">
        <f t="shared" si="32"/>
        <v>393</v>
      </c>
      <c r="AG179" s="43">
        <f t="shared" si="33"/>
        <v>393</v>
      </c>
      <c r="AH179" s="38">
        <v>45337</v>
      </c>
      <c r="AI179" s="38"/>
      <c r="AJ179" s="38"/>
      <c r="AK179" s="38">
        <v>45366</v>
      </c>
      <c r="AL179" s="38"/>
      <c r="AM179" s="48"/>
      <c r="AN179" s="42"/>
      <c r="AO179" s="42" t="s">
        <v>292</v>
      </c>
      <c r="AP179" s="42" t="s">
        <v>395</v>
      </c>
      <c r="AQ179" s="42" t="s">
        <v>294</v>
      </c>
      <c r="AR179" s="42" t="s">
        <v>295</v>
      </c>
      <c r="AS179" s="50">
        <v>0</v>
      </c>
      <c r="AT179" s="39">
        <v>100</v>
      </c>
      <c r="AU179" s="39" t="s">
        <v>83</v>
      </c>
      <c r="AV179" s="49">
        <v>1</v>
      </c>
      <c r="AW179" s="39" t="s">
        <v>62</v>
      </c>
      <c r="AX179" s="39">
        <v>10</v>
      </c>
      <c r="AY179" s="30">
        <f>(J179*10)/100</f>
        <v>18243460.263</v>
      </c>
      <c r="AZ179" s="42" t="s">
        <v>405</v>
      </c>
    </row>
    <row r="180" spans="1:52" ht="58.5" customHeight="1" x14ac:dyDescent="0.25">
      <c r="A180" s="46" t="s">
        <v>1320</v>
      </c>
      <c r="B180" s="48">
        <v>45287</v>
      </c>
      <c r="C180" s="42">
        <v>545</v>
      </c>
      <c r="D180" s="37" t="s">
        <v>1321</v>
      </c>
      <c r="E180" s="41" t="s">
        <v>1322</v>
      </c>
      <c r="F180" s="38">
        <v>45320</v>
      </c>
      <c r="G180" s="39" t="s">
        <v>1323</v>
      </c>
      <c r="H180" s="42" t="s">
        <v>88</v>
      </c>
      <c r="I180" s="42" t="s">
        <v>1324</v>
      </c>
      <c r="J180" s="56">
        <v>183995961.59999999</v>
      </c>
      <c r="K180" s="56">
        <v>183995961.59999999</v>
      </c>
      <c r="L180" s="56">
        <v>0</v>
      </c>
      <c r="M180" s="56">
        <v>0</v>
      </c>
      <c r="N180" s="44">
        <f t="shared" si="36"/>
        <v>0</v>
      </c>
      <c r="O180" s="45">
        <f t="shared" si="31"/>
        <v>0</v>
      </c>
      <c r="P180" s="43">
        <v>183995961.59999999</v>
      </c>
      <c r="Q180" s="45">
        <f t="shared" si="25"/>
        <v>0</v>
      </c>
      <c r="R180" s="43">
        <v>183995961.59999999</v>
      </c>
      <c r="S180" s="30">
        <f t="shared" ref="S180:T195" si="38">R180</f>
        <v>183995961.59999999</v>
      </c>
      <c r="T180" s="30">
        <f t="shared" si="38"/>
        <v>183995961.59999999</v>
      </c>
      <c r="U180" s="30">
        <f>T180/X180</f>
        <v>618265.99999999988</v>
      </c>
      <c r="V180" s="43">
        <f>T180/X180</f>
        <v>618265.99999999988</v>
      </c>
      <c r="W180" s="43">
        <f t="shared" si="27"/>
        <v>5935353.5999999987</v>
      </c>
      <c r="X180" s="43">
        <f t="shared" si="30"/>
        <v>297.60000000000002</v>
      </c>
      <c r="Y180" s="43">
        <v>297.60000000000002</v>
      </c>
      <c r="Z180" s="43">
        <v>0</v>
      </c>
      <c r="AA180" s="43">
        <v>0</v>
      </c>
      <c r="AB180" s="43">
        <v>0</v>
      </c>
      <c r="AC180" s="43">
        <f t="shared" si="28"/>
        <v>0</v>
      </c>
      <c r="AD180" s="43">
        <v>0</v>
      </c>
      <c r="AE180" s="43">
        <f t="shared" si="29"/>
        <v>0</v>
      </c>
      <c r="AF180" s="43">
        <f t="shared" si="32"/>
        <v>31.000000000000004</v>
      </c>
      <c r="AG180" s="43">
        <f t="shared" si="33"/>
        <v>31</v>
      </c>
      <c r="AH180" s="38">
        <v>45337</v>
      </c>
      <c r="AI180" s="38"/>
      <c r="AJ180" s="38"/>
      <c r="AK180" s="38">
        <v>45366</v>
      </c>
      <c r="AL180" s="38"/>
      <c r="AM180" s="48"/>
      <c r="AN180" s="42"/>
      <c r="AO180" s="42" t="s">
        <v>369</v>
      </c>
      <c r="AP180" s="42" t="s">
        <v>554</v>
      </c>
      <c r="AQ180" s="42" t="s">
        <v>371</v>
      </c>
      <c r="AR180" s="42" t="s">
        <v>60</v>
      </c>
      <c r="AS180" s="50">
        <v>0</v>
      </c>
      <c r="AT180" s="39">
        <v>100</v>
      </c>
      <c r="AU180" s="39" t="s">
        <v>83</v>
      </c>
      <c r="AV180" s="54">
        <v>9.6</v>
      </c>
      <c r="AW180" s="39" t="s">
        <v>62</v>
      </c>
      <c r="AX180" s="39">
        <v>10</v>
      </c>
      <c r="AY180" s="30">
        <f>(J180*10)/100</f>
        <v>18399596.16</v>
      </c>
      <c r="AZ180" s="42" t="s">
        <v>405</v>
      </c>
    </row>
    <row r="181" spans="1:52" ht="58.5" customHeight="1" x14ac:dyDescent="0.25">
      <c r="A181" s="46" t="s">
        <v>1325</v>
      </c>
      <c r="B181" s="48">
        <v>45287</v>
      </c>
      <c r="C181" s="42">
        <v>545</v>
      </c>
      <c r="D181" s="37" t="s">
        <v>434</v>
      </c>
      <c r="E181" s="41" t="s">
        <v>1326</v>
      </c>
      <c r="F181" s="38" t="s">
        <v>434</v>
      </c>
      <c r="G181" s="39" t="s">
        <v>434</v>
      </c>
      <c r="H181" s="42" t="s">
        <v>434</v>
      </c>
      <c r="I181" s="42" t="s">
        <v>410</v>
      </c>
      <c r="J181" s="56">
        <v>704734800</v>
      </c>
      <c r="K181" s="56">
        <v>704734800</v>
      </c>
      <c r="L181" s="56">
        <v>0</v>
      </c>
      <c r="M181" s="56">
        <v>0</v>
      </c>
      <c r="N181" s="44">
        <f t="shared" si="36"/>
        <v>100</v>
      </c>
      <c r="O181" s="45">
        <f t="shared" si="31"/>
        <v>704734800</v>
      </c>
      <c r="P181" s="43"/>
      <c r="Q181" s="45">
        <f t="shared" si="25"/>
        <v>704734800</v>
      </c>
      <c r="R181" s="43">
        <v>0</v>
      </c>
      <c r="S181" s="30">
        <f t="shared" si="38"/>
        <v>0</v>
      </c>
      <c r="T181" s="30">
        <f t="shared" si="38"/>
        <v>0</v>
      </c>
      <c r="U181" s="30" t="e">
        <f>T181/X181</f>
        <v>#DIV/0!</v>
      </c>
      <c r="V181" s="43" t="e">
        <f>T181/X181</f>
        <v>#DIV/0!</v>
      </c>
      <c r="W181" s="43" t="e">
        <f t="shared" si="27"/>
        <v>#DIV/0!</v>
      </c>
      <c r="X181" s="43">
        <f t="shared" si="30"/>
        <v>0</v>
      </c>
      <c r="Y181" s="43">
        <v>0</v>
      </c>
      <c r="Z181" s="43">
        <v>0</v>
      </c>
      <c r="AA181" s="43">
        <v>0</v>
      </c>
      <c r="AB181" s="43"/>
      <c r="AC181" s="43" t="e">
        <f t="shared" si="28"/>
        <v>#DIV/0!</v>
      </c>
      <c r="AD181" s="43"/>
      <c r="AE181" s="43" t="e">
        <f t="shared" si="29"/>
        <v>#DIV/0!</v>
      </c>
      <c r="AF181" s="43" t="e">
        <f t="shared" si="32"/>
        <v>#DIV/0!</v>
      </c>
      <c r="AG181" s="43" t="e">
        <f t="shared" si="33"/>
        <v>#DIV/0!</v>
      </c>
      <c r="AH181" s="38">
        <v>45352</v>
      </c>
      <c r="AI181" s="38"/>
      <c r="AJ181" s="38"/>
      <c r="AK181" s="38"/>
      <c r="AL181" s="38"/>
      <c r="AM181" s="48"/>
      <c r="AN181" s="42"/>
      <c r="AO181" s="42"/>
      <c r="AP181" s="42"/>
      <c r="AQ181" s="42"/>
      <c r="AR181" s="42"/>
      <c r="AS181" s="50"/>
      <c r="AT181" s="39"/>
      <c r="AU181" s="39"/>
      <c r="AV181" s="49"/>
      <c r="AW181" s="39"/>
      <c r="AX181" s="39">
        <v>10</v>
      </c>
      <c r="AY181" s="30">
        <f>(J181*10)/100</f>
        <v>70473480</v>
      </c>
      <c r="AZ181" s="42" t="s">
        <v>434</v>
      </c>
    </row>
    <row r="182" spans="1:52" ht="58.5" customHeight="1" x14ac:dyDescent="0.25">
      <c r="A182" s="46" t="s">
        <v>1327</v>
      </c>
      <c r="B182" s="48">
        <v>45287</v>
      </c>
      <c r="C182" s="42">
        <v>545</v>
      </c>
      <c r="D182" s="37" t="s">
        <v>434</v>
      </c>
      <c r="E182" s="41" t="s">
        <v>1328</v>
      </c>
      <c r="F182" s="38" t="s">
        <v>434</v>
      </c>
      <c r="G182" s="39" t="s">
        <v>434</v>
      </c>
      <c r="H182" s="42" t="s">
        <v>434</v>
      </c>
      <c r="I182" s="42" t="s">
        <v>1329</v>
      </c>
      <c r="J182" s="56">
        <v>21439906.199999999</v>
      </c>
      <c r="K182" s="56">
        <v>21439906.199999999</v>
      </c>
      <c r="L182" s="56">
        <v>0</v>
      </c>
      <c r="M182" s="56">
        <v>0</v>
      </c>
      <c r="N182" s="44">
        <f t="shared" si="36"/>
        <v>100</v>
      </c>
      <c r="O182" s="45">
        <f t="shared" si="31"/>
        <v>21439906.199999999</v>
      </c>
      <c r="P182" s="43"/>
      <c r="Q182" s="45">
        <f t="shared" si="25"/>
        <v>21439906.199999999</v>
      </c>
      <c r="R182" s="43">
        <v>0</v>
      </c>
      <c r="S182" s="30">
        <f t="shared" si="38"/>
        <v>0</v>
      </c>
      <c r="T182" s="30">
        <f t="shared" si="38"/>
        <v>0</v>
      </c>
      <c r="U182" s="30" t="e">
        <f>T182/X182</f>
        <v>#DIV/0!</v>
      </c>
      <c r="V182" s="43" t="e">
        <f>T182/X182</f>
        <v>#DIV/0!</v>
      </c>
      <c r="W182" s="43" t="e">
        <f t="shared" si="27"/>
        <v>#DIV/0!</v>
      </c>
      <c r="X182" s="43">
        <f t="shared" si="30"/>
        <v>0</v>
      </c>
      <c r="Y182" s="43">
        <v>0</v>
      </c>
      <c r="Z182" s="43">
        <v>0</v>
      </c>
      <c r="AA182" s="43">
        <v>0</v>
      </c>
      <c r="AB182" s="43"/>
      <c r="AC182" s="43" t="e">
        <f t="shared" si="28"/>
        <v>#DIV/0!</v>
      </c>
      <c r="AD182" s="43"/>
      <c r="AE182" s="43" t="e">
        <f t="shared" si="29"/>
        <v>#DIV/0!</v>
      </c>
      <c r="AF182" s="43" t="e">
        <f t="shared" si="32"/>
        <v>#DIV/0!</v>
      </c>
      <c r="AG182" s="43" t="e">
        <f t="shared" si="33"/>
        <v>#DIV/0!</v>
      </c>
      <c r="AH182" s="38">
        <v>45337</v>
      </c>
      <c r="AI182" s="38"/>
      <c r="AJ182" s="38"/>
      <c r="AK182" s="38"/>
      <c r="AL182" s="38"/>
      <c r="AM182" s="48"/>
      <c r="AN182" s="42"/>
      <c r="AO182" s="42"/>
      <c r="AP182" s="42"/>
      <c r="AQ182" s="42"/>
      <c r="AR182" s="42"/>
      <c r="AS182" s="50"/>
      <c r="AT182" s="39"/>
      <c r="AU182" s="39"/>
      <c r="AV182" s="49"/>
      <c r="AW182" s="39"/>
      <c r="AX182" s="39">
        <v>10</v>
      </c>
      <c r="AY182" s="30">
        <f>(J182*10)/100</f>
        <v>2143990.62</v>
      </c>
      <c r="AZ182" s="42" t="s">
        <v>434</v>
      </c>
    </row>
    <row r="183" spans="1:52" ht="58.5" customHeight="1" x14ac:dyDescent="0.25">
      <c r="A183" s="46" t="s">
        <v>1330</v>
      </c>
      <c r="B183" s="48">
        <v>45287</v>
      </c>
      <c r="C183" s="42">
        <v>545</v>
      </c>
      <c r="D183" s="37" t="s">
        <v>1331</v>
      </c>
      <c r="E183" s="41" t="s">
        <v>1332</v>
      </c>
      <c r="F183" s="38">
        <v>45320</v>
      </c>
      <c r="G183" s="39" t="s">
        <v>1333</v>
      </c>
      <c r="H183" s="42" t="s">
        <v>321</v>
      </c>
      <c r="I183" s="42" t="s">
        <v>1334</v>
      </c>
      <c r="J183" s="56">
        <v>77134640</v>
      </c>
      <c r="K183" s="56">
        <v>77134640</v>
      </c>
      <c r="L183" s="56">
        <v>0</v>
      </c>
      <c r="M183" s="56">
        <v>0</v>
      </c>
      <c r="N183" s="44">
        <f t="shared" si="36"/>
        <v>0</v>
      </c>
      <c r="O183" s="45">
        <f t="shared" si="31"/>
        <v>0</v>
      </c>
      <c r="P183" s="43">
        <v>77134640</v>
      </c>
      <c r="Q183" s="45">
        <f t="shared" si="25"/>
        <v>0</v>
      </c>
      <c r="R183" s="43">
        <v>77134640</v>
      </c>
      <c r="S183" s="30">
        <v>92770040</v>
      </c>
      <c r="T183" s="30">
        <f t="shared" si="38"/>
        <v>92770040</v>
      </c>
      <c r="U183" s="30">
        <f>T183/X183</f>
        <v>521180</v>
      </c>
      <c r="V183" s="43">
        <f>T183/X183</f>
        <v>521180</v>
      </c>
      <c r="W183" s="43">
        <f t="shared" si="27"/>
        <v>1042360</v>
      </c>
      <c r="X183" s="43">
        <f t="shared" si="30"/>
        <v>178</v>
      </c>
      <c r="Y183" s="43">
        <f>148+30</f>
        <v>178</v>
      </c>
      <c r="Z183" s="43">
        <v>0</v>
      </c>
      <c r="AA183" s="43">
        <v>0</v>
      </c>
      <c r="AB183" s="43">
        <v>0</v>
      </c>
      <c r="AC183" s="43">
        <f t="shared" si="28"/>
        <v>0</v>
      </c>
      <c r="AD183" s="43">
        <v>0</v>
      </c>
      <c r="AE183" s="43">
        <f t="shared" si="29"/>
        <v>0</v>
      </c>
      <c r="AF183" s="43">
        <f t="shared" si="32"/>
        <v>89</v>
      </c>
      <c r="AG183" s="43">
        <f t="shared" si="33"/>
        <v>89</v>
      </c>
      <c r="AH183" s="38">
        <v>45337</v>
      </c>
      <c r="AI183" s="38"/>
      <c r="AJ183" s="38"/>
      <c r="AK183" s="38">
        <v>45366</v>
      </c>
      <c r="AL183" s="38"/>
      <c r="AM183" s="48"/>
      <c r="AN183" s="42"/>
      <c r="AO183" s="42" t="s">
        <v>472</v>
      </c>
      <c r="AP183" s="42" t="s">
        <v>473</v>
      </c>
      <c r="AQ183" s="42" t="s">
        <v>474</v>
      </c>
      <c r="AR183" s="42" t="s">
        <v>94</v>
      </c>
      <c r="AS183" s="50">
        <v>0</v>
      </c>
      <c r="AT183" s="39">
        <v>100</v>
      </c>
      <c r="AU183" s="39" t="s">
        <v>83</v>
      </c>
      <c r="AV183" s="49">
        <v>2</v>
      </c>
      <c r="AW183" s="39" t="s">
        <v>62</v>
      </c>
      <c r="AX183" s="39">
        <v>10</v>
      </c>
      <c r="AY183" s="30">
        <f>(J183*10)/100</f>
        <v>7713464</v>
      </c>
      <c r="AZ183" s="42" t="s">
        <v>405</v>
      </c>
    </row>
    <row r="184" spans="1:52" ht="58.5" customHeight="1" x14ac:dyDescent="0.25">
      <c r="A184" s="46" t="s">
        <v>1335</v>
      </c>
      <c r="B184" s="48">
        <v>45288</v>
      </c>
      <c r="C184" s="42">
        <v>545</v>
      </c>
      <c r="D184" s="37" t="s">
        <v>1336</v>
      </c>
      <c r="E184" s="41" t="s">
        <v>1337</v>
      </c>
      <c r="F184" s="38">
        <v>45320</v>
      </c>
      <c r="G184" s="39" t="s">
        <v>1338</v>
      </c>
      <c r="H184" s="42" t="s">
        <v>88</v>
      </c>
      <c r="I184" s="42" t="s">
        <v>1339</v>
      </c>
      <c r="J184" s="56">
        <v>41547475.200000003</v>
      </c>
      <c r="K184" s="56">
        <v>41547475.200000003</v>
      </c>
      <c r="L184" s="56">
        <v>0</v>
      </c>
      <c r="M184" s="56">
        <v>0</v>
      </c>
      <c r="N184" s="44">
        <f t="shared" si="36"/>
        <v>0</v>
      </c>
      <c r="O184" s="45">
        <f t="shared" si="31"/>
        <v>0</v>
      </c>
      <c r="P184" s="43">
        <v>41547475.200000003</v>
      </c>
      <c r="Q184" s="45">
        <f t="shared" si="25"/>
        <v>0</v>
      </c>
      <c r="R184" s="43">
        <v>41547475.200000003</v>
      </c>
      <c r="S184" s="30">
        <f t="shared" ref="S184:T215" si="39">R184</f>
        <v>41547475.200000003</v>
      </c>
      <c r="T184" s="30">
        <f t="shared" si="38"/>
        <v>41547475.200000003</v>
      </c>
      <c r="U184" s="30">
        <f>T184/X184</f>
        <v>247306.40000000002</v>
      </c>
      <c r="V184" s="43">
        <f>T184/X184</f>
        <v>247306.40000000002</v>
      </c>
      <c r="W184" s="43">
        <f t="shared" si="27"/>
        <v>2967676.8000000003</v>
      </c>
      <c r="X184" s="43">
        <f t="shared" si="30"/>
        <v>168</v>
      </c>
      <c r="Y184" s="43">
        <v>168</v>
      </c>
      <c r="Z184" s="43">
        <v>0</v>
      </c>
      <c r="AA184" s="43">
        <v>0</v>
      </c>
      <c r="AB184" s="43">
        <v>0</v>
      </c>
      <c r="AC184" s="43">
        <f t="shared" si="28"/>
        <v>0</v>
      </c>
      <c r="AD184" s="43">
        <v>0</v>
      </c>
      <c r="AE184" s="43">
        <f t="shared" si="29"/>
        <v>0</v>
      </c>
      <c r="AF184" s="43">
        <f t="shared" si="32"/>
        <v>14</v>
      </c>
      <c r="AG184" s="43">
        <f t="shared" si="33"/>
        <v>14</v>
      </c>
      <c r="AH184" s="38">
        <v>45342</v>
      </c>
      <c r="AI184" s="38"/>
      <c r="AJ184" s="38"/>
      <c r="AK184" s="38">
        <v>45371</v>
      </c>
      <c r="AL184" s="38"/>
      <c r="AM184" s="48"/>
      <c r="AN184" s="42"/>
      <c r="AO184" s="42" t="s">
        <v>369</v>
      </c>
      <c r="AP184" s="42" t="s">
        <v>1340</v>
      </c>
      <c r="AQ184" s="42" t="s">
        <v>371</v>
      </c>
      <c r="AR184" s="42" t="s">
        <v>60</v>
      </c>
      <c r="AS184" s="50">
        <v>0</v>
      </c>
      <c r="AT184" s="39">
        <v>100</v>
      </c>
      <c r="AU184" s="39" t="s">
        <v>83</v>
      </c>
      <c r="AV184" s="49">
        <v>12</v>
      </c>
      <c r="AW184" s="39" t="s">
        <v>62</v>
      </c>
      <c r="AX184" s="39">
        <v>10</v>
      </c>
      <c r="AY184" s="30">
        <f>(J184*10)/100</f>
        <v>4154747.52</v>
      </c>
      <c r="AZ184" s="42" t="s">
        <v>405</v>
      </c>
    </row>
    <row r="185" spans="1:52" ht="58.5" customHeight="1" x14ac:dyDescent="0.25">
      <c r="A185" s="46" t="s">
        <v>1341</v>
      </c>
      <c r="B185" s="48">
        <v>45288</v>
      </c>
      <c r="C185" s="42">
        <v>1416</v>
      </c>
      <c r="D185" s="37" t="s">
        <v>1342</v>
      </c>
      <c r="E185" s="41" t="s">
        <v>1343</v>
      </c>
      <c r="F185" s="38">
        <v>45320</v>
      </c>
      <c r="G185" s="39" t="s">
        <v>1344</v>
      </c>
      <c r="H185" s="42" t="s">
        <v>226</v>
      </c>
      <c r="I185" s="42" t="s">
        <v>1345</v>
      </c>
      <c r="J185" s="56">
        <v>86594317.5</v>
      </c>
      <c r="K185" s="56">
        <v>86594317.5</v>
      </c>
      <c r="L185" s="56">
        <v>0</v>
      </c>
      <c r="M185" s="56">
        <v>0</v>
      </c>
      <c r="N185" s="44">
        <f t="shared" si="36"/>
        <v>0.50385604113110882</v>
      </c>
      <c r="O185" s="45">
        <f t="shared" si="31"/>
        <v>436310.70000000298</v>
      </c>
      <c r="P185" s="43">
        <v>86158006.799999997</v>
      </c>
      <c r="Q185" s="45">
        <f t="shared" si="25"/>
        <v>436310.70000000298</v>
      </c>
      <c r="R185" s="43">
        <v>86158006.799999997</v>
      </c>
      <c r="S185" s="30">
        <f t="shared" si="39"/>
        <v>86158006.799999997</v>
      </c>
      <c r="T185" s="30">
        <f t="shared" si="38"/>
        <v>86158006.799999997</v>
      </c>
      <c r="U185" s="30">
        <f>T185/X185</f>
        <v>96.759999999999991</v>
      </c>
      <c r="V185" s="43">
        <f>T185/X185</f>
        <v>96.759999999999991</v>
      </c>
      <c r="W185" s="43">
        <f t="shared" si="27"/>
        <v>2902.7999999999997</v>
      </c>
      <c r="X185" s="43">
        <f t="shared" si="30"/>
        <v>890430</v>
      </c>
      <c r="Y185" s="43">
        <f>7260+883170</f>
        <v>890430</v>
      </c>
      <c r="Z185" s="43">
        <v>0</v>
      </c>
      <c r="AA185" s="43">
        <v>0</v>
      </c>
      <c r="AB185" s="43">
        <v>7260</v>
      </c>
      <c r="AC185" s="43">
        <f t="shared" si="28"/>
        <v>702477.6</v>
      </c>
      <c r="AD185" s="43">
        <v>883170</v>
      </c>
      <c r="AE185" s="43">
        <f t="shared" si="29"/>
        <v>85455529.199999988</v>
      </c>
      <c r="AF185" s="43">
        <f t="shared" si="32"/>
        <v>29681</v>
      </c>
      <c r="AG185" s="43">
        <f t="shared" si="33"/>
        <v>29681</v>
      </c>
      <c r="AH185" s="38">
        <v>45366</v>
      </c>
      <c r="AI185" s="38"/>
      <c r="AJ185" s="38"/>
      <c r="AK185" s="38">
        <v>45397</v>
      </c>
      <c r="AL185" s="38"/>
      <c r="AM185" s="48"/>
      <c r="AN185" s="42"/>
      <c r="AO185" s="42" t="s">
        <v>1346</v>
      </c>
      <c r="AP185" s="42" t="s">
        <v>1347</v>
      </c>
      <c r="AQ185" s="42" t="s">
        <v>1348</v>
      </c>
      <c r="AR185" s="42" t="s">
        <v>82</v>
      </c>
      <c r="AS185" s="50">
        <v>100</v>
      </c>
      <c r="AT185" s="39">
        <v>0</v>
      </c>
      <c r="AU185" s="39" t="s">
        <v>389</v>
      </c>
      <c r="AV185" s="49">
        <v>30</v>
      </c>
      <c r="AW185" s="39" t="s">
        <v>62</v>
      </c>
      <c r="AX185" s="39">
        <v>10</v>
      </c>
      <c r="AY185" s="30">
        <f>(J185*10)/100</f>
        <v>8659431.75</v>
      </c>
      <c r="AZ185" s="42" t="s">
        <v>405</v>
      </c>
    </row>
    <row r="186" spans="1:52" ht="58.5" customHeight="1" x14ac:dyDescent="0.25">
      <c r="A186" s="46" t="s">
        <v>1349</v>
      </c>
      <c r="B186" s="48">
        <v>45288</v>
      </c>
      <c r="C186" s="42">
        <v>1416</v>
      </c>
      <c r="D186" s="37" t="s">
        <v>1350</v>
      </c>
      <c r="E186" s="41" t="s">
        <v>1351</v>
      </c>
      <c r="F186" s="38">
        <v>45320</v>
      </c>
      <c r="G186" s="39" t="s">
        <v>1352</v>
      </c>
      <c r="H186" s="42" t="s">
        <v>226</v>
      </c>
      <c r="I186" s="42" t="s">
        <v>1353</v>
      </c>
      <c r="J186" s="56">
        <v>240339922.80000001</v>
      </c>
      <c r="K186" s="56">
        <v>240339922.80000001</v>
      </c>
      <c r="L186" s="56">
        <v>0</v>
      </c>
      <c r="M186" s="56">
        <v>0</v>
      </c>
      <c r="N186" s="44">
        <f t="shared" si="36"/>
        <v>0</v>
      </c>
      <c r="O186" s="45">
        <f t="shared" si="31"/>
        <v>0</v>
      </c>
      <c r="P186" s="43">
        <v>240339922.80000001</v>
      </c>
      <c r="Q186" s="45">
        <f t="shared" ref="Q186:Q198" si="40">J186-R186</f>
        <v>0</v>
      </c>
      <c r="R186" s="43">
        <v>240339922.80000001</v>
      </c>
      <c r="S186" s="30">
        <f t="shared" si="39"/>
        <v>240339922.80000001</v>
      </c>
      <c r="T186" s="30">
        <f t="shared" si="38"/>
        <v>240339922.80000001</v>
      </c>
      <c r="U186" s="30">
        <f>T186/X186</f>
        <v>60.78</v>
      </c>
      <c r="V186" s="43">
        <f>T186/X186</f>
        <v>60.78</v>
      </c>
      <c r="W186" s="43">
        <f t="shared" si="27"/>
        <v>7293.6</v>
      </c>
      <c r="X186" s="43">
        <f t="shared" si="30"/>
        <v>3954260</v>
      </c>
      <c r="Y186" s="43">
        <f>147570+3806690</f>
        <v>3954260</v>
      </c>
      <c r="Z186" s="43">
        <v>0</v>
      </c>
      <c r="AA186" s="43">
        <v>0</v>
      </c>
      <c r="AB186" s="43">
        <v>147570</v>
      </c>
      <c r="AC186" s="43">
        <f t="shared" si="28"/>
        <v>8969304.5999999996</v>
      </c>
      <c r="AD186" s="43">
        <v>3806690</v>
      </c>
      <c r="AE186" s="43">
        <f t="shared" si="29"/>
        <v>231370618.20000002</v>
      </c>
      <c r="AF186" s="43">
        <f t="shared" si="32"/>
        <v>32952.166666666664</v>
      </c>
      <c r="AG186" s="43">
        <f t="shared" si="33"/>
        <v>32953</v>
      </c>
      <c r="AH186" s="38">
        <v>45352</v>
      </c>
      <c r="AI186" s="38"/>
      <c r="AJ186" s="38"/>
      <c r="AK186" s="38">
        <v>45383</v>
      </c>
      <c r="AL186" s="38"/>
      <c r="AM186" s="48"/>
      <c r="AN186" s="42"/>
      <c r="AO186" s="42" t="s">
        <v>1354</v>
      </c>
      <c r="AP186" s="42" t="s">
        <v>1355</v>
      </c>
      <c r="AQ186" s="42" t="s">
        <v>1356</v>
      </c>
      <c r="AR186" s="42" t="s">
        <v>82</v>
      </c>
      <c r="AS186" s="50">
        <v>100</v>
      </c>
      <c r="AT186" s="39">
        <v>0</v>
      </c>
      <c r="AU186" s="39" t="s">
        <v>389</v>
      </c>
      <c r="AV186" s="49">
        <v>120</v>
      </c>
      <c r="AW186" s="39" t="s">
        <v>62</v>
      </c>
      <c r="AX186" s="39">
        <v>10</v>
      </c>
      <c r="AY186" s="30">
        <f>(J186*10)/100</f>
        <v>24033992.280000001</v>
      </c>
      <c r="AZ186" s="42" t="s">
        <v>405</v>
      </c>
    </row>
    <row r="187" spans="1:52" ht="58.5" customHeight="1" x14ac:dyDescent="0.25">
      <c r="A187" s="46" t="s">
        <v>1357</v>
      </c>
      <c r="B187" s="48">
        <v>45288</v>
      </c>
      <c r="C187" s="42">
        <v>1416</v>
      </c>
      <c r="D187" s="37" t="s">
        <v>434</v>
      </c>
      <c r="E187" s="41" t="s">
        <v>1358</v>
      </c>
      <c r="F187" s="38" t="s">
        <v>434</v>
      </c>
      <c r="G187" s="39" t="s">
        <v>434</v>
      </c>
      <c r="H187" s="42" t="s">
        <v>434</v>
      </c>
      <c r="I187" s="42" t="s">
        <v>1359</v>
      </c>
      <c r="J187" s="56">
        <v>148558611.59999999</v>
      </c>
      <c r="K187" s="56">
        <v>148558611.59999999</v>
      </c>
      <c r="L187" s="56">
        <v>0</v>
      </c>
      <c r="M187" s="56">
        <v>0</v>
      </c>
      <c r="N187" s="44">
        <f t="shared" si="36"/>
        <v>100</v>
      </c>
      <c r="O187" s="45">
        <f t="shared" si="31"/>
        <v>148558611.59999999</v>
      </c>
      <c r="P187" s="43"/>
      <c r="Q187" s="45">
        <f t="shared" si="40"/>
        <v>148558611.59999999</v>
      </c>
      <c r="R187" s="43">
        <v>0</v>
      </c>
      <c r="S187" s="30">
        <f t="shared" si="39"/>
        <v>0</v>
      </c>
      <c r="T187" s="30">
        <f t="shared" si="38"/>
        <v>0</v>
      </c>
      <c r="U187" s="30" t="e">
        <f>T187/X187</f>
        <v>#DIV/0!</v>
      </c>
      <c r="V187" s="43" t="e">
        <f>T187/X187</f>
        <v>#DIV/0!</v>
      </c>
      <c r="W187" s="43" t="e">
        <f t="shared" si="27"/>
        <v>#DIV/0!</v>
      </c>
      <c r="X187" s="43">
        <f t="shared" si="30"/>
        <v>0</v>
      </c>
      <c r="Y187" s="43">
        <v>0</v>
      </c>
      <c r="Z187" s="43">
        <v>0</v>
      </c>
      <c r="AA187" s="43">
        <v>0</v>
      </c>
      <c r="AB187" s="43"/>
      <c r="AC187" s="43" t="e">
        <f t="shared" si="28"/>
        <v>#DIV/0!</v>
      </c>
      <c r="AD187" s="43"/>
      <c r="AE187" s="43" t="e">
        <f t="shared" si="29"/>
        <v>#DIV/0!</v>
      </c>
      <c r="AF187" s="43" t="e">
        <f t="shared" si="32"/>
        <v>#DIV/0!</v>
      </c>
      <c r="AG187" s="43" t="e">
        <f t="shared" si="33"/>
        <v>#DIV/0!</v>
      </c>
      <c r="AH187" s="38">
        <v>45381</v>
      </c>
      <c r="AI187" s="38"/>
      <c r="AJ187" s="38"/>
      <c r="AK187" s="38"/>
      <c r="AL187" s="38"/>
      <c r="AM187" s="48"/>
      <c r="AN187" s="42"/>
      <c r="AO187" s="42"/>
      <c r="AP187" s="42"/>
      <c r="AQ187" s="42"/>
      <c r="AR187" s="42"/>
      <c r="AS187" s="50"/>
      <c r="AT187" s="39"/>
      <c r="AU187" s="39"/>
      <c r="AV187" s="49"/>
      <c r="AW187" s="39"/>
      <c r="AX187" s="39">
        <v>10</v>
      </c>
      <c r="AY187" s="30">
        <f>(J187*10)/100</f>
        <v>14855861.16</v>
      </c>
      <c r="AZ187" s="42" t="s">
        <v>434</v>
      </c>
    </row>
    <row r="188" spans="1:52" ht="58.5" customHeight="1" x14ac:dyDescent="0.25">
      <c r="A188" s="46" t="s">
        <v>1360</v>
      </c>
      <c r="B188" s="48">
        <v>45288</v>
      </c>
      <c r="C188" s="42">
        <v>1416</v>
      </c>
      <c r="D188" s="37" t="s">
        <v>1361</v>
      </c>
      <c r="E188" s="41" t="s">
        <v>1362</v>
      </c>
      <c r="F188" s="38">
        <v>45320</v>
      </c>
      <c r="G188" s="39" t="s">
        <v>1363</v>
      </c>
      <c r="H188" s="42" t="s">
        <v>226</v>
      </c>
      <c r="I188" s="42" t="s">
        <v>1364</v>
      </c>
      <c r="J188" s="56">
        <v>32108724.600000001</v>
      </c>
      <c r="K188" s="56">
        <v>32108724.600000001</v>
      </c>
      <c r="L188" s="56">
        <v>0</v>
      </c>
      <c r="M188" s="56">
        <v>0</v>
      </c>
      <c r="N188" s="44">
        <f t="shared" si="36"/>
        <v>0</v>
      </c>
      <c r="O188" s="45">
        <f t="shared" si="31"/>
        <v>0</v>
      </c>
      <c r="P188" s="43">
        <v>32108724.600000001</v>
      </c>
      <c r="Q188" s="45">
        <f t="shared" si="40"/>
        <v>0</v>
      </c>
      <c r="R188" s="43">
        <v>32108724.600000001</v>
      </c>
      <c r="S188" s="30">
        <f t="shared" si="39"/>
        <v>32108724.600000001</v>
      </c>
      <c r="T188" s="30">
        <f t="shared" si="38"/>
        <v>32108724.600000001</v>
      </c>
      <c r="U188" s="30">
        <f>T188/X188</f>
        <v>24.27</v>
      </c>
      <c r="V188" s="43">
        <f>T188/X188</f>
        <v>24.27</v>
      </c>
      <c r="W188" s="43" t="e">
        <f t="shared" si="27"/>
        <v>#VALUE!</v>
      </c>
      <c r="X188" s="43">
        <f t="shared" si="30"/>
        <v>1322980</v>
      </c>
      <c r="Y188" s="43">
        <f>273450+1049530</f>
        <v>1322980</v>
      </c>
      <c r="Z188" s="43">
        <v>0</v>
      </c>
      <c r="AA188" s="43">
        <v>0</v>
      </c>
      <c r="AB188" s="43">
        <v>273450</v>
      </c>
      <c r="AC188" s="43">
        <f t="shared" si="28"/>
        <v>6636631.5</v>
      </c>
      <c r="AD188" s="43">
        <v>1049530</v>
      </c>
      <c r="AE188" s="43">
        <f t="shared" si="29"/>
        <v>25472093.099999998</v>
      </c>
      <c r="AF188" s="43" t="e">
        <f t="shared" si="32"/>
        <v>#VALUE!</v>
      </c>
      <c r="AG188" s="43" t="e">
        <f t="shared" si="33"/>
        <v>#VALUE!</v>
      </c>
      <c r="AH188" s="38">
        <v>45352</v>
      </c>
      <c r="AI188" s="38"/>
      <c r="AJ188" s="38"/>
      <c r="AK188" s="38">
        <v>45383</v>
      </c>
      <c r="AL188" s="38"/>
      <c r="AM188" s="48"/>
      <c r="AN188" s="42"/>
      <c r="AO188" s="42" t="s">
        <v>1354</v>
      </c>
      <c r="AP188" s="42" t="s">
        <v>1365</v>
      </c>
      <c r="AQ188" s="42" t="s">
        <v>1366</v>
      </c>
      <c r="AR188" s="42" t="s">
        <v>82</v>
      </c>
      <c r="AS188" s="50">
        <v>100</v>
      </c>
      <c r="AT188" s="39">
        <v>0</v>
      </c>
      <c r="AU188" s="39" t="s">
        <v>389</v>
      </c>
      <c r="AV188" s="53" t="s">
        <v>1367</v>
      </c>
      <c r="AW188" s="39" t="s">
        <v>62</v>
      </c>
      <c r="AX188" s="39">
        <v>10</v>
      </c>
      <c r="AY188" s="30">
        <f>(J188*10)/100</f>
        <v>3210872.46</v>
      </c>
      <c r="AZ188" s="42" t="s">
        <v>405</v>
      </c>
    </row>
    <row r="189" spans="1:52" ht="58.5" customHeight="1" x14ac:dyDescent="0.25">
      <c r="A189" s="46" t="s">
        <v>1368</v>
      </c>
      <c r="B189" s="48">
        <v>45288</v>
      </c>
      <c r="C189" s="42" t="s">
        <v>435</v>
      </c>
      <c r="D189" s="37" t="s">
        <v>1369</v>
      </c>
      <c r="E189" s="41" t="s">
        <v>1370</v>
      </c>
      <c r="F189" s="38">
        <v>45320</v>
      </c>
      <c r="G189" s="39" t="s">
        <v>1371</v>
      </c>
      <c r="H189" s="42" t="s">
        <v>141</v>
      </c>
      <c r="I189" s="42" t="s">
        <v>1372</v>
      </c>
      <c r="J189" s="56">
        <v>1031720792.4</v>
      </c>
      <c r="K189" s="56">
        <v>1031720792.4</v>
      </c>
      <c r="L189" s="56">
        <v>0</v>
      </c>
      <c r="M189" s="56">
        <v>0</v>
      </c>
      <c r="N189" s="44">
        <f t="shared" si="36"/>
        <v>0</v>
      </c>
      <c r="O189" s="45">
        <f t="shared" si="31"/>
        <v>0</v>
      </c>
      <c r="P189" s="43">
        <v>1031720792.4</v>
      </c>
      <c r="Q189" s="45">
        <f t="shared" si="40"/>
        <v>0</v>
      </c>
      <c r="R189" s="43">
        <v>1031720792.4</v>
      </c>
      <c r="S189" s="30">
        <f t="shared" si="39"/>
        <v>1031720792.4</v>
      </c>
      <c r="T189" s="30">
        <f t="shared" si="38"/>
        <v>1031720792.4</v>
      </c>
      <c r="U189" s="30">
        <f>T189/X189</f>
        <v>201.66</v>
      </c>
      <c r="V189" s="43">
        <f>T189/X189</f>
        <v>201.66</v>
      </c>
      <c r="W189" s="43">
        <f t="shared" si="27"/>
        <v>6049.8</v>
      </c>
      <c r="X189" s="43">
        <f t="shared" si="30"/>
        <v>5116140</v>
      </c>
      <c r="Y189" s="43">
        <v>5116140</v>
      </c>
      <c r="Z189" s="43">
        <v>0</v>
      </c>
      <c r="AA189" s="43">
        <v>0</v>
      </c>
      <c r="AB189" s="43">
        <v>0</v>
      </c>
      <c r="AC189" s="43">
        <f t="shared" si="28"/>
        <v>0</v>
      </c>
      <c r="AD189" s="43">
        <v>0</v>
      </c>
      <c r="AE189" s="43">
        <f t="shared" si="29"/>
        <v>0</v>
      </c>
      <c r="AF189" s="43">
        <f t="shared" si="32"/>
        <v>170538</v>
      </c>
      <c r="AG189" s="43">
        <f t="shared" si="33"/>
        <v>170538</v>
      </c>
      <c r="AH189" s="38">
        <v>45397</v>
      </c>
      <c r="AI189" s="38"/>
      <c r="AJ189" s="38"/>
      <c r="AK189" s="38">
        <v>45427</v>
      </c>
      <c r="AL189" s="38"/>
      <c r="AM189" s="48"/>
      <c r="AN189" s="42"/>
      <c r="AO189" s="42" t="s">
        <v>1373</v>
      </c>
      <c r="AP189" s="42" t="s">
        <v>1374</v>
      </c>
      <c r="AQ189" s="42" t="s">
        <v>1375</v>
      </c>
      <c r="AR189" s="42" t="s">
        <v>82</v>
      </c>
      <c r="AS189" s="50">
        <v>100</v>
      </c>
      <c r="AT189" s="39">
        <v>0</v>
      </c>
      <c r="AU189" s="39" t="s">
        <v>389</v>
      </c>
      <c r="AV189" s="49">
        <v>30</v>
      </c>
      <c r="AW189" s="39" t="s">
        <v>62</v>
      </c>
      <c r="AX189" s="39">
        <v>10</v>
      </c>
      <c r="AY189" s="30">
        <f>(J189*10)/100</f>
        <v>103172079.23999999</v>
      </c>
      <c r="AZ189" s="42" t="s">
        <v>405</v>
      </c>
    </row>
    <row r="190" spans="1:52" ht="58.5" customHeight="1" x14ac:dyDescent="0.25">
      <c r="A190" s="46" t="s">
        <v>1376</v>
      </c>
      <c r="B190" s="48">
        <v>45288</v>
      </c>
      <c r="C190" s="42" t="s">
        <v>435</v>
      </c>
      <c r="D190" s="37" t="s">
        <v>1377</v>
      </c>
      <c r="E190" s="41" t="s">
        <v>1378</v>
      </c>
      <c r="F190" s="38">
        <v>45320</v>
      </c>
      <c r="G190" s="39" t="s">
        <v>1379</v>
      </c>
      <c r="H190" s="42" t="s">
        <v>54</v>
      </c>
      <c r="I190" s="42" t="s">
        <v>1380</v>
      </c>
      <c r="J190" s="56">
        <v>790983700.20000005</v>
      </c>
      <c r="K190" s="56">
        <v>790983700.20000005</v>
      </c>
      <c r="L190" s="56">
        <v>0</v>
      </c>
      <c r="M190" s="56">
        <v>0</v>
      </c>
      <c r="N190" s="44">
        <f t="shared" si="36"/>
        <v>0</v>
      </c>
      <c r="O190" s="45">
        <f t="shared" si="31"/>
        <v>0</v>
      </c>
      <c r="P190" s="43">
        <v>790983700.20000005</v>
      </c>
      <c r="Q190" s="45">
        <f t="shared" si="40"/>
        <v>0</v>
      </c>
      <c r="R190" s="43">
        <v>790983700.20000005</v>
      </c>
      <c r="S190" s="30">
        <f t="shared" si="39"/>
        <v>790983700.20000005</v>
      </c>
      <c r="T190" s="30">
        <f t="shared" si="38"/>
        <v>790983700.20000005</v>
      </c>
      <c r="U190" s="30">
        <f>T190/X190</f>
        <v>414.21000000000004</v>
      </c>
      <c r="V190" s="43">
        <f>T190/X190</f>
        <v>414.21000000000004</v>
      </c>
      <c r="W190" s="43">
        <f t="shared" si="27"/>
        <v>12426.300000000001</v>
      </c>
      <c r="X190" s="43">
        <f t="shared" si="30"/>
        <v>1909620</v>
      </c>
      <c r="Y190" s="43">
        <v>1909620</v>
      </c>
      <c r="Z190" s="43">
        <v>0</v>
      </c>
      <c r="AA190" s="43">
        <v>0</v>
      </c>
      <c r="AB190" s="43">
        <v>0</v>
      </c>
      <c r="AC190" s="43">
        <f t="shared" si="28"/>
        <v>0</v>
      </c>
      <c r="AD190" s="43">
        <v>0</v>
      </c>
      <c r="AE190" s="43">
        <f t="shared" si="29"/>
        <v>0</v>
      </c>
      <c r="AF190" s="43">
        <f t="shared" si="32"/>
        <v>63654</v>
      </c>
      <c r="AG190" s="43">
        <f t="shared" si="33"/>
        <v>63654</v>
      </c>
      <c r="AH190" s="38">
        <v>45514</v>
      </c>
      <c r="AI190" s="38"/>
      <c r="AJ190" s="38"/>
      <c r="AK190" s="38">
        <v>45545</v>
      </c>
      <c r="AL190" s="38"/>
      <c r="AM190" s="48"/>
      <c r="AN190" s="42"/>
      <c r="AO190" s="42" t="s">
        <v>514</v>
      </c>
      <c r="AP190" s="42" t="s">
        <v>515</v>
      </c>
      <c r="AQ190" s="42" t="s">
        <v>516</v>
      </c>
      <c r="AR190" s="42" t="s">
        <v>60</v>
      </c>
      <c r="AS190" s="50">
        <v>0</v>
      </c>
      <c r="AT190" s="39">
        <v>100</v>
      </c>
      <c r="AU190" s="39" t="s">
        <v>389</v>
      </c>
      <c r="AV190" s="49">
        <v>30</v>
      </c>
      <c r="AW190" s="39" t="s">
        <v>62</v>
      </c>
      <c r="AX190" s="39">
        <v>10</v>
      </c>
      <c r="AY190" s="30">
        <f>(J190*10)/100</f>
        <v>79098370.019999996</v>
      </c>
      <c r="AZ190" s="42" t="s">
        <v>405</v>
      </c>
    </row>
    <row r="191" spans="1:52" ht="58.5" customHeight="1" x14ac:dyDescent="0.25">
      <c r="A191" s="46" t="s">
        <v>1381</v>
      </c>
      <c r="B191" s="48">
        <v>45288</v>
      </c>
      <c r="C191" s="42" t="s">
        <v>435</v>
      </c>
      <c r="D191" s="37" t="s">
        <v>434</v>
      </c>
      <c r="E191" s="41" t="s">
        <v>1382</v>
      </c>
      <c r="F191" s="38" t="s">
        <v>434</v>
      </c>
      <c r="G191" s="39" t="s">
        <v>434</v>
      </c>
      <c r="H191" s="42" t="s">
        <v>434</v>
      </c>
      <c r="I191" s="42" t="s">
        <v>1383</v>
      </c>
      <c r="J191" s="56">
        <v>71990384.400000006</v>
      </c>
      <c r="K191" s="56">
        <v>71990384.400000006</v>
      </c>
      <c r="L191" s="56">
        <v>0</v>
      </c>
      <c r="M191" s="56">
        <v>0</v>
      </c>
      <c r="N191" s="44">
        <f t="shared" si="36"/>
        <v>100</v>
      </c>
      <c r="O191" s="45">
        <f t="shared" si="31"/>
        <v>71990384.400000006</v>
      </c>
      <c r="P191" s="43"/>
      <c r="Q191" s="45">
        <f t="shared" si="40"/>
        <v>71990384.400000006</v>
      </c>
      <c r="R191" s="43">
        <v>0</v>
      </c>
      <c r="S191" s="30">
        <f t="shared" si="39"/>
        <v>0</v>
      </c>
      <c r="T191" s="30">
        <f t="shared" si="38"/>
        <v>0</v>
      </c>
      <c r="U191" s="30" t="e">
        <f>T191/X191</f>
        <v>#DIV/0!</v>
      </c>
      <c r="V191" s="43" t="e">
        <f>T191/X191</f>
        <v>#DIV/0!</v>
      </c>
      <c r="W191" s="43" t="e">
        <f t="shared" si="27"/>
        <v>#DIV/0!</v>
      </c>
      <c r="X191" s="43">
        <f t="shared" si="30"/>
        <v>0</v>
      </c>
      <c r="Y191" s="43">
        <v>0</v>
      </c>
      <c r="Z191" s="43">
        <v>0</v>
      </c>
      <c r="AA191" s="43">
        <v>0</v>
      </c>
      <c r="AB191" s="43"/>
      <c r="AC191" s="43" t="e">
        <f t="shared" si="28"/>
        <v>#DIV/0!</v>
      </c>
      <c r="AD191" s="43"/>
      <c r="AE191" s="43" t="e">
        <f t="shared" si="29"/>
        <v>#DIV/0!</v>
      </c>
      <c r="AF191" s="43" t="e">
        <f t="shared" si="32"/>
        <v>#DIV/0!</v>
      </c>
      <c r="AG191" s="43" t="e">
        <f t="shared" si="33"/>
        <v>#DIV/0!</v>
      </c>
      <c r="AH191" s="38">
        <v>45383</v>
      </c>
      <c r="AI191" s="38"/>
      <c r="AJ191" s="38"/>
      <c r="AK191" s="38"/>
      <c r="AL191" s="38"/>
      <c r="AM191" s="48"/>
      <c r="AN191" s="42"/>
      <c r="AO191" s="42"/>
      <c r="AP191" s="42"/>
      <c r="AQ191" s="42"/>
      <c r="AR191" s="42"/>
      <c r="AS191" s="50"/>
      <c r="AT191" s="39"/>
      <c r="AU191" s="39"/>
      <c r="AV191" s="49"/>
      <c r="AW191" s="39"/>
      <c r="AX191" s="39">
        <v>10</v>
      </c>
      <c r="AY191" s="30">
        <f>(J191*10)/100</f>
        <v>7199038.4400000004</v>
      </c>
      <c r="AZ191" s="42" t="s">
        <v>434</v>
      </c>
    </row>
    <row r="192" spans="1:52" ht="58.5" customHeight="1" x14ac:dyDescent="0.25">
      <c r="A192" s="46" t="s">
        <v>1384</v>
      </c>
      <c r="B192" s="48">
        <v>45288</v>
      </c>
      <c r="C192" s="42">
        <v>1416</v>
      </c>
      <c r="D192" s="37" t="s">
        <v>1385</v>
      </c>
      <c r="E192" s="41" t="s">
        <v>1386</v>
      </c>
      <c r="F192" s="38">
        <v>45320</v>
      </c>
      <c r="G192" s="39" t="s">
        <v>1387</v>
      </c>
      <c r="H192" s="42" t="s">
        <v>226</v>
      </c>
      <c r="I192" s="42" t="s">
        <v>1388</v>
      </c>
      <c r="J192" s="56">
        <v>37288365</v>
      </c>
      <c r="K192" s="56">
        <v>37288365</v>
      </c>
      <c r="L192" s="56">
        <v>0</v>
      </c>
      <c r="M192" s="56">
        <v>0</v>
      </c>
      <c r="N192" s="44">
        <f t="shared" si="36"/>
        <v>0.53859964093357271</v>
      </c>
      <c r="O192" s="45">
        <f t="shared" si="31"/>
        <v>200835</v>
      </c>
      <c r="P192" s="43">
        <v>37087530</v>
      </c>
      <c r="Q192" s="45">
        <f t="shared" si="40"/>
        <v>200835</v>
      </c>
      <c r="R192" s="43">
        <v>37087530</v>
      </c>
      <c r="S192" s="30">
        <f t="shared" si="39"/>
        <v>37087530</v>
      </c>
      <c r="T192" s="30">
        <f t="shared" si="38"/>
        <v>37087530</v>
      </c>
      <c r="U192" s="30">
        <f>T192/X192</f>
        <v>11.08</v>
      </c>
      <c r="V192" s="43">
        <f>T192/X192</f>
        <v>11.08</v>
      </c>
      <c r="W192" s="43">
        <f t="shared" si="27"/>
        <v>332.4</v>
      </c>
      <c r="X192" s="43">
        <f t="shared" si="30"/>
        <v>3347250</v>
      </c>
      <c r="Y192" s="43">
        <f>10080+711090</f>
        <v>721170</v>
      </c>
      <c r="Z192" s="43">
        <f>36990+2589090</f>
        <v>2626080</v>
      </c>
      <c r="AA192" s="43">
        <v>0</v>
      </c>
      <c r="AB192" s="43">
        <f>10080+36990</f>
        <v>47070</v>
      </c>
      <c r="AC192" s="43">
        <f t="shared" si="28"/>
        <v>521535.6</v>
      </c>
      <c r="AD192" s="43">
        <f>711090+2589090</f>
        <v>3300180</v>
      </c>
      <c r="AE192" s="43">
        <f t="shared" si="29"/>
        <v>36565994.399999999</v>
      </c>
      <c r="AF192" s="43">
        <f t="shared" si="32"/>
        <v>111575</v>
      </c>
      <c r="AG192" s="43">
        <f t="shared" si="33"/>
        <v>111575</v>
      </c>
      <c r="AH192" s="38">
        <v>45323</v>
      </c>
      <c r="AI192" s="38">
        <v>45383</v>
      </c>
      <c r="AJ192" s="38"/>
      <c r="AK192" s="38">
        <v>45352</v>
      </c>
      <c r="AL192" s="38">
        <v>45413</v>
      </c>
      <c r="AM192" s="48"/>
      <c r="AN192" s="42"/>
      <c r="AO192" s="42" t="s">
        <v>1389</v>
      </c>
      <c r="AP192" s="42" t="s">
        <v>1390</v>
      </c>
      <c r="AQ192" s="42" t="s">
        <v>1348</v>
      </c>
      <c r="AR192" s="42" t="s">
        <v>82</v>
      </c>
      <c r="AS192" s="50">
        <v>100</v>
      </c>
      <c r="AT192" s="39">
        <v>0</v>
      </c>
      <c r="AU192" s="39" t="s">
        <v>389</v>
      </c>
      <c r="AV192" s="49">
        <v>30</v>
      </c>
      <c r="AW192" s="39" t="s">
        <v>62</v>
      </c>
      <c r="AX192" s="39">
        <v>10</v>
      </c>
      <c r="AY192" s="30">
        <f>(J192*10)/100</f>
        <v>3728836.5</v>
      </c>
      <c r="AZ192" s="42" t="s">
        <v>405</v>
      </c>
    </row>
    <row r="193" spans="1:52" ht="58.5" customHeight="1" x14ac:dyDescent="0.25">
      <c r="A193" s="46" t="s">
        <v>1391</v>
      </c>
      <c r="B193" s="48">
        <v>45288</v>
      </c>
      <c r="C193" s="42">
        <v>1416</v>
      </c>
      <c r="D193" s="37" t="s">
        <v>1392</v>
      </c>
      <c r="E193" s="41" t="s">
        <v>1393</v>
      </c>
      <c r="F193" s="38">
        <v>45324</v>
      </c>
      <c r="G193" s="39" t="s">
        <v>1394</v>
      </c>
      <c r="H193" s="42" t="s">
        <v>226</v>
      </c>
      <c r="I193" s="42" t="s">
        <v>1395</v>
      </c>
      <c r="J193" s="56">
        <v>749995.2</v>
      </c>
      <c r="K193" s="56">
        <v>749995.2</v>
      </c>
      <c r="L193" s="56">
        <v>0</v>
      </c>
      <c r="M193" s="56">
        <v>0</v>
      </c>
      <c r="N193" s="44">
        <f t="shared" si="36"/>
        <v>0.50004320027647253</v>
      </c>
      <c r="O193" s="45">
        <f t="shared" si="31"/>
        <v>3750.2999999999302</v>
      </c>
      <c r="P193" s="43">
        <v>746244.9</v>
      </c>
      <c r="Q193" s="45">
        <f t="shared" si="40"/>
        <v>3750.2999999999302</v>
      </c>
      <c r="R193" s="43">
        <v>746244.9</v>
      </c>
      <c r="S193" s="30">
        <f t="shared" si="39"/>
        <v>746244.9</v>
      </c>
      <c r="T193" s="30">
        <f t="shared" si="38"/>
        <v>746244.9</v>
      </c>
      <c r="U193" s="30">
        <f>T193/X193</f>
        <v>921.29000000000008</v>
      </c>
      <c r="V193" s="43">
        <f>T193/X193</f>
        <v>921.29000000000008</v>
      </c>
      <c r="W193" s="43">
        <f t="shared" si="27"/>
        <v>46064.500000000007</v>
      </c>
      <c r="X193" s="43">
        <f t="shared" si="30"/>
        <v>810</v>
      </c>
      <c r="Y193" s="43">
        <v>810</v>
      </c>
      <c r="Z193" s="43">
        <v>0</v>
      </c>
      <c r="AA193" s="43">
        <v>0</v>
      </c>
      <c r="AB193" s="43">
        <v>0</v>
      </c>
      <c r="AC193" s="43">
        <f t="shared" si="28"/>
        <v>0</v>
      </c>
      <c r="AD193" s="43">
        <v>810</v>
      </c>
      <c r="AE193" s="43">
        <f t="shared" si="29"/>
        <v>746244.9</v>
      </c>
      <c r="AF193" s="43">
        <f t="shared" si="32"/>
        <v>16.2</v>
      </c>
      <c r="AG193" s="43">
        <f t="shared" si="33"/>
        <v>17</v>
      </c>
      <c r="AH193" s="38">
        <v>45352</v>
      </c>
      <c r="AI193" s="38"/>
      <c r="AJ193" s="38"/>
      <c r="AK193" s="38">
        <v>45383</v>
      </c>
      <c r="AL193" s="38"/>
      <c r="AM193" s="48"/>
      <c r="AN193" s="42"/>
      <c r="AO193" s="42" t="s">
        <v>1396</v>
      </c>
      <c r="AP193" s="42" t="s">
        <v>1397</v>
      </c>
      <c r="AQ193" s="42" t="s">
        <v>1398</v>
      </c>
      <c r="AR193" s="42" t="s">
        <v>82</v>
      </c>
      <c r="AS193" s="50">
        <v>100</v>
      </c>
      <c r="AT193" s="39">
        <v>0</v>
      </c>
      <c r="AU193" s="39" t="s">
        <v>83</v>
      </c>
      <c r="AV193" s="49">
        <v>50</v>
      </c>
      <c r="AW193" s="39" t="s">
        <v>221</v>
      </c>
      <c r="AX193" s="39">
        <v>10</v>
      </c>
      <c r="AY193" s="30">
        <f>(J193*10)/100</f>
        <v>74999.520000000004</v>
      </c>
      <c r="AZ193" s="42" t="s">
        <v>405</v>
      </c>
    </row>
    <row r="194" spans="1:52" ht="58.5" customHeight="1" x14ac:dyDescent="0.25">
      <c r="A194" s="46" t="s">
        <v>1399</v>
      </c>
      <c r="B194" s="48">
        <v>45289</v>
      </c>
      <c r="C194" s="42">
        <v>1416</v>
      </c>
      <c r="D194" s="37" t="s">
        <v>1400</v>
      </c>
      <c r="E194" s="41" t="s">
        <v>1401</v>
      </c>
      <c r="F194" s="38">
        <v>45327</v>
      </c>
      <c r="G194" s="39" t="s">
        <v>1402</v>
      </c>
      <c r="H194" s="42" t="s">
        <v>309</v>
      </c>
      <c r="I194" s="42" t="s">
        <v>1403</v>
      </c>
      <c r="J194" s="56">
        <v>695313219.03999996</v>
      </c>
      <c r="K194" s="56">
        <v>695313219.03999996</v>
      </c>
      <c r="L194" s="56">
        <v>0</v>
      </c>
      <c r="M194" s="56">
        <v>0</v>
      </c>
      <c r="N194" s="44">
        <f t="shared" si="36"/>
        <v>0</v>
      </c>
      <c r="O194" s="45">
        <f t="shared" si="31"/>
        <v>0</v>
      </c>
      <c r="P194" s="43">
        <v>695313219.03999996</v>
      </c>
      <c r="Q194" s="45">
        <f t="shared" si="40"/>
        <v>0</v>
      </c>
      <c r="R194" s="43">
        <v>695313219.03999996</v>
      </c>
      <c r="S194" s="30">
        <f t="shared" si="39"/>
        <v>695313219.03999996</v>
      </c>
      <c r="T194" s="30">
        <f t="shared" si="38"/>
        <v>695313219.03999996</v>
      </c>
      <c r="U194" s="30">
        <f>T194/X194</f>
        <v>1212.97</v>
      </c>
      <c r="V194" s="43">
        <f>T194/X194</f>
        <v>1212.97</v>
      </c>
      <c r="W194" s="43" t="e">
        <f t="shared" si="27"/>
        <v>#VALUE!</v>
      </c>
      <c r="X194" s="43">
        <f t="shared" si="30"/>
        <v>573232</v>
      </c>
      <c r="Y194" s="43">
        <f>3920+569312</f>
        <v>573232</v>
      </c>
      <c r="Z194" s="43">
        <v>0</v>
      </c>
      <c r="AA194" s="43">
        <v>0</v>
      </c>
      <c r="AB194" s="43">
        <v>3920</v>
      </c>
      <c r="AC194" s="43">
        <f t="shared" si="28"/>
        <v>4754842.4000000004</v>
      </c>
      <c r="AD194" s="43">
        <v>569312</v>
      </c>
      <c r="AE194" s="43">
        <f t="shared" si="29"/>
        <v>690558376.63999999</v>
      </c>
      <c r="AF194" s="43" t="e">
        <f t="shared" si="32"/>
        <v>#VALUE!</v>
      </c>
      <c r="AG194" s="43" t="e">
        <f t="shared" si="33"/>
        <v>#VALUE!</v>
      </c>
      <c r="AH194" s="38">
        <v>45383</v>
      </c>
      <c r="AI194" s="38"/>
      <c r="AJ194" s="38"/>
      <c r="AK194" s="38">
        <v>45413</v>
      </c>
      <c r="AL194" s="38"/>
      <c r="AM194" s="48"/>
      <c r="AN194" s="42"/>
      <c r="AO194" s="42" t="s">
        <v>1404</v>
      </c>
      <c r="AP194" s="42" t="s">
        <v>1405</v>
      </c>
      <c r="AQ194" s="42" t="s">
        <v>1406</v>
      </c>
      <c r="AR194" s="42" t="s">
        <v>82</v>
      </c>
      <c r="AS194" s="50">
        <v>100</v>
      </c>
      <c r="AT194" s="39">
        <v>0</v>
      </c>
      <c r="AU194" s="39" t="s">
        <v>389</v>
      </c>
      <c r="AV194" s="53" t="s">
        <v>1407</v>
      </c>
      <c r="AW194" s="39" t="s">
        <v>62</v>
      </c>
      <c r="AX194" s="39">
        <v>10</v>
      </c>
      <c r="AY194" s="30">
        <f>(J194*10)/100</f>
        <v>69531321.903999999</v>
      </c>
      <c r="AZ194" s="42" t="s">
        <v>405</v>
      </c>
    </row>
    <row r="195" spans="1:52" ht="58.5" customHeight="1" x14ac:dyDescent="0.25">
      <c r="A195" s="46" t="s">
        <v>1408</v>
      </c>
      <c r="B195" s="48">
        <v>45289</v>
      </c>
      <c r="C195" s="42">
        <v>1416</v>
      </c>
      <c r="D195" s="37" t="s">
        <v>1409</v>
      </c>
      <c r="E195" s="41" t="s">
        <v>1410</v>
      </c>
      <c r="F195" s="38">
        <v>45320</v>
      </c>
      <c r="G195" s="39" t="s">
        <v>1411</v>
      </c>
      <c r="H195" s="42" t="s">
        <v>54</v>
      </c>
      <c r="I195" s="42" t="s">
        <v>1412</v>
      </c>
      <c r="J195" s="56">
        <v>3614799</v>
      </c>
      <c r="K195" s="56">
        <v>3614799</v>
      </c>
      <c r="L195" s="56">
        <v>0</v>
      </c>
      <c r="M195" s="56">
        <v>0</v>
      </c>
      <c r="N195" s="44">
        <f t="shared" si="36"/>
        <v>0</v>
      </c>
      <c r="O195" s="45">
        <f t="shared" si="31"/>
        <v>0</v>
      </c>
      <c r="P195" s="43">
        <v>3614799</v>
      </c>
      <c r="Q195" s="45">
        <f t="shared" si="40"/>
        <v>0</v>
      </c>
      <c r="R195" s="43">
        <v>3614799</v>
      </c>
      <c r="S195" s="30">
        <f t="shared" si="39"/>
        <v>3614799</v>
      </c>
      <c r="T195" s="30">
        <f t="shared" si="38"/>
        <v>3614799</v>
      </c>
      <c r="U195" s="30">
        <f>T195/X195</f>
        <v>197.53</v>
      </c>
      <c r="V195" s="43">
        <f>T195/X195</f>
        <v>197.53</v>
      </c>
      <c r="W195" s="43">
        <f t="shared" ref="W195:W258" si="41">V195*AV195</f>
        <v>19753</v>
      </c>
      <c r="X195" s="43">
        <f t="shared" si="30"/>
        <v>18300</v>
      </c>
      <c r="Y195" s="43">
        <f>14700+3600</f>
        <v>18300</v>
      </c>
      <c r="Z195" s="43">
        <v>0</v>
      </c>
      <c r="AA195" s="43">
        <v>0</v>
      </c>
      <c r="AB195" s="43">
        <v>14700</v>
      </c>
      <c r="AC195" s="43">
        <f t="shared" si="28"/>
        <v>2903691</v>
      </c>
      <c r="AD195" s="43">
        <v>3600</v>
      </c>
      <c r="AE195" s="43">
        <f t="shared" si="29"/>
        <v>711108</v>
      </c>
      <c r="AF195" s="43">
        <f t="shared" si="32"/>
        <v>183</v>
      </c>
      <c r="AG195" s="43">
        <f t="shared" si="33"/>
        <v>183</v>
      </c>
      <c r="AH195" s="38">
        <v>45352</v>
      </c>
      <c r="AI195" s="38"/>
      <c r="AJ195" s="38"/>
      <c r="AK195" s="38">
        <v>45383</v>
      </c>
      <c r="AL195" s="38"/>
      <c r="AM195" s="48"/>
      <c r="AN195" s="42"/>
      <c r="AO195" s="42" t="s">
        <v>1413</v>
      </c>
      <c r="AP195" s="42" t="s">
        <v>1414</v>
      </c>
      <c r="AQ195" s="42" t="s">
        <v>1415</v>
      </c>
      <c r="AR195" s="42" t="s">
        <v>1416</v>
      </c>
      <c r="AS195" s="50">
        <v>0</v>
      </c>
      <c r="AT195" s="39">
        <v>100</v>
      </c>
      <c r="AU195" s="39" t="s">
        <v>327</v>
      </c>
      <c r="AV195" s="49">
        <v>100</v>
      </c>
      <c r="AW195" s="39" t="s">
        <v>62</v>
      </c>
      <c r="AX195" s="39">
        <v>10</v>
      </c>
      <c r="AY195" s="30">
        <f>(J195*10)/100</f>
        <v>361479.9</v>
      </c>
      <c r="AZ195" s="42" t="s">
        <v>405</v>
      </c>
    </row>
    <row r="196" spans="1:52" ht="58.5" customHeight="1" x14ac:dyDescent="0.25">
      <c r="A196" s="46" t="s">
        <v>1417</v>
      </c>
      <c r="B196" s="48">
        <v>45289</v>
      </c>
      <c r="C196" s="42">
        <v>1416</v>
      </c>
      <c r="D196" s="37" t="s">
        <v>1418</v>
      </c>
      <c r="E196" s="41" t="s">
        <v>1419</v>
      </c>
      <c r="F196" s="38">
        <v>45322</v>
      </c>
      <c r="G196" s="39" t="s">
        <v>1420</v>
      </c>
      <c r="H196" s="42" t="s">
        <v>1199</v>
      </c>
      <c r="I196" s="42" t="s">
        <v>1421</v>
      </c>
      <c r="J196" s="56">
        <v>87974803.200000003</v>
      </c>
      <c r="K196" s="56">
        <v>87974803.200000003</v>
      </c>
      <c r="L196" s="56">
        <v>0</v>
      </c>
      <c r="M196" s="56">
        <v>0</v>
      </c>
      <c r="N196" s="44">
        <f t="shared" si="36"/>
        <v>2.0000000181870234</v>
      </c>
      <c r="O196" s="45">
        <f t="shared" si="31"/>
        <v>1759496.0799999982</v>
      </c>
      <c r="P196" s="43">
        <v>86215307.120000005</v>
      </c>
      <c r="Q196" s="45">
        <f t="shared" si="40"/>
        <v>17960472</v>
      </c>
      <c r="R196" s="43">
        <v>70014331.200000003</v>
      </c>
      <c r="S196" s="30">
        <f t="shared" si="39"/>
        <v>70014331.200000003</v>
      </c>
      <c r="T196" s="30">
        <f t="shared" si="39"/>
        <v>70014331.200000003</v>
      </c>
      <c r="U196" s="30">
        <f>T196/X196</f>
        <v>88.88000000000001</v>
      </c>
      <c r="V196" s="43">
        <f>T196/X196</f>
        <v>88.88000000000001</v>
      </c>
      <c r="W196" s="43">
        <f t="shared" si="41"/>
        <v>5332.8</v>
      </c>
      <c r="X196" s="43">
        <f t="shared" si="30"/>
        <v>787740</v>
      </c>
      <c r="Y196" s="43">
        <f>39420+344460</f>
        <v>383880</v>
      </c>
      <c r="Z196" s="43">
        <f>41040+362820</f>
        <v>403860</v>
      </c>
      <c r="AA196" s="43">
        <v>0</v>
      </c>
      <c r="AB196" s="43">
        <f>39420+41040</f>
        <v>80460</v>
      </c>
      <c r="AC196" s="43">
        <f t="shared" ref="AC196:AC259" si="42">AB196*V196</f>
        <v>7151284.8000000007</v>
      </c>
      <c r="AD196" s="43">
        <f>344460+362820</f>
        <v>707280</v>
      </c>
      <c r="AE196" s="43">
        <f t="shared" ref="AE196:AE259" si="43">AD196*V196</f>
        <v>62863046.400000006</v>
      </c>
      <c r="AF196" s="43">
        <f t="shared" si="32"/>
        <v>13129</v>
      </c>
      <c r="AG196" s="43">
        <f t="shared" si="33"/>
        <v>13129</v>
      </c>
      <c r="AH196" s="38">
        <v>45352</v>
      </c>
      <c r="AI196" s="38">
        <v>45474</v>
      </c>
      <c r="AJ196" s="38"/>
      <c r="AK196" s="38">
        <v>45383</v>
      </c>
      <c r="AL196" s="38">
        <v>45505</v>
      </c>
      <c r="AM196" s="48"/>
      <c r="AN196" s="42"/>
      <c r="AO196" s="42" t="s">
        <v>1201</v>
      </c>
      <c r="AP196" s="42" t="s">
        <v>1422</v>
      </c>
      <c r="AQ196" s="42" t="s">
        <v>1203</v>
      </c>
      <c r="AR196" s="42" t="s">
        <v>82</v>
      </c>
      <c r="AS196" s="50">
        <v>100</v>
      </c>
      <c r="AT196" s="39">
        <v>0</v>
      </c>
      <c r="AU196" s="39" t="s">
        <v>389</v>
      </c>
      <c r="AV196" s="49">
        <v>60</v>
      </c>
      <c r="AW196" s="39" t="s">
        <v>62</v>
      </c>
      <c r="AX196" s="39">
        <v>10</v>
      </c>
      <c r="AY196" s="30">
        <f>(J196*10)/100</f>
        <v>8797480.3200000003</v>
      </c>
      <c r="AZ196" s="42" t="s">
        <v>405</v>
      </c>
    </row>
    <row r="197" spans="1:52" ht="58.5" customHeight="1" x14ac:dyDescent="0.25">
      <c r="A197" s="46" t="s">
        <v>1423</v>
      </c>
      <c r="B197" s="48">
        <v>45289</v>
      </c>
      <c r="C197" s="42">
        <v>1416</v>
      </c>
      <c r="D197" s="37" t="s">
        <v>1424</v>
      </c>
      <c r="E197" s="41" t="s">
        <v>1425</v>
      </c>
      <c r="F197" s="38">
        <v>45320</v>
      </c>
      <c r="G197" s="39" t="s">
        <v>1426</v>
      </c>
      <c r="H197" s="42" t="s">
        <v>54</v>
      </c>
      <c r="I197" s="42" t="s">
        <v>1427</v>
      </c>
      <c r="J197" s="56">
        <v>165786.4</v>
      </c>
      <c r="K197" s="56">
        <v>165786.4</v>
      </c>
      <c r="L197" s="56">
        <v>0</v>
      </c>
      <c r="M197" s="56">
        <v>0</v>
      </c>
      <c r="N197" s="44">
        <f t="shared" si="36"/>
        <v>0</v>
      </c>
      <c r="O197" s="45">
        <f t="shared" si="31"/>
        <v>0</v>
      </c>
      <c r="P197" s="43">
        <v>165786.4</v>
      </c>
      <c r="Q197" s="45">
        <f t="shared" si="40"/>
        <v>0</v>
      </c>
      <c r="R197" s="43">
        <v>165786.4</v>
      </c>
      <c r="S197" s="30">
        <f t="shared" si="39"/>
        <v>165786.4</v>
      </c>
      <c r="T197" s="30">
        <f t="shared" si="39"/>
        <v>165786.4</v>
      </c>
      <c r="U197" s="30">
        <f>T197/X197</f>
        <v>218.14</v>
      </c>
      <c r="V197" s="43">
        <f>T197/X197</f>
        <v>218.14</v>
      </c>
      <c r="W197" s="43">
        <f t="shared" si="41"/>
        <v>8725.5999999999985</v>
      </c>
      <c r="X197" s="43">
        <f t="shared" si="30"/>
        <v>760</v>
      </c>
      <c r="Y197" s="43">
        <v>760</v>
      </c>
      <c r="Z197" s="43">
        <v>0</v>
      </c>
      <c r="AA197" s="43">
        <v>0</v>
      </c>
      <c r="AB197" s="43">
        <v>760</v>
      </c>
      <c r="AC197" s="43">
        <f t="shared" si="42"/>
        <v>165786.4</v>
      </c>
      <c r="AD197" s="43">
        <v>0</v>
      </c>
      <c r="AE197" s="43">
        <f t="shared" si="43"/>
        <v>0</v>
      </c>
      <c r="AF197" s="43">
        <f t="shared" si="32"/>
        <v>19</v>
      </c>
      <c r="AG197" s="43">
        <f t="shared" si="33"/>
        <v>19</v>
      </c>
      <c r="AH197" s="38">
        <v>45352</v>
      </c>
      <c r="AI197" s="38"/>
      <c r="AJ197" s="38"/>
      <c r="AK197" s="38">
        <v>45383</v>
      </c>
      <c r="AL197" s="38"/>
      <c r="AM197" s="48"/>
      <c r="AN197" s="42"/>
      <c r="AO197" s="42" t="s">
        <v>189</v>
      </c>
      <c r="AP197" s="42" t="s">
        <v>1428</v>
      </c>
      <c r="AQ197" s="42" t="s">
        <v>1429</v>
      </c>
      <c r="AR197" s="42" t="s">
        <v>1416</v>
      </c>
      <c r="AS197" s="50">
        <v>0</v>
      </c>
      <c r="AT197" s="39">
        <v>100</v>
      </c>
      <c r="AU197" s="39" t="s">
        <v>327</v>
      </c>
      <c r="AV197" s="49">
        <v>40</v>
      </c>
      <c r="AW197" s="39" t="s">
        <v>221</v>
      </c>
      <c r="AX197" s="39">
        <v>10</v>
      </c>
      <c r="AY197" s="30">
        <f>(J197*10)/100</f>
        <v>16578.64</v>
      </c>
      <c r="AZ197" s="42" t="s">
        <v>405</v>
      </c>
    </row>
    <row r="198" spans="1:52" ht="58.5" customHeight="1" x14ac:dyDescent="0.25">
      <c r="A198" s="46" t="s">
        <v>1430</v>
      </c>
      <c r="B198" s="48">
        <v>45289</v>
      </c>
      <c r="C198" s="42">
        <v>1416</v>
      </c>
      <c r="D198" s="37" t="s">
        <v>1431</v>
      </c>
      <c r="E198" s="41" t="s">
        <v>1432</v>
      </c>
      <c r="F198" s="38">
        <v>45322</v>
      </c>
      <c r="G198" s="39" t="s">
        <v>1433</v>
      </c>
      <c r="H198" s="42" t="s">
        <v>226</v>
      </c>
      <c r="I198" s="42" t="s">
        <v>1434</v>
      </c>
      <c r="J198" s="56">
        <v>17068912</v>
      </c>
      <c r="K198" s="56">
        <v>17068912</v>
      </c>
      <c r="L198" s="56">
        <v>0</v>
      </c>
      <c r="M198" s="56">
        <v>0</v>
      </c>
      <c r="N198" s="44">
        <f t="shared" si="36"/>
        <v>0.50590219224283306</v>
      </c>
      <c r="O198" s="45">
        <f t="shared" si="31"/>
        <v>86352</v>
      </c>
      <c r="P198" s="43">
        <v>16982560</v>
      </c>
      <c r="Q198" s="45">
        <f t="shared" si="40"/>
        <v>86352</v>
      </c>
      <c r="R198" s="43">
        <v>16982560</v>
      </c>
      <c r="S198" s="30">
        <f t="shared" si="39"/>
        <v>16982560</v>
      </c>
      <c r="T198" s="30">
        <f t="shared" si="39"/>
        <v>16982560</v>
      </c>
      <c r="U198" s="30">
        <f>T198/X198</f>
        <v>11.8</v>
      </c>
      <c r="V198" s="43">
        <f>T198/X198</f>
        <v>11.8</v>
      </c>
      <c r="W198" s="43">
        <f t="shared" si="41"/>
        <v>1180</v>
      </c>
      <c r="X198" s="43">
        <f t="shared" si="30"/>
        <v>1439200</v>
      </c>
      <c r="Y198" s="43">
        <f>142900+1296300</f>
        <v>1439200</v>
      </c>
      <c r="Z198" s="43">
        <v>0</v>
      </c>
      <c r="AA198" s="43">
        <v>0</v>
      </c>
      <c r="AB198" s="43">
        <v>142900</v>
      </c>
      <c r="AC198" s="43">
        <f t="shared" si="42"/>
        <v>1686220</v>
      </c>
      <c r="AD198" s="43">
        <v>1296300</v>
      </c>
      <c r="AE198" s="43">
        <f t="shared" si="43"/>
        <v>15296340</v>
      </c>
      <c r="AF198" s="43">
        <f t="shared" si="32"/>
        <v>14392</v>
      </c>
      <c r="AG198" s="43">
        <f t="shared" si="33"/>
        <v>14392</v>
      </c>
      <c r="AH198" s="38">
        <v>45352</v>
      </c>
      <c r="AI198" s="38"/>
      <c r="AJ198" s="38"/>
      <c r="AK198" s="38">
        <v>45383</v>
      </c>
      <c r="AL198" s="38"/>
      <c r="AM198" s="48"/>
      <c r="AN198" s="42"/>
      <c r="AO198" s="42" t="s">
        <v>1435</v>
      </c>
      <c r="AP198" s="42" t="s">
        <v>1436</v>
      </c>
      <c r="AQ198" s="42" t="s">
        <v>1437</v>
      </c>
      <c r="AR198" s="42" t="s">
        <v>82</v>
      </c>
      <c r="AS198" s="50">
        <v>100</v>
      </c>
      <c r="AT198" s="39">
        <v>0</v>
      </c>
      <c r="AU198" s="39" t="s">
        <v>389</v>
      </c>
      <c r="AV198" s="49">
        <v>100</v>
      </c>
      <c r="AW198" s="39" t="s">
        <v>62</v>
      </c>
      <c r="AX198" s="39">
        <v>10</v>
      </c>
      <c r="AY198" s="30">
        <f>(J198*10)/100</f>
        <v>1706891.2</v>
      </c>
      <c r="AZ198" s="42" t="s">
        <v>405</v>
      </c>
    </row>
    <row r="199" spans="1:52" ht="58.5" customHeight="1" x14ac:dyDescent="0.25">
      <c r="A199" s="46" t="s">
        <v>1438</v>
      </c>
      <c r="B199" s="48">
        <v>45289</v>
      </c>
      <c r="C199" s="42">
        <v>1416</v>
      </c>
      <c r="D199" s="37" t="s">
        <v>1439</v>
      </c>
      <c r="E199" s="41" t="s">
        <v>1440</v>
      </c>
      <c r="F199" s="38">
        <v>45317</v>
      </c>
      <c r="G199" s="39" t="s">
        <v>1441</v>
      </c>
      <c r="H199" s="42" t="s">
        <v>54</v>
      </c>
      <c r="I199" s="42" t="s">
        <v>611</v>
      </c>
      <c r="J199" s="56">
        <v>13163854000</v>
      </c>
      <c r="K199" s="56">
        <v>13163854000</v>
      </c>
      <c r="L199" s="56">
        <v>6581927000</v>
      </c>
      <c r="M199" s="56">
        <v>6581927000</v>
      </c>
      <c r="N199" s="44">
        <f t="shared" si="36"/>
        <v>0</v>
      </c>
      <c r="O199" s="45">
        <f t="shared" si="31"/>
        <v>0</v>
      </c>
      <c r="P199" s="43">
        <v>13163854000</v>
      </c>
      <c r="Q199" s="45">
        <v>0</v>
      </c>
      <c r="R199" s="43">
        <v>6581927000</v>
      </c>
      <c r="S199" s="30">
        <f t="shared" si="39"/>
        <v>6581927000</v>
      </c>
      <c r="T199" s="30">
        <v>13163854000</v>
      </c>
      <c r="U199" s="30">
        <f>T199/X199</f>
        <v>22696.3</v>
      </c>
      <c r="V199" s="43">
        <f>T199/X199</f>
        <v>22696.3</v>
      </c>
      <c r="W199" s="43">
        <f t="shared" si="41"/>
        <v>226963</v>
      </c>
      <c r="X199" s="43">
        <v>580000</v>
      </c>
      <c r="Y199" s="43">
        <f>1560+288440</f>
        <v>290000</v>
      </c>
      <c r="Z199" s="43">
        <v>0</v>
      </c>
      <c r="AA199" s="43">
        <v>0</v>
      </c>
      <c r="AB199" s="43">
        <v>1560</v>
      </c>
      <c r="AC199" s="43">
        <f t="shared" si="42"/>
        <v>35406228</v>
      </c>
      <c r="AD199" s="43">
        <v>288440</v>
      </c>
      <c r="AE199" s="43">
        <f t="shared" si="43"/>
        <v>6546520772</v>
      </c>
      <c r="AF199" s="43">
        <f t="shared" si="32"/>
        <v>58000</v>
      </c>
      <c r="AG199" s="43">
        <f t="shared" si="33"/>
        <v>58000</v>
      </c>
      <c r="AH199" s="38">
        <v>45352</v>
      </c>
      <c r="AI199" s="38">
        <v>45717</v>
      </c>
      <c r="AJ199" s="38"/>
      <c r="AK199" s="38">
        <v>45383</v>
      </c>
      <c r="AL199" s="38">
        <v>45748</v>
      </c>
      <c r="AM199" s="48"/>
      <c r="AN199" s="42"/>
      <c r="AO199" s="42" t="s">
        <v>1442</v>
      </c>
      <c r="AP199" s="42" t="s">
        <v>1443</v>
      </c>
      <c r="AQ199" s="42" t="s">
        <v>1444</v>
      </c>
      <c r="AR199" s="42" t="s">
        <v>94</v>
      </c>
      <c r="AS199" s="50">
        <v>0</v>
      </c>
      <c r="AT199" s="39">
        <v>100</v>
      </c>
      <c r="AU199" s="39" t="s">
        <v>83</v>
      </c>
      <c r="AV199" s="49">
        <v>10</v>
      </c>
      <c r="AW199" s="39" t="s">
        <v>62</v>
      </c>
      <c r="AX199" s="39">
        <v>10</v>
      </c>
      <c r="AY199" s="30">
        <f>(J199*10)/100</f>
        <v>1316385400</v>
      </c>
      <c r="AZ199" s="42" t="s">
        <v>405</v>
      </c>
    </row>
    <row r="200" spans="1:52" ht="58.5" customHeight="1" x14ac:dyDescent="0.25">
      <c r="A200" s="46" t="s">
        <v>1445</v>
      </c>
      <c r="B200" s="48">
        <v>45289</v>
      </c>
      <c r="C200" s="42">
        <v>1416</v>
      </c>
      <c r="D200" s="37" t="s">
        <v>1446</v>
      </c>
      <c r="E200" s="41" t="s">
        <v>1447</v>
      </c>
      <c r="F200" s="38">
        <v>45320</v>
      </c>
      <c r="G200" s="39" t="s">
        <v>1448</v>
      </c>
      <c r="H200" s="42" t="s">
        <v>226</v>
      </c>
      <c r="I200" s="42" t="s">
        <v>1449</v>
      </c>
      <c r="J200" s="56">
        <v>8914257</v>
      </c>
      <c r="K200" s="56">
        <v>8914257</v>
      </c>
      <c r="L200" s="56">
        <v>0</v>
      </c>
      <c r="M200" s="56">
        <v>0</v>
      </c>
      <c r="N200" s="44">
        <f t="shared" si="36"/>
        <v>0</v>
      </c>
      <c r="O200" s="45">
        <f t="shared" ref="O200:O263" si="44">J200-P200</f>
        <v>0</v>
      </c>
      <c r="P200" s="43">
        <v>8914257</v>
      </c>
      <c r="Q200" s="45">
        <f t="shared" ref="Q200:Q263" si="45">J200-R200</f>
        <v>0</v>
      </c>
      <c r="R200" s="43">
        <v>8914257</v>
      </c>
      <c r="S200" s="30">
        <f t="shared" si="39"/>
        <v>8914257</v>
      </c>
      <c r="T200" s="30">
        <f t="shared" si="39"/>
        <v>8914257</v>
      </c>
      <c r="U200" s="30">
        <f>T200/X200</f>
        <v>41.91</v>
      </c>
      <c r="V200" s="43">
        <f>T200/X200</f>
        <v>41.91</v>
      </c>
      <c r="W200" s="43">
        <f t="shared" si="41"/>
        <v>2095.5</v>
      </c>
      <c r="X200" s="43">
        <f t="shared" ref="X200:X263" si="46">Y200+Z200+AA200</f>
        <v>212700</v>
      </c>
      <c r="Y200" s="43">
        <f>7300+205400</f>
        <v>212700</v>
      </c>
      <c r="Z200" s="43">
        <v>0</v>
      </c>
      <c r="AA200" s="43">
        <v>0</v>
      </c>
      <c r="AB200" s="43">
        <v>7300</v>
      </c>
      <c r="AC200" s="43">
        <f t="shared" si="42"/>
        <v>305943</v>
      </c>
      <c r="AD200" s="43">
        <v>205400</v>
      </c>
      <c r="AE200" s="43">
        <f t="shared" si="43"/>
        <v>8608314</v>
      </c>
      <c r="AF200" s="43">
        <f t="shared" si="32"/>
        <v>4254</v>
      </c>
      <c r="AG200" s="43">
        <f t="shared" si="33"/>
        <v>4254</v>
      </c>
      <c r="AH200" s="38">
        <v>45383</v>
      </c>
      <c r="AI200" s="38"/>
      <c r="AJ200" s="38"/>
      <c r="AK200" s="38">
        <v>45413</v>
      </c>
      <c r="AL200" s="38"/>
      <c r="AM200" s="48"/>
      <c r="AN200" s="42"/>
      <c r="AO200" s="42" t="s">
        <v>1450</v>
      </c>
      <c r="AP200" s="42" t="s">
        <v>1451</v>
      </c>
      <c r="AQ200" s="42" t="s">
        <v>1452</v>
      </c>
      <c r="AR200" s="42" t="s">
        <v>82</v>
      </c>
      <c r="AS200" s="50">
        <v>100</v>
      </c>
      <c r="AT200" s="39">
        <v>0</v>
      </c>
      <c r="AU200" s="39" t="s">
        <v>389</v>
      </c>
      <c r="AV200" s="49">
        <v>50</v>
      </c>
      <c r="AW200" s="39" t="s">
        <v>62</v>
      </c>
      <c r="AX200" s="39">
        <v>10</v>
      </c>
      <c r="AY200" s="30">
        <f>(J200*10)/100</f>
        <v>891425.7</v>
      </c>
      <c r="AZ200" s="42" t="s">
        <v>405</v>
      </c>
    </row>
    <row r="201" spans="1:52" ht="58.5" customHeight="1" x14ac:dyDescent="0.25">
      <c r="A201" s="46" t="s">
        <v>1453</v>
      </c>
      <c r="B201" s="48">
        <v>45289</v>
      </c>
      <c r="C201" s="42">
        <v>1688</v>
      </c>
      <c r="D201" s="37" t="s">
        <v>434</v>
      </c>
      <c r="E201" s="41" t="s">
        <v>1454</v>
      </c>
      <c r="F201" s="38" t="s">
        <v>434</v>
      </c>
      <c r="G201" s="39" t="s">
        <v>434</v>
      </c>
      <c r="H201" s="42" t="s">
        <v>434</v>
      </c>
      <c r="I201" s="42" t="s">
        <v>1455</v>
      </c>
      <c r="J201" s="56">
        <v>2263398</v>
      </c>
      <c r="K201" s="56">
        <v>2263398</v>
      </c>
      <c r="L201" s="56">
        <v>0</v>
      </c>
      <c r="M201" s="56">
        <v>0</v>
      </c>
      <c r="N201" s="44">
        <f t="shared" si="36"/>
        <v>100</v>
      </c>
      <c r="O201" s="45">
        <f t="shared" si="44"/>
        <v>2263398</v>
      </c>
      <c r="P201" s="43"/>
      <c r="Q201" s="45">
        <f t="shared" si="45"/>
        <v>2263398</v>
      </c>
      <c r="R201" s="43">
        <v>0</v>
      </c>
      <c r="S201" s="30">
        <f t="shared" si="39"/>
        <v>0</v>
      </c>
      <c r="T201" s="30">
        <f t="shared" si="39"/>
        <v>0</v>
      </c>
      <c r="U201" s="30" t="e">
        <f>T201/X201</f>
        <v>#DIV/0!</v>
      </c>
      <c r="V201" s="43" t="e">
        <f>T201/X201</f>
        <v>#DIV/0!</v>
      </c>
      <c r="W201" s="43" t="e">
        <f t="shared" si="41"/>
        <v>#DIV/0!</v>
      </c>
      <c r="X201" s="43">
        <f t="shared" si="46"/>
        <v>0</v>
      </c>
      <c r="Y201" s="43">
        <v>0</v>
      </c>
      <c r="Z201" s="43">
        <v>0</v>
      </c>
      <c r="AA201" s="43">
        <v>0</v>
      </c>
      <c r="AB201" s="43"/>
      <c r="AC201" s="43" t="e">
        <f t="shared" si="42"/>
        <v>#DIV/0!</v>
      </c>
      <c r="AD201" s="43"/>
      <c r="AE201" s="43" t="e">
        <f t="shared" si="43"/>
        <v>#DIV/0!</v>
      </c>
      <c r="AF201" s="43" t="e">
        <f t="shared" si="32"/>
        <v>#DIV/0!</v>
      </c>
      <c r="AG201" s="43" t="e">
        <f t="shared" si="33"/>
        <v>#DIV/0!</v>
      </c>
      <c r="AH201" s="38">
        <v>45337</v>
      </c>
      <c r="AI201" s="38"/>
      <c r="AJ201" s="38"/>
      <c r="AK201" s="38"/>
      <c r="AL201" s="38"/>
      <c r="AM201" s="48"/>
      <c r="AN201" s="42"/>
      <c r="AO201" s="42"/>
      <c r="AP201" s="42"/>
      <c r="AQ201" s="42"/>
      <c r="AR201" s="42"/>
      <c r="AS201" s="50"/>
      <c r="AT201" s="39"/>
      <c r="AU201" s="39"/>
      <c r="AV201" s="49"/>
      <c r="AW201" s="39"/>
      <c r="AX201" s="39">
        <v>10</v>
      </c>
      <c r="AY201" s="30">
        <f>(J201*10)/100</f>
        <v>226339.8</v>
      </c>
      <c r="AZ201" s="42" t="s">
        <v>434</v>
      </c>
    </row>
    <row r="202" spans="1:52" ht="58.5" customHeight="1" x14ac:dyDescent="0.25">
      <c r="A202" s="46" t="s">
        <v>1456</v>
      </c>
      <c r="B202" s="48">
        <v>45289</v>
      </c>
      <c r="C202" s="42">
        <v>1416</v>
      </c>
      <c r="D202" s="37" t="s">
        <v>1457</v>
      </c>
      <c r="E202" s="41" t="s">
        <v>1458</v>
      </c>
      <c r="F202" s="38">
        <v>45324</v>
      </c>
      <c r="G202" s="39" t="s">
        <v>1459</v>
      </c>
      <c r="H202" s="42" t="s">
        <v>141</v>
      </c>
      <c r="I202" s="42" t="s">
        <v>1460</v>
      </c>
      <c r="J202" s="56">
        <v>11061180</v>
      </c>
      <c r="K202" s="56">
        <v>11061180</v>
      </c>
      <c r="L202" s="56">
        <v>0</v>
      </c>
      <c r="M202" s="56">
        <v>0</v>
      </c>
      <c r="N202" s="44">
        <f t="shared" si="36"/>
        <v>0</v>
      </c>
      <c r="O202" s="45">
        <f t="shared" si="44"/>
        <v>0</v>
      </c>
      <c r="P202" s="43">
        <v>11061180</v>
      </c>
      <c r="Q202" s="45">
        <f t="shared" si="45"/>
        <v>0</v>
      </c>
      <c r="R202" s="43">
        <v>11061180</v>
      </c>
      <c r="S202" s="30">
        <f t="shared" si="39"/>
        <v>11061180</v>
      </c>
      <c r="T202" s="30">
        <f t="shared" si="39"/>
        <v>11061180</v>
      </c>
      <c r="U202" s="30">
        <f>T202/X202</f>
        <v>13.04</v>
      </c>
      <c r="V202" s="43">
        <f>T202/X202</f>
        <v>13.04</v>
      </c>
      <c r="W202" s="43">
        <f t="shared" si="41"/>
        <v>3260</v>
      </c>
      <c r="X202" s="43">
        <f t="shared" si="46"/>
        <v>848250</v>
      </c>
      <c r="Y202" s="43">
        <f>835000+13250</f>
        <v>848250</v>
      </c>
      <c r="Z202" s="43">
        <v>0</v>
      </c>
      <c r="AA202" s="43">
        <v>0</v>
      </c>
      <c r="AB202" s="43">
        <v>835000</v>
      </c>
      <c r="AC202" s="43">
        <f t="shared" si="42"/>
        <v>10888400</v>
      </c>
      <c r="AD202" s="43">
        <v>13250</v>
      </c>
      <c r="AE202" s="43">
        <f t="shared" si="43"/>
        <v>172780</v>
      </c>
      <c r="AF202" s="43">
        <f t="shared" si="32"/>
        <v>3393</v>
      </c>
      <c r="AG202" s="43">
        <f t="shared" si="33"/>
        <v>3393</v>
      </c>
      <c r="AH202" s="38">
        <v>45473</v>
      </c>
      <c r="AI202" s="38"/>
      <c r="AJ202" s="38"/>
      <c r="AK202" s="38">
        <v>45505</v>
      </c>
      <c r="AL202" s="38"/>
      <c r="AM202" s="48"/>
      <c r="AN202" s="42"/>
      <c r="AO202" s="42" t="s">
        <v>1461</v>
      </c>
      <c r="AP202" s="42" t="s">
        <v>1462</v>
      </c>
      <c r="AQ202" s="42" t="s">
        <v>1463</v>
      </c>
      <c r="AR202" s="42" t="s">
        <v>295</v>
      </c>
      <c r="AS202" s="50">
        <v>0</v>
      </c>
      <c r="AT202" s="39">
        <v>100</v>
      </c>
      <c r="AU202" s="39" t="s">
        <v>95</v>
      </c>
      <c r="AV202" s="49">
        <v>250</v>
      </c>
      <c r="AW202" s="39" t="s">
        <v>62</v>
      </c>
      <c r="AX202" s="39">
        <v>10</v>
      </c>
      <c r="AY202" s="30">
        <f>(J202*10)/100</f>
        <v>1106118</v>
      </c>
      <c r="AZ202" s="42" t="s">
        <v>405</v>
      </c>
    </row>
    <row r="203" spans="1:52" ht="58.5" customHeight="1" x14ac:dyDescent="0.25">
      <c r="A203" s="46" t="s">
        <v>1464</v>
      </c>
      <c r="B203" s="48">
        <v>45289</v>
      </c>
      <c r="C203" s="42">
        <v>1416</v>
      </c>
      <c r="D203" s="37" t="s">
        <v>1465</v>
      </c>
      <c r="E203" s="41" t="s">
        <v>1466</v>
      </c>
      <c r="F203" s="38">
        <v>45320</v>
      </c>
      <c r="G203" s="39" t="s">
        <v>1467</v>
      </c>
      <c r="H203" s="42" t="s">
        <v>1216</v>
      </c>
      <c r="I203" s="42" t="s">
        <v>1468</v>
      </c>
      <c r="J203" s="56">
        <v>353355.52000000002</v>
      </c>
      <c r="K203" s="56">
        <v>353355.52000000002</v>
      </c>
      <c r="L203" s="56">
        <v>0</v>
      </c>
      <c r="M203" s="56">
        <v>0</v>
      </c>
      <c r="N203" s="44">
        <f t="shared" si="36"/>
        <v>0</v>
      </c>
      <c r="O203" s="45">
        <f t="shared" si="44"/>
        <v>0</v>
      </c>
      <c r="P203" s="43">
        <v>353355.52000000002</v>
      </c>
      <c r="Q203" s="45">
        <f t="shared" si="45"/>
        <v>0</v>
      </c>
      <c r="R203" s="43">
        <v>353355.52000000002</v>
      </c>
      <c r="S203" s="30">
        <f t="shared" si="39"/>
        <v>353355.52000000002</v>
      </c>
      <c r="T203" s="30">
        <f t="shared" si="39"/>
        <v>353355.52000000002</v>
      </c>
      <c r="U203" s="30">
        <f>T203/X203</f>
        <v>97.72</v>
      </c>
      <c r="V203" s="43">
        <f>T203/X203</f>
        <v>97.72</v>
      </c>
      <c r="W203" s="43">
        <f t="shared" si="41"/>
        <v>4886</v>
      </c>
      <c r="X203" s="43">
        <f t="shared" si="46"/>
        <v>3616</v>
      </c>
      <c r="Y203" s="43">
        <f>366+3250</f>
        <v>3616</v>
      </c>
      <c r="Z203" s="43">
        <v>0</v>
      </c>
      <c r="AA203" s="43">
        <v>0</v>
      </c>
      <c r="AB203" s="43">
        <v>366</v>
      </c>
      <c r="AC203" s="43">
        <f t="shared" si="42"/>
        <v>35765.519999999997</v>
      </c>
      <c r="AD203" s="43">
        <v>3250</v>
      </c>
      <c r="AE203" s="43">
        <f t="shared" si="43"/>
        <v>317590</v>
      </c>
      <c r="AF203" s="43">
        <f t="shared" si="32"/>
        <v>72.319999999999993</v>
      </c>
      <c r="AG203" s="43">
        <f t="shared" si="33"/>
        <v>73</v>
      </c>
      <c r="AH203" s="38">
        <v>45352</v>
      </c>
      <c r="AI203" s="38"/>
      <c r="AJ203" s="38"/>
      <c r="AK203" s="38">
        <v>45383</v>
      </c>
      <c r="AL203" s="38"/>
      <c r="AM203" s="48"/>
      <c r="AN203" s="42"/>
      <c r="AO203" s="42" t="s">
        <v>1469</v>
      </c>
      <c r="AP203" s="42" t="s">
        <v>1470</v>
      </c>
      <c r="AQ203" s="42" t="s">
        <v>1471</v>
      </c>
      <c r="AR203" s="42" t="s">
        <v>82</v>
      </c>
      <c r="AS203" s="50">
        <v>100</v>
      </c>
      <c r="AT203" s="39">
        <v>0</v>
      </c>
      <c r="AU203" s="39" t="s">
        <v>389</v>
      </c>
      <c r="AV203" s="49">
        <v>50</v>
      </c>
      <c r="AW203" s="39" t="s">
        <v>221</v>
      </c>
      <c r="AX203" s="39">
        <v>10</v>
      </c>
      <c r="AY203" s="30">
        <f>(J203*10)/100</f>
        <v>35335.552000000003</v>
      </c>
      <c r="AZ203" s="42" t="s">
        <v>405</v>
      </c>
    </row>
    <row r="204" spans="1:52" ht="58.5" customHeight="1" x14ac:dyDescent="0.25">
      <c r="A204" s="46" t="s">
        <v>1472</v>
      </c>
      <c r="B204" s="48">
        <v>45289</v>
      </c>
      <c r="C204" s="42">
        <v>1416</v>
      </c>
      <c r="D204" s="37" t="s">
        <v>1473</v>
      </c>
      <c r="E204" s="41" t="s">
        <v>1474</v>
      </c>
      <c r="F204" s="38">
        <v>45320</v>
      </c>
      <c r="G204" s="39" t="s">
        <v>1475</v>
      </c>
      <c r="H204" s="42" t="s">
        <v>226</v>
      </c>
      <c r="I204" s="42" t="s">
        <v>1476</v>
      </c>
      <c r="J204" s="56">
        <v>19324800</v>
      </c>
      <c r="K204" s="56">
        <v>19324800</v>
      </c>
      <c r="L204" s="56">
        <v>0</v>
      </c>
      <c r="M204" s="56">
        <v>0</v>
      </c>
      <c r="N204" s="44">
        <f t="shared" si="36"/>
        <v>0</v>
      </c>
      <c r="O204" s="45">
        <f t="shared" si="44"/>
        <v>0</v>
      </c>
      <c r="P204" s="43">
        <v>19324800</v>
      </c>
      <c r="Q204" s="45">
        <f t="shared" si="45"/>
        <v>0</v>
      </c>
      <c r="R204" s="43">
        <v>19324800</v>
      </c>
      <c r="S204" s="30">
        <f t="shared" si="39"/>
        <v>19324800</v>
      </c>
      <c r="T204" s="30">
        <f t="shared" si="39"/>
        <v>19324800</v>
      </c>
      <c r="U204" s="30">
        <f>T204/X204</f>
        <v>24</v>
      </c>
      <c r="V204" s="43">
        <f>T204/X204</f>
        <v>24</v>
      </c>
      <c r="W204" s="43">
        <f t="shared" si="41"/>
        <v>1200</v>
      </c>
      <c r="X204" s="43">
        <f t="shared" si="46"/>
        <v>805200</v>
      </c>
      <c r="Y204" s="43">
        <f>25050+780150</f>
        <v>805200</v>
      </c>
      <c r="Z204" s="43">
        <v>0</v>
      </c>
      <c r="AA204" s="43">
        <v>0</v>
      </c>
      <c r="AB204" s="43">
        <v>25050</v>
      </c>
      <c r="AC204" s="43">
        <f t="shared" si="42"/>
        <v>601200</v>
      </c>
      <c r="AD204" s="43">
        <v>780150</v>
      </c>
      <c r="AE204" s="43">
        <f t="shared" si="43"/>
        <v>18723600</v>
      </c>
      <c r="AF204" s="43">
        <f t="shared" si="32"/>
        <v>16104</v>
      </c>
      <c r="AG204" s="43">
        <f t="shared" si="33"/>
        <v>16104</v>
      </c>
      <c r="AH204" s="38">
        <v>45354</v>
      </c>
      <c r="AI204" s="38"/>
      <c r="AJ204" s="38"/>
      <c r="AK204" s="38">
        <v>45385</v>
      </c>
      <c r="AL204" s="38"/>
      <c r="AM204" s="48"/>
      <c r="AN204" s="42"/>
      <c r="AO204" s="42" t="s">
        <v>879</v>
      </c>
      <c r="AP204" s="42" t="s">
        <v>1477</v>
      </c>
      <c r="AQ204" s="42" t="s">
        <v>881</v>
      </c>
      <c r="AR204" s="42" t="s">
        <v>82</v>
      </c>
      <c r="AS204" s="50">
        <v>100</v>
      </c>
      <c r="AT204" s="39">
        <v>0</v>
      </c>
      <c r="AU204" s="39" t="s">
        <v>389</v>
      </c>
      <c r="AV204" s="49">
        <v>50</v>
      </c>
      <c r="AW204" s="39" t="s">
        <v>62</v>
      </c>
      <c r="AX204" s="39">
        <v>10</v>
      </c>
      <c r="AY204" s="30">
        <f>(J204*10)/100</f>
        <v>1932480</v>
      </c>
      <c r="AZ204" s="42" t="s">
        <v>405</v>
      </c>
    </row>
    <row r="205" spans="1:52" ht="58.5" customHeight="1" x14ac:dyDescent="0.25">
      <c r="A205" s="46" t="s">
        <v>1478</v>
      </c>
      <c r="B205" s="48">
        <v>45289</v>
      </c>
      <c r="C205" s="42">
        <v>1416</v>
      </c>
      <c r="D205" s="37" t="s">
        <v>1479</v>
      </c>
      <c r="E205" s="41" t="s">
        <v>1480</v>
      </c>
      <c r="F205" s="38">
        <v>45320</v>
      </c>
      <c r="G205" s="39" t="s">
        <v>1481</v>
      </c>
      <c r="H205" s="42" t="s">
        <v>88</v>
      </c>
      <c r="I205" s="42" t="s">
        <v>1482</v>
      </c>
      <c r="J205" s="56">
        <v>438990662.5</v>
      </c>
      <c r="K205" s="56">
        <v>438990662.5</v>
      </c>
      <c r="L205" s="56">
        <v>0</v>
      </c>
      <c r="M205" s="56">
        <v>0</v>
      </c>
      <c r="N205" s="44">
        <f t="shared" si="36"/>
        <v>0</v>
      </c>
      <c r="O205" s="45">
        <f t="shared" si="44"/>
        <v>0</v>
      </c>
      <c r="P205" s="43">
        <v>438990662.5</v>
      </c>
      <c r="Q205" s="45">
        <f t="shared" si="45"/>
        <v>0</v>
      </c>
      <c r="R205" s="43">
        <v>438990662.5</v>
      </c>
      <c r="S205" s="30">
        <f t="shared" si="39"/>
        <v>438990662.5</v>
      </c>
      <c r="T205" s="30">
        <f t="shared" si="39"/>
        <v>438990662.5</v>
      </c>
      <c r="U205" s="30">
        <f>T205/X205</f>
        <v>24.05</v>
      </c>
      <c r="V205" s="43">
        <f>T205/X205</f>
        <v>24.05</v>
      </c>
      <c r="W205" s="43">
        <f t="shared" si="41"/>
        <v>24050</v>
      </c>
      <c r="X205" s="43">
        <f t="shared" si="46"/>
        <v>18253250</v>
      </c>
      <c r="Y205" s="43">
        <f>6453500+11799750</f>
        <v>18253250</v>
      </c>
      <c r="Z205" s="43">
        <v>0</v>
      </c>
      <c r="AA205" s="43">
        <v>0</v>
      </c>
      <c r="AB205" s="43">
        <v>6453500</v>
      </c>
      <c r="AC205" s="43">
        <f t="shared" si="42"/>
        <v>155206675</v>
      </c>
      <c r="AD205" s="43">
        <v>11799750</v>
      </c>
      <c r="AE205" s="43">
        <f t="shared" si="43"/>
        <v>283783987.5</v>
      </c>
      <c r="AF205" s="43">
        <f t="shared" si="32"/>
        <v>18253.25</v>
      </c>
      <c r="AG205" s="43">
        <f t="shared" si="33"/>
        <v>18254</v>
      </c>
      <c r="AH205" s="38">
        <v>45412</v>
      </c>
      <c r="AI205" s="38"/>
      <c r="AJ205" s="38"/>
      <c r="AK205" s="38">
        <v>45444</v>
      </c>
      <c r="AL205" s="38"/>
      <c r="AM205" s="48"/>
      <c r="AN205" s="42"/>
      <c r="AO205" s="42" t="s">
        <v>1483</v>
      </c>
      <c r="AP205" s="42" t="s">
        <v>1484</v>
      </c>
      <c r="AQ205" s="42" t="s">
        <v>1485</v>
      </c>
      <c r="AR205" s="42" t="s">
        <v>788</v>
      </c>
      <c r="AS205" s="50">
        <v>0</v>
      </c>
      <c r="AT205" s="39">
        <v>100</v>
      </c>
      <c r="AU205" s="39" t="s">
        <v>95</v>
      </c>
      <c r="AV205" s="49">
        <v>1000</v>
      </c>
      <c r="AW205" s="39" t="s">
        <v>62</v>
      </c>
      <c r="AX205" s="39">
        <v>10</v>
      </c>
      <c r="AY205" s="30">
        <f>(J205*10)/100</f>
        <v>43899066.25</v>
      </c>
      <c r="AZ205" s="42" t="s">
        <v>405</v>
      </c>
    </row>
    <row r="206" spans="1:52" ht="58.5" customHeight="1" x14ac:dyDescent="0.25">
      <c r="A206" s="46" t="s">
        <v>1486</v>
      </c>
      <c r="B206" s="48">
        <v>45289</v>
      </c>
      <c r="C206" s="42">
        <v>1688</v>
      </c>
      <c r="D206" s="37" t="s">
        <v>434</v>
      </c>
      <c r="E206" s="41" t="s">
        <v>1487</v>
      </c>
      <c r="F206" s="38" t="s">
        <v>434</v>
      </c>
      <c r="G206" s="39" t="s">
        <v>434</v>
      </c>
      <c r="H206" s="42" t="s">
        <v>434</v>
      </c>
      <c r="I206" s="42" t="s">
        <v>1488</v>
      </c>
      <c r="J206" s="56">
        <v>18480709.800000001</v>
      </c>
      <c r="K206" s="56">
        <v>18480709.800000001</v>
      </c>
      <c r="L206" s="56">
        <v>0</v>
      </c>
      <c r="M206" s="56">
        <v>0</v>
      </c>
      <c r="N206" s="44">
        <f t="shared" si="36"/>
        <v>100</v>
      </c>
      <c r="O206" s="45">
        <f t="shared" si="44"/>
        <v>18480709.800000001</v>
      </c>
      <c r="P206" s="43"/>
      <c r="Q206" s="45">
        <f t="shared" si="45"/>
        <v>18480709.800000001</v>
      </c>
      <c r="R206" s="43">
        <v>0</v>
      </c>
      <c r="S206" s="30">
        <f t="shared" si="39"/>
        <v>0</v>
      </c>
      <c r="T206" s="30">
        <f t="shared" si="39"/>
        <v>0</v>
      </c>
      <c r="U206" s="30" t="e">
        <f>T206/X206</f>
        <v>#DIV/0!</v>
      </c>
      <c r="V206" s="43" t="e">
        <f>T206/X206</f>
        <v>#DIV/0!</v>
      </c>
      <c r="W206" s="43" t="e">
        <f t="shared" si="41"/>
        <v>#DIV/0!</v>
      </c>
      <c r="X206" s="43">
        <f t="shared" si="46"/>
        <v>0</v>
      </c>
      <c r="Y206" s="43">
        <v>0</v>
      </c>
      <c r="Z206" s="43">
        <v>0</v>
      </c>
      <c r="AA206" s="43">
        <v>0</v>
      </c>
      <c r="AB206" s="43"/>
      <c r="AC206" s="43" t="e">
        <f t="shared" si="42"/>
        <v>#DIV/0!</v>
      </c>
      <c r="AD206" s="43"/>
      <c r="AE206" s="43" t="e">
        <f t="shared" si="43"/>
        <v>#DIV/0!</v>
      </c>
      <c r="AF206" s="43" t="e">
        <f t="shared" si="32"/>
        <v>#DIV/0!</v>
      </c>
      <c r="AG206" s="43" t="e">
        <f t="shared" si="33"/>
        <v>#DIV/0!</v>
      </c>
      <c r="AH206" s="38">
        <v>45337</v>
      </c>
      <c r="AI206" s="38"/>
      <c r="AJ206" s="38"/>
      <c r="AK206" s="38"/>
      <c r="AL206" s="38"/>
      <c r="AM206" s="48"/>
      <c r="AN206" s="42"/>
      <c r="AO206" s="42"/>
      <c r="AP206" s="42"/>
      <c r="AQ206" s="42"/>
      <c r="AR206" s="42"/>
      <c r="AS206" s="50"/>
      <c r="AT206" s="39"/>
      <c r="AU206" s="39"/>
      <c r="AV206" s="49"/>
      <c r="AW206" s="39"/>
      <c r="AX206" s="39">
        <v>10</v>
      </c>
      <c r="AY206" s="30">
        <f>(J206*10)/100</f>
        <v>1848070.98</v>
      </c>
      <c r="AZ206" s="42" t="s">
        <v>434</v>
      </c>
    </row>
    <row r="207" spans="1:52" ht="58.5" customHeight="1" x14ac:dyDescent="0.25">
      <c r="A207" s="46" t="s">
        <v>1489</v>
      </c>
      <c r="B207" s="48">
        <v>45289</v>
      </c>
      <c r="C207" s="42">
        <v>1688</v>
      </c>
      <c r="D207" s="37" t="s">
        <v>434</v>
      </c>
      <c r="E207" s="41" t="s">
        <v>1490</v>
      </c>
      <c r="F207" s="38" t="s">
        <v>434</v>
      </c>
      <c r="G207" s="39" t="s">
        <v>434</v>
      </c>
      <c r="H207" s="42" t="s">
        <v>434</v>
      </c>
      <c r="I207" s="42" t="s">
        <v>1491</v>
      </c>
      <c r="J207" s="56">
        <v>22320340.800000001</v>
      </c>
      <c r="K207" s="56">
        <v>22320340.800000001</v>
      </c>
      <c r="L207" s="56">
        <v>0</v>
      </c>
      <c r="M207" s="56">
        <v>0</v>
      </c>
      <c r="N207" s="44">
        <f t="shared" si="36"/>
        <v>100</v>
      </c>
      <c r="O207" s="45">
        <f t="shared" si="44"/>
        <v>22320340.800000001</v>
      </c>
      <c r="P207" s="43"/>
      <c r="Q207" s="45">
        <f t="shared" si="45"/>
        <v>22320340.800000001</v>
      </c>
      <c r="R207" s="43">
        <v>0</v>
      </c>
      <c r="S207" s="30">
        <f t="shared" si="39"/>
        <v>0</v>
      </c>
      <c r="T207" s="30">
        <f t="shared" si="39"/>
        <v>0</v>
      </c>
      <c r="U207" s="30" t="e">
        <f>T207/X207</f>
        <v>#DIV/0!</v>
      </c>
      <c r="V207" s="43" t="e">
        <f>T207/X207</f>
        <v>#DIV/0!</v>
      </c>
      <c r="W207" s="43" t="e">
        <f t="shared" si="41"/>
        <v>#DIV/0!</v>
      </c>
      <c r="X207" s="43">
        <f t="shared" si="46"/>
        <v>0</v>
      </c>
      <c r="Y207" s="43">
        <v>0</v>
      </c>
      <c r="Z207" s="43">
        <v>0</v>
      </c>
      <c r="AA207" s="43">
        <v>0</v>
      </c>
      <c r="AB207" s="43"/>
      <c r="AC207" s="43" t="e">
        <f t="shared" si="42"/>
        <v>#DIV/0!</v>
      </c>
      <c r="AD207" s="43"/>
      <c r="AE207" s="43" t="e">
        <f t="shared" si="43"/>
        <v>#DIV/0!</v>
      </c>
      <c r="AF207" s="43" t="e">
        <f t="shared" ref="AF207:AF270" si="47">X207/AV207</f>
        <v>#DIV/0!</v>
      </c>
      <c r="AG207" s="43" t="e">
        <f t="shared" ref="AG207:AG270" si="48">_xlfn.CEILING.MATH(AF207)</f>
        <v>#DIV/0!</v>
      </c>
      <c r="AH207" s="38">
        <v>45337</v>
      </c>
      <c r="AI207" s="38"/>
      <c r="AJ207" s="38"/>
      <c r="AK207" s="38"/>
      <c r="AL207" s="38"/>
      <c r="AM207" s="48"/>
      <c r="AN207" s="42"/>
      <c r="AO207" s="42"/>
      <c r="AP207" s="42"/>
      <c r="AQ207" s="42"/>
      <c r="AR207" s="42"/>
      <c r="AS207" s="50"/>
      <c r="AT207" s="39"/>
      <c r="AU207" s="39"/>
      <c r="AV207" s="49"/>
      <c r="AW207" s="39"/>
      <c r="AX207" s="39">
        <v>10</v>
      </c>
      <c r="AY207" s="30">
        <f>(J207*10)/100</f>
        <v>2232034.08</v>
      </c>
      <c r="AZ207" s="42" t="s">
        <v>434</v>
      </c>
    </row>
    <row r="208" spans="1:52" ht="58.5" customHeight="1" x14ac:dyDescent="0.25">
      <c r="A208" s="46" t="s">
        <v>1492</v>
      </c>
      <c r="B208" s="48">
        <v>45289</v>
      </c>
      <c r="C208" s="42">
        <v>1688</v>
      </c>
      <c r="D208" s="37" t="s">
        <v>434</v>
      </c>
      <c r="E208" s="41" t="s">
        <v>1493</v>
      </c>
      <c r="F208" s="38" t="s">
        <v>434</v>
      </c>
      <c r="G208" s="39" t="s">
        <v>434</v>
      </c>
      <c r="H208" s="42" t="s">
        <v>434</v>
      </c>
      <c r="I208" s="42" t="s">
        <v>1494</v>
      </c>
      <c r="J208" s="56">
        <v>1681405.5</v>
      </c>
      <c r="K208" s="56">
        <v>1681405.5</v>
      </c>
      <c r="L208" s="56">
        <v>0</v>
      </c>
      <c r="M208" s="56">
        <v>0</v>
      </c>
      <c r="N208" s="44">
        <f t="shared" si="36"/>
        <v>100</v>
      </c>
      <c r="O208" s="45">
        <f t="shared" si="44"/>
        <v>1681405.5</v>
      </c>
      <c r="P208" s="43"/>
      <c r="Q208" s="45">
        <f t="shared" si="45"/>
        <v>1681405.5</v>
      </c>
      <c r="R208" s="43">
        <v>0</v>
      </c>
      <c r="S208" s="30">
        <f t="shared" si="39"/>
        <v>0</v>
      </c>
      <c r="T208" s="30">
        <f t="shared" si="39"/>
        <v>0</v>
      </c>
      <c r="U208" s="30" t="e">
        <f>T208/X208</f>
        <v>#DIV/0!</v>
      </c>
      <c r="V208" s="43" t="e">
        <f>T208/X208</f>
        <v>#DIV/0!</v>
      </c>
      <c r="W208" s="43" t="e">
        <f t="shared" si="41"/>
        <v>#DIV/0!</v>
      </c>
      <c r="X208" s="43">
        <f t="shared" si="46"/>
        <v>0</v>
      </c>
      <c r="Y208" s="43">
        <v>0</v>
      </c>
      <c r="Z208" s="43">
        <v>0</v>
      </c>
      <c r="AA208" s="43">
        <v>0</v>
      </c>
      <c r="AB208" s="43"/>
      <c r="AC208" s="43" t="e">
        <f t="shared" si="42"/>
        <v>#DIV/0!</v>
      </c>
      <c r="AD208" s="43"/>
      <c r="AE208" s="43" t="e">
        <f t="shared" si="43"/>
        <v>#DIV/0!</v>
      </c>
      <c r="AF208" s="43" t="e">
        <f t="shared" si="47"/>
        <v>#DIV/0!</v>
      </c>
      <c r="AG208" s="43" t="e">
        <f t="shared" si="48"/>
        <v>#DIV/0!</v>
      </c>
      <c r="AH208" s="38">
        <v>45337</v>
      </c>
      <c r="AI208" s="38"/>
      <c r="AJ208" s="38"/>
      <c r="AK208" s="38"/>
      <c r="AL208" s="38"/>
      <c r="AM208" s="48"/>
      <c r="AN208" s="42"/>
      <c r="AO208" s="42"/>
      <c r="AP208" s="42"/>
      <c r="AQ208" s="42"/>
      <c r="AR208" s="42"/>
      <c r="AS208" s="50"/>
      <c r="AT208" s="39"/>
      <c r="AU208" s="39"/>
      <c r="AV208" s="49"/>
      <c r="AW208" s="39"/>
      <c r="AX208" s="39">
        <v>10</v>
      </c>
      <c r="AY208" s="30">
        <f>(J208*10)/100</f>
        <v>168140.55</v>
      </c>
      <c r="AZ208" s="42" t="s">
        <v>434</v>
      </c>
    </row>
    <row r="209" spans="1:52" ht="58.5" customHeight="1" x14ac:dyDescent="0.25">
      <c r="A209" s="46" t="s">
        <v>1495</v>
      </c>
      <c r="B209" s="48">
        <v>45289</v>
      </c>
      <c r="C209" s="42">
        <v>1688</v>
      </c>
      <c r="D209" s="37" t="s">
        <v>434</v>
      </c>
      <c r="E209" s="41" t="s">
        <v>1496</v>
      </c>
      <c r="F209" s="38" t="s">
        <v>434</v>
      </c>
      <c r="G209" s="39" t="s">
        <v>434</v>
      </c>
      <c r="H209" s="42" t="s">
        <v>434</v>
      </c>
      <c r="I209" s="42" t="s">
        <v>1497</v>
      </c>
      <c r="J209" s="56">
        <v>1575266</v>
      </c>
      <c r="K209" s="56">
        <v>1575266</v>
      </c>
      <c r="L209" s="56">
        <v>0</v>
      </c>
      <c r="M209" s="56">
        <v>0</v>
      </c>
      <c r="N209" s="44">
        <f t="shared" si="36"/>
        <v>100</v>
      </c>
      <c r="O209" s="45">
        <f t="shared" si="44"/>
        <v>1575266</v>
      </c>
      <c r="P209" s="43"/>
      <c r="Q209" s="45">
        <f t="shared" si="45"/>
        <v>1575266</v>
      </c>
      <c r="R209" s="43">
        <v>0</v>
      </c>
      <c r="S209" s="30">
        <f t="shared" si="39"/>
        <v>0</v>
      </c>
      <c r="T209" s="30">
        <f t="shared" si="39"/>
        <v>0</v>
      </c>
      <c r="U209" s="30" t="e">
        <f>T209/X209</f>
        <v>#DIV/0!</v>
      </c>
      <c r="V209" s="43" t="e">
        <f>T209/X209</f>
        <v>#DIV/0!</v>
      </c>
      <c r="W209" s="43" t="e">
        <f t="shared" si="41"/>
        <v>#DIV/0!</v>
      </c>
      <c r="X209" s="43">
        <f t="shared" si="46"/>
        <v>0</v>
      </c>
      <c r="Y209" s="43">
        <v>0</v>
      </c>
      <c r="Z209" s="43">
        <v>0</v>
      </c>
      <c r="AA209" s="43">
        <v>0</v>
      </c>
      <c r="AB209" s="43"/>
      <c r="AC209" s="43" t="e">
        <f t="shared" si="42"/>
        <v>#DIV/0!</v>
      </c>
      <c r="AD209" s="43"/>
      <c r="AE209" s="43" t="e">
        <f t="shared" si="43"/>
        <v>#DIV/0!</v>
      </c>
      <c r="AF209" s="43" t="e">
        <f t="shared" si="47"/>
        <v>#DIV/0!</v>
      </c>
      <c r="AG209" s="43" t="e">
        <f t="shared" si="48"/>
        <v>#DIV/0!</v>
      </c>
      <c r="AH209" s="38">
        <v>45337</v>
      </c>
      <c r="AI209" s="38"/>
      <c r="AJ209" s="38"/>
      <c r="AK209" s="38"/>
      <c r="AL209" s="38"/>
      <c r="AM209" s="48"/>
      <c r="AN209" s="42"/>
      <c r="AO209" s="42"/>
      <c r="AP209" s="42"/>
      <c r="AQ209" s="42"/>
      <c r="AR209" s="42"/>
      <c r="AS209" s="50"/>
      <c r="AT209" s="39"/>
      <c r="AU209" s="39"/>
      <c r="AV209" s="49"/>
      <c r="AW209" s="39"/>
      <c r="AX209" s="39">
        <v>10</v>
      </c>
      <c r="AY209" s="30">
        <f>(J209*10)/100</f>
        <v>157526.6</v>
      </c>
      <c r="AZ209" s="42" t="s">
        <v>434</v>
      </c>
    </row>
    <row r="210" spans="1:52" ht="58.5" customHeight="1" x14ac:dyDescent="0.25">
      <c r="A210" s="46" t="s">
        <v>1498</v>
      </c>
      <c r="B210" s="48">
        <v>45289</v>
      </c>
      <c r="C210" s="42">
        <v>1688</v>
      </c>
      <c r="D210" s="37" t="s">
        <v>434</v>
      </c>
      <c r="E210" s="41" t="s">
        <v>1499</v>
      </c>
      <c r="F210" s="38" t="s">
        <v>434</v>
      </c>
      <c r="G210" s="39" t="s">
        <v>434</v>
      </c>
      <c r="H210" s="42" t="s">
        <v>434</v>
      </c>
      <c r="I210" s="42" t="s">
        <v>1500</v>
      </c>
      <c r="J210" s="56">
        <v>9131068.6500000004</v>
      </c>
      <c r="K210" s="56">
        <v>9131068.6500000004</v>
      </c>
      <c r="L210" s="56">
        <v>0</v>
      </c>
      <c r="M210" s="56">
        <v>0</v>
      </c>
      <c r="N210" s="44">
        <f t="shared" si="36"/>
        <v>100</v>
      </c>
      <c r="O210" s="45">
        <f t="shared" si="44"/>
        <v>9131068.6500000004</v>
      </c>
      <c r="P210" s="43"/>
      <c r="Q210" s="45">
        <f t="shared" si="45"/>
        <v>9131068.6500000004</v>
      </c>
      <c r="R210" s="43">
        <v>0</v>
      </c>
      <c r="S210" s="30">
        <f t="shared" si="39"/>
        <v>0</v>
      </c>
      <c r="T210" s="30">
        <f t="shared" si="39"/>
        <v>0</v>
      </c>
      <c r="U210" s="30" t="e">
        <f>T210/X210</f>
        <v>#DIV/0!</v>
      </c>
      <c r="V210" s="43" t="e">
        <f>T210/X210</f>
        <v>#DIV/0!</v>
      </c>
      <c r="W210" s="43" t="e">
        <f t="shared" si="41"/>
        <v>#DIV/0!</v>
      </c>
      <c r="X210" s="43">
        <f t="shared" si="46"/>
        <v>0</v>
      </c>
      <c r="Y210" s="43">
        <v>0</v>
      </c>
      <c r="Z210" s="43">
        <v>0</v>
      </c>
      <c r="AA210" s="43">
        <v>0</v>
      </c>
      <c r="AB210" s="43"/>
      <c r="AC210" s="43" t="e">
        <f t="shared" si="42"/>
        <v>#DIV/0!</v>
      </c>
      <c r="AD210" s="43"/>
      <c r="AE210" s="43" t="e">
        <f t="shared" si="43"/>
        <v>#DIV/0!</v>
      </c>
      <c r="AF210" s="43" t="e">
        <f t="shared" si="47"/>
        <v>#DIV/0!</v>
      </c>
      <c r="AG210" s="43" t="e">
        <f t="shared" si="48"/>
        <v>#DIV/0!</v>
      </c>
      <c r="AH210" s="38">
        <v>45337</v>
      </c>
      <c r="AI210" s="38"/>
      <c r="AJ210" s="38"/>
      <c r="AK210" s="38"/>
      <c r="AL210" s="38"/>
      <c r="AM210" s="48"/>
      <c r="AN210" s="42"/>
      <c r="AO210" s="42"/>
      <c r="AP210" s="42"/>
      <c r="AQ210" s="42"/>
      <c r="AR210" s="42"/>
      <c r="AS210" s="50"/>
      <c r="AT210" s="39"/>
      <c r="AU210" s="39"/>
      <c r="AV210" s="49"/>
      <c r="AW210" s="39"/>
      <c r="AX210" s="39">
        <v>10</v>
      </c>
      <c r="AY210" s="30">
        <f>(J210*10)/100</f>
        <v>913106.86499999999</v>
      </c>
      <c r="AZ210" s="42" t="s">
        <v>434</v>
      </c>
    </row>
    <row r="211" spans="1:52" ht="58.5" customHeight="1" x14ac:dyDescent="0.25">
      <c r="A211" s="46" t="s">
        <v>1501</v>
      </c>
      <c r="B211" s="48">
        <v>45289</v>
      </c>
      <c r="C211" s="42">
        <v>1688</v>
      </c>
      <c r="D211" s="37" t="s">
        <v>434</v>
      </c>
      <c r="E211" s="41" t="s">
        <v>1502</v>
      </c>
      <c r="F211" s="38" t="s">
        <v>434</v>
      </c>
      <c r="G211" s="39" t="s">
        <v>434</v>
      </c>
      <c r="H211" s="42" t="s">
        <v>434</v>
      </c>
      <c r="I211" s="42" t="s">
        <v>1503</v>
      </c>
      <c r="J211" s="56">
        <v>5736354</v>
      </c>
      <c r="K211" s="56">
        <v>5736354</v>
      </c>
      <c r="L211" s="56">
        <v>0</v>
      </c>
      <c r="M211" s="56">
        <v>0</v>
      </c>
      <c r="N211" s="44">
        <f t="shared" si="36"/>
        <v>100</v>
      </c>
      <c r="O211" s="45">
        <f t="shared" si="44"/>
        <v>5736354</v>
      </c>
      <c r="P211" s="43"/>
      <c r="Q211" s="45">
        <f t="shared" si="45"/>
        <v>5736354</v>
      </c>
      <c r="R211" s="43">
        <v>0</v>
      </c>
      <c r="S211" s="30">
        <f t="shared" si="39"/>
        <v>0</v>
      </c>
      <c r="T211" s="30">
        <f t="shared" si="39"/>
        <v>0</v>
      </c>
      <c r="U211" s="30" t="e">
        <f>T211/X211</f>
        <v>#DIV/0!</v>
      </c>
      <c r="V211" s="43" t="e">
        <f>T211/X211</f>
        <v>#DIV/0!</v>
      </c>
      <c r="W211" s="43" t="e">
        <f t="shared" si="41"/>
        <v>#DIV/0!</v>
      </c>
      <c r="X211" s="43">
        <f t="shared" si="46"/>
        <v>0</v>
      </c>
      <c r="Y211" s="43">
        <v>0</v>
      </c>
      <c r="Z211" s="43">
        <v>0</v>
      </c>
      <c r="AA211" s="43">
        <v>0</v>
      </c>
      <c r="AB211" s="43"/>
      <c r="AC211" s="43" t="e">
        <f t="shared" si="42"/>
        <v>#DIV/0!</v>
      </c>
      <c r="AD211" s="43"/>
      <c r="AE211" s="43" t="e">
        <f t="shared" si="43"/>
        <v>#DIV/0!</v>
      </c>
      <c r="AF211" s="43" t="e">
        <f t="shared" si="47"/>
        <v>#DIV/0!</v>
      </c>
      <c r="AG211" s="43" t="e">
        <f t="shared" si="48"/>
        <v>#DIV/0!</v>
      </c>
      <c r="AH211" s="38">
        <v>45337</v>
      </c>
      <c r="AI211" s="38"/>
      <c r="AJ211" s="38"/>
      <c r="AK211" s="38"/>
      <c r="AL211" s="38"/>
      <c r="AM211" s="48"/>
      <c r="AN211" s="42"/>
      <c r="AO211" s="42"/>
      <c r="AP211" s="42"/>
      <c r="AQ211" s="42"/>
      <c r="AR211" s="42"/>
      <c r="AS211" s="50"/>
      <c r="AT211" s="39"/>
      <c r="AU211" s="39"/>
      <c r="AV211" s="49"/>
      <c r="AW211" s="39"/>
      <c r="AX211" s="39">
        <v>10</v>
      </c>
      <c r="AY211" s="30">
        <f>(J211*10)/100</f>
        <v>573635.4</v>
      </c>
      <c r="AZ211" s="42" t="s">
        <v>434</v>
      </c>
    </row>
    <row r="212" spans="1:52" ht="58.5" customHeight="1" x14ac:dyDescent="0.25">
      <c r="A212" s="46" t="s">
        <v>1504</v>
      </c>
      <c r="B212" s="48">
        <v>45289</v>
      </c>
      <c r="C212" s="42">
        <v>1688</v>
      </c>
      <c r="D212" s="37" t="s">
        <v>434</v>
      </c>
      <c r="E212" s="41" t="s">
        <v>1505</v>
      </c>
      <c r="F212" s="38" t="s">
        <v>434</v>
      </c>
      <c r="G212" s="39" t="s">
        <v>434</v>
      </c>
      <c r="H212" s="42" t="s">
        <v>434</v>
      </c>
      <c r="I212" s="42" t="s">
        <v>1506</v>
      </c>
      <c r="J212" s="56">
        <v>48510</v>
      </c>
      <c r="K212" s="56">
        <v>48510</v>
      </c>
      <c r="L212" s="56">
        <v>0</v>
      </c>
      <c r="M212" s="56">
        <v>0</v>
      </c>
      <c r="N212" s="44">
        <f t="shared" si="36"/>
        <v>100</v>
      </c>
      <c r="O212" s="45">
        <f t="shared" si="44"/>
        <v>48510</v>
      </c>
      <c r="P212" s="43"/>
      <c r="Q212" s="45">
        <f t="shared" si="45"/>
        <v>48510</v>
      </c>
      <c r="R212" s="43">
        <v>0</v>
      </c>
      <c r="S212" s="30">
        <f t="shared" si="39"/>
        <v>0</v>
      </c>
      <c r="T212" s="30">
        <f t="shared" si="39"/>
        <v>0</v>
      </c>
      <c r="U212" s="30" t="e">
        <f>T212/X212</f>
        <v>#DIV/0!</v>
      </c>
      <c r="V212" s="43" t="e">
        <f>T212/X212</f>
        <v>#DIV/0!</v>
      </c>
      <c r="W212" s="43" t="e">
        <f t="shared" si="41"/>
        <v>#DIV/0!</v>
      </c>
      <c r="X212" s="43">
        <f t="shared" si="46"/>
        <v>0</v>
      </c>
      <c r="Y212" s="43">
        <v>0</v>
      </c>
      <c r="Z212" s="43">
        <v>0</v>
      </c>
      <c r="AA212" s="43">
        <v>0</v>
      </c>
      <c r="AB212" s="43"/>
      <c r="AC212" s="43" t="e">
        <f t="shared" si="42"/>
        <v>#DIV/0!</v>
      </c>
      <c r="AD212" s="43"/>
      <c r="AE212" s="43" t="e">
        <f t="shared" si="43"/>
        <v>#DIV/0!</v>
      </c>
      <c r="AF212" s="43" t="e">
        <f t="shared" si="47"/>
        <v>#DIV/0!</v>
      </c>
      <c r="AG212" s="43" t="e">
        <f t="shared" si="48"/>
        <v>#DIV/0!</v>
      </c>
      <c r="AH212" s="38">
        <v>45337</v>
      </c>
      <c r="AI212" s="38"/>
      <c r="AJ212" s="38"/>
      <c r="AK212" s="38"/>
      <c r="AL212" s="38"/>
      <c r="AM212" s="48"/>
      <c r="AN212" s="42"/>
      <c r="AO212" s="42"/>
      <c r="AP212" s="42"/>
      <c r="AQ212" s="42"/>
      <c r="AR212" s="42"/>
      <c r="AS212" s="50"/>
      <c r="AT212" s="39"/>
      <c r="AU212" s="39"/>
      <c r="AV212" s="49"/>
      <c r="AW212" s="39"/>
      <c r="AX212" s="39">
        <v>10</v>
      </c>
      <c r="AY212" s="30">
        <f>(J212*10)/100</f>
        <v>4851</v>
      </c>
      <c r="AZ212" s="42" t="s">
        <v>434</v>
      </c>
    </row>
    <row r="213" spans="1:52" ht="58.5" customHeight="1" x14ac:dyDescent="0.25">
      <c r="A213" s="46" t="s">
        <v>1507</v>
      </c>
      <c r="B213" s="48">
        <v>45289</v>
      </c>
      <c r="C213" s="42">
        <v>1688</v>
      </c>
      <c r="D213" s="37" t="s">
        <v>434</v>
      </c>
      <c r="E213" s="41" t="s">
        <v>1508</v>
      </c>
      <c r="F213" s="38" t="s">
        <v>434</v>
      </c>
      <c r="G213" s="39" t="s">
        <v>434</v>
      </c>
      <c r="H213" s="42" t="s">
        <v>434</v>
      </c>
      <c r="I213" s="42" t="s">
        <v>1509</v>
      </c>
      <c r="J213" s="56">
        <v>2140185.6000000001</v>
      </c>
      <c r="K213" s="56">
        <v>2140185.6000000001</v>
      </c>
      <c r="L213" s="56">
        <v>0</v>
      </c>
      <c r="M213" s="56">
        <v>0</v>
      </c>
      <c r="N213" s="44">
        <f t="shared" si="36"/>
        <v>100</v>
      </c>
      <c r="O213" s="45">
        <f t="shared" si="44"/>
        <v>2140185.6000000001</v>
      </c>
      <c r="P213" s="43"/>
      <c r="Q213" s="45">
        <f t="shared" si="45"/>
        <v>2140185.6000000001</v>
      </c>
      <c r="R213" s="43">
        <v>0</v>
      </c>
      <c r="S213" s="30">
        <f t="shared" si="39"/>
        <v>0</v>
      </c>
      <c r="T213" s="30">
        <f t="shared" si="39"/>
        <v>0</v>
      </c>
      <c r="U213" s="30" t="e">
        <f>T213/X213</f>
        <v>#DIV/0!</v>
      </c>
      <c r="V213" s="43" t="e">
        <f>T213/X213</f>
        <v>#DIV/0!</v>
      </c>
      <c r="W213" s="43" t="e">
        <f t="shared" si="41"/>
        <v>#DIV/0!</v>
      </c>
      <c r="X213" s="43">
        <f t="shared" si="46"/>
        <v>0</v>
      </c>
      <c r="Y213" s="43">
        <v>0</v>
      </c>
      <c r="Z213" s="43">
        <v>0</v>
      </c>
      <c r="AA213" s="43">
        <v>0</v>
      </c>
      <c r="AB213" s="43"/>
      <c r="AC213" s="43" t="e">
        <f t="shared" si="42"/>
        <v>#DIV/0!</v>
      </c>
      <c r="AD213" s="43"/>
      <c r="AE213" s="43" t="e">
        <f t="shared" si="43"/>
        <v>#DIV/0!</v>
      </c>
      <c r="AF213" s="43" t="e">
        <f t="shared" si="47"/>
        <v>#DIV/0!</v>
      </c>
      <c r="AG213" s="43" t="e">
        <f t="shared" si="48"/>
        <v>#DIV/0!</v>
      </c>
      <c r="AH213" s="38">
        <v>45337</v>
      </c>
      <c r="AI213" s="38"/>
      <c r="AJ213" s="38"/>
      <c r="AK213" s="38"/>
      <c r="AL213" s="38"/>
      <c r="AM213" s="48"/>
      <c r="AN213" s="42"/>
      <c r="AO213" s="42"/>
      <c r="AP213" s="42"/>
      <c r="AQ213" s="42"/>
      <c r="AR213" s="42"/>
      <c r="AS213" s="50"/>
      <c r="AT213" s="39"/>
      <c r="AU213" s="39"/>
      <c r="AV213" s="49"/>
      <c r="AW213" s="39"/>
      <c r="AX213" s="39">
        <v>10</v>
      </c>
      <c r="AY213" s="30">
        <f>(J213*10)/100</f>
        <v>214018.56</v>
      </c>
      <c r="AZ213" s="42" t="s">
        <v>434</v>
      </c>
    </row>
    <row r="214" spans="1:52" ht="58.5" customHeight="1" x14ac:dyDescent="0.25">
      <c r="A214" s="46" t="s">
        <v>1510</v>
      </c>
      <c r="B214" s="48">
        <v>45289</v>
      </c>
      <c r="C214" s="42">
        <v>1688</v>
      </c>
      <c r="D214" s="37" t="s">
        <v>434</v>
      </c>
      <c r="E214" s="41" t="s">
        <v>1511</v>
      </c>
      <c r="F214" s="38" t="s">
        <v>434</v>
      </c>
      <c r="G214" s="39" t="s">
        <v>434</v>
      </c>
      <c r="H214" s="42" t="s">
        <v>434</v>
      </c>
      <c r="I214" s="42" t="s">
        <v>1512</v>
      </c>
      <c r="J214" s="56">
        <v>17084253.760000002</v>
      </c>
      <c r="K214" s="56">
        <v>17084253.760000002</v>
      </c>
      <c r="L214" s="56">
        <v>0</v>
      </c>
      <c r="M214" s="56">
        <v>0</v>
      </c>
      <c r="N214" s="44">
        <f t="shared" si="36"/>
        <v>100</v>
      </c>
      <c r="O214" s="45">
        <f t="shared" si="44"/>
        <v>17084253.760000002</v>
      </c>
      <c r="P214" s="43"/>
      <c r="Q214" s="45">
        <f t="shared" si="45"/>
        <v>17084253.760000002</v>
      </c>
      <c r="R214" s="43">
        <v>0</v>
      </c>
      <c r="S214" s="30">
        <f t="shared" si="39"/>
        <v>0</v>
      </c>
      <c r="T214" s="30">
        <f t="shared" si="39"/>
        <v>0</v>
      </c>
      <c r="U214" s="30" t="e">
        <f>T214/X214</f>
        <v>#DIV/0!</v>
      </c>
      <c r="V214" s="43" t="e">
        <f>T214/X214</f>
        <v>#DIV/0!</v>
      </c>
      <c r="W214" s="43" t="e">
        <f t="shared" si="41"/>
        <v>#DIV/0!</v>
      </c>
      <c r="X214" s="43">
        <f t="shared" si="46"/>
        <v>0</v>
      </c>
      <c r="Y214" s="43">
        <v>0</v>
      </c>
      <c r="Z214" s="43">
        <v>0</v>
      </c>
      <c r="AA214" s="43">
        <v>0</v>
      </c>
      <c r="AB214" s="43"/>
      <c r="AC214" s="43" t="e">
        <f t="shared" si="42"/>
        <v>#DIV/0!</v>
      </c>
      <c r="AD214" s="43"/>
      <c r="AE214" s="43" t="e">
        <f t="shared" si="43"/>
        <v>#DIV/0!</v>
      </c>
      <c r="AF214" s="43" t="e">
        <f t="shared" si="47"/>
        <v>#DIV/0!</v>
      </c>
      <c r="AG214" s="43" t="e">
        <f t="shared" si="48"/>
        <v>#DIV/0!</v>
      </c>
      <c r="AH214" s="38">
        <v>45337</v>
      </c>
      <c r="AI214" s="38"/>
      <c r="AJ214" s="38"/>
      <c r="AK214" s="38"/>
      <c r="AL214" s="38"/>
      <c r="AM214" s="48"/>
      <c r="AN214" s="42"/>
      <c r="AO214" s="42"/>
      <c r="AP214" s="42"/>
      <c r="AQ214" s="42"/>
      <c r="AR214" s="42"/>
      <c r="AS214" s="50"/>
      <c r="AT214" s="39"/>
      <c r="AU214" s="39"/>
      <c r="AV214" s="49"/>
      <c r="AW214" s="39"/>
      <c r="AX214" s="39">
        <v>10</v>
      </c>
      <c r="AY214" s="30">
        <f>(J214*10)/100</f>
        <v>1708425.3760000002</v>
      </c>
      <c r="AZ214" s="42" t="s">
        <v>434</v>
      </c>
    </row>
    <row r="215" spans="1:52" ht="58.5" customHeight="1" x14ac:dyDescent="0.25">
      <c r="A215" s="46" t="s">
        <v>1513</v>
      </c>
      <c r="B215" s="48">
        <v>45289</v>
      </c>
      <c r="C215" s="42">
        <v>1416</v>
      </c>
      <c r="D215" s="37" t="s">
        <v>1514</v>
      </c>
      <c r="E215" s="41" t="s">
        <v>1515</v>
      </c>
      <c r="F215" s="38">
        <v>45322</v>
      </c>
      <c r="G215" s="39" t="s">
        <v>1516</v>
      </c>
      <c r="H215" s="42" t="s">
        <v>1199</v>
      </c>
      <c r="I215" s="42" t="s">
        <v>1517</v>
      </c>
      <c r="J215" s="56">
        <v>15950302.199999999</v>
      </c>
      <c r="K215" s="56">
        <v>15950302.199999999</v>
      </c>
      <c r="L215" s="56">
        <v>0</v>
      </c>
      <c r="M215" s="56">
        <v>0</v>
      </c>
      <c r="N215" s="44">
        <f t="shared" si="36"/>
        <v>1.9999999749220998</v>
      </c>
      <c r="O215" s="45">
        <f t="shared" si="44"/>
        <v>319006.03999999911</v>
      </c>
      <c r="P215" s="43">
        <v>15631296.16</v>
      </c>
      <c r="Q215" s="45">
        <f t="shared" si="45"/>
        <v>3255571.7999999989</v>
      </c>
      <c r="R215" s="43">
        <v>12694730.4</v>
      </c>
      <c r="S215" s="30">
        <f t="shared" si="39"/>
        <v>12694730.4</v>
      </c>
      <c r="T215" s="30">
        <f t="shared" si="39"/>
        <v>12694730.4</v>
      </c>
      <c r="U215" s="30">
        <f>T215/X215</f>
        <v>133.32</v>
      </c>
      <c r="V215" s="43">
        <f>T215/X215</f>
        <v>133.32</v>
      </c>
      <c r="W215" s="43">
        <f t="shared" si="41"/>
        <v>7999.2</v>
      </c>
      <c r="X215" s="43">
        <f t="shared" si="46"/>
        <v>95220</v>
      </c>
      <c r="Y215" s="43">
        <f>3720+37920</f>
        <v>41640</v>
      </c>
      <c r="Z215" s="43">
        <f>4980+48600</f>
        <v>53580</v>
      </c>
      <c r="AA215" s="43">
        <v>0</v>
      </c>
      <c r="AB215" s="43">
        <f>3720+4980</f>
        <v>8700</v>
      </c>
      <c r="AC215" s="43">
        <f t="shared" si="42"/>
        <v>1159884</v>
      </c>
      <c r="AD215" s="43">
        <f>37920+48600</f>
        <v>86520</v>
      </c>
      <c r="AE215" s="43">
        <f t="shared" si="43"/>
        <v>11534846.399999999</v>
      </c>
      <c r="AF215" s="43">
        <f t="shared" si="47"/>
        <v>1587</v>
      </c>
      <c r="AG215" s="43">
        <f t="shared" si="48"/>
        <v>1587</v>
      </c>
      <c r="AH215" s="38">
        <v>45352</v>
      </c>
      <c r="AI215" s="38">
        <v>45474</v>
      </c>
      <c r="AJ215" s="38"/>
      <c r="AK215" s="38">
        <v>45383</v>
      </c>
      <c r="AL215" s="38">
        <v>45505</v>
      </c>
      <c r="AM215" s="48"/>
      <c r="AN215" s="42"/>
      <c r="AO215" s="42" t="s">
        <v>1201</v>
      </c>
      <c r="AP215" s="42" t="s">
        <v>1518</v>
      </c>
      <c r="AQ215" s="42" t="s">
        <v>1203</v>
      </c>
      <c r="AR215" s="42" t="s">
        <v>82</v>
      </c>
      <c r="AS215" s="50">
        <v>100</v>
      </c>
      <c r="AT215" s="39">
        <v>0</v>
      </c>
      <c r="AU215" s="39" t="s">
        <v>389</v>
      </c>
      <c r="AV215" s="49">
        <v>60</v>
      </c>
      <c r="AW215" s="39" t="s">
        <v>62</v>
      </c>
      <c r="AX215" s="39">
        <v>10</v>
      </c>
      <c r="AY215" s="30">
        <f>(J215*10)/100</f>
        <v>1595030.22</v>
      </c>
      <c r="AZ215" s="42" t="s">
        <v>405</v>
      </c>
    </row>
    <row r="216" spans="1:52" ht="58.5" customHeight="1" x14ac:dyDescent="0.25">
      <c r="A216" s="46" t="s">
        <v>1519</v>
      </c>
      <c r="B216" s="48">
        <v>45289</v>
      </c>
      <c r="C216" s="42">
        <v>545</v>
      </c>
      <c r="D216" s="37" t="s">
        <v>1520</v>
      </c>
      <c r="E216" s="41" t="s">
        <v>1521</v>
      </c>
      <c r="F216" s="38">
        <v>45321</v>
      </c>
      <c r="G216" s="39" t="s">
        <v>1522</v>
      </c>
      <c r="H216" s="42" t="s">
        <v>141</v>
      </c>
      <c r="I216" s="42" t="s">
        <v>351</v>
      </c>
      <c r="J216" s="56">
        <v>195352434</v>
      </c>
      <c r="K216" s="56">
        <v>195352434</v>
      </c>
      <c r="L216" s="56">
        <v>0</v>
      </c>
      <c r="M216" s="56">
        <v>0</v>
      </c>
      <c r="N216" s="44">
        <f t="shared" si="36"/>
        <v>0</v>
      </c>
      <c r="O216" s="45">
        <f t="shared" si="44"/>
        <v>0</v>
      </c>
      <c r="P216" s="43">
        <v>195352434</v>
      </c>
      <c r="Q216" s="45">
        <f t="shared" si="45"/>
        <v>0</v>
      </c>
      <c r="R216" s="43">
        <v>195352434</v>
      </c>
      <c r="S216" s="30">
        <v>247446416.40000001</v>
      </c>
      <c r="T216" s="30">
        <f t="shared" ref="T216:T279" si="49">S216</f>
        <v>247446416.40000001</v>
      </c>
      <c r="U216" s="30">
        <f>T216/X216</f>
        <v>868233.04</v>
      </c>
      <c r="V216" s="43">
        <f>T216/X216</f>
        <v>868233.04</v>
      </c>
      <c r="W216" s="43">
        <f t="shared" si="41"/>
        <v>4341165.2</v>
      </c>
      <c r="X216" s="43">
        <f t="shared" si="46"/>
        <v>285</v>
      </c>
      <c r="Y216" s="43">
        <v>285</v>
      </c>
      <c r="Z216" s="43">
        <v>0</v>
      </c>
      <c r="AA216" s="43">
        <v>0</v>
      </c>
      <c r="AB216" s="43">
        <v>0</v>
      </c>
      <c r="AC216" s="43">
        <f t="shared" si="42"/>
        <v>0</v>
      </c>
      <c r="AD216" s="43">
        <v>0</v>
      </c>
      <c r="AE216" s="43">
        <f t="shared" si="43"/>
        <v>0</v>
      </c>
      <c r="AF216" s="43">
        <f t="shared" si="47"/>
        <v>57</v>
      </c>
      <c r="AG216" s="43">
        <f t="shared" si="48"/>
        <v>57</v>
      </c>
      <c r="AH216" s="38">
        <v>45342</v>
      </c>
      <c r="AI216" s="38"/>
      <c r="AJ216" s="38"/>
      <c r="AK216" s="38">
        <v>45371</v>
      </c>
      <c r="AL216" s="38"/>
      <c r="AM216" s="48"/>
      <c r="AN216" s="42"/>
      <c r="AO216" s="42" t="s">
        <v>1523</v>
      </c>
      <c r="AP216" s="42" t="s">
        <v>1524</v>
      </c>
      <c r="AQ216" s="42" t="s">
        <v>1525</v>
      </c>
      <c r="AR216" s="42" t="s">
        <v>148</v>
      </c>
      <c r="AS216" s="50">
        <v>0</v>
      </c>
      <c r="AT216" s="39">
        <v>100</v>
      </c>
      <c r="AU216" s="39" t="s">
        <v>83</v>
      </c>
      <c r="AV216" s="49">
        <v>5</v>
      </c>
      <c r="AW216" s="39" t="s">
        <v>62</v>
      </c>
      <c r="AX216" s="39">
        <v>10</v>
      </c>
      <c r="AY216" s="30">
        <f>(J216*10)/100</f>
        <v>19535243.399999999</v>
      </c>
      <c r="AZ216" s="42" t="s">
        <v>405</v>
      </c>
    </row>
    <row r="217" spans="1:52" ht="48.75" customHeight="1" x14ac:dyDescent="0.25">
      <c r="A217" s="61" t="s">
        <v>1526</v>
      </c>
      <c r="B217" s="62">
        <v>45313</v>
      </c>
      <c r="C217" s="42" t="s">
        <v>435</v>
      </c>
      <c r="D217" s="37" t="s">
        <v>434</v>
      </c>
      <c r="E217" s="41" t="s">
        <v>1527</v>
      </c>
      <c r="F217" s="38" t="s">
        <v>434</v>
      </c>
      <c r="G217" s="39" t="s">
        <v>434</v>
      </c>
      <c r="H217" s="42" t="s">
        <v>434</v>
      </c>
      <c r="I217" s="42" t="s">
        <v>1528</v>
      </c>
      <c r="J217" s="63">
        <v>229822000.5</v>
      </c>
      <c r="K217" s="43">
        <v>0</v>
      </c>
      <c r="L217" s="56">
        <v>0</v>
      </c>
      <c r="M217" s="56">
        <v>0</v>
      </c>
      <c r="N217" s="44">
        <f t="shared" si="36"/>
        <v>100</v>
      </c>
      <c r="O217" s="45">
        <f t="shared" si="44"/>
        <v>229822000.5</v>
      </c>
      <c r="P217" s="43"/>
      <c r="Q217" s="45">
        <f t="shared" si="45"/>
        <v>229822000.5</v>
      </c>
      <c r="R217" s="43">
        <v>0</v>
      </c>
      <c r="S217" s="30">
        <f t="shared" ref="S217:T280" si="50">R217</f>
        <v>0</v>
      </c>
      <c r="T217" s="30">
        <f t="shared" si="49"/>
        <v>0</v>
      </c>
      <c r="U217" s="30" t="e">
        <f>T217/X217</f>
        <v>#DIV/0!</v>
      </c>
      <c r="V217" s="43" t="e">
        <f>T217/X217</f>
        <v>#DIV/0!</v>
      </c>
      <c r="W217" s="43" t="e">
        <f t="shared" si="41"/>
        <v>#DIV/0!</v>
      </c>
      <c r="X217" s="43">
        <f t="shared" si="46"/>
        <v>0</v>
      </c>
      <c r="Y217" s="43">
        <v>0</v>
      </c>
      <c r="Z217" s="43">
        <v>0</v>
      </c>
      <c r="AA217" s="43">
        <v>0</v>
      </c>
      <c r="AB217" s="43"/>
      <c r="AC217" s="43" t="e">
        <f t="shared" si="42"/>
        <v>#DIV/0!</v>
      </c>
      <c r="AD217" s="43"/>
      <c r="AE217" s="43" t="e">
        <f t="shared" si="43"/>
        <v>#DIV/0!</v>
      </c>
      <c r="AF217" s="43" t="e">
        <f t="shared" si="47"/>
        <v>#DIV/0!</v>
      </c>
      <c r="AG217" s="43" t="e">
        <f t="shared" si="48"/>
        <v>#DIV/0!</v>
      </c>
      <c r="AH217" s="38">
        <v>45382</v>
      </c>
      <c r="AI217" s="38"/>
      <c r="AJ217" s="38"/>
      <c r="AK217" s="38"/>
      <c r="AL217" s="38"/>
      <c r="AM217" s="48"/>
      <c r="AN217" s="42"/>
      <c r="AO217" s="42"/>
      <c r="AP217" s="42"/>
      <c r="AQ217" s="42"/>
      <c r="AR217" s="42"/>
      <c r="AS217" s="50"/>
      <c r="AT217" s="39"/>
      <c r="AU217" s="39"/>
      <c r="AV217" s="49"/>
      <c r="AW217" s="39"/>
      <c r="AX217" s="39">
        <v>10</v>
      </c>
      <c r="AY217" s="30">
        <f>(J217*10)/100</f>
        <v>22982200.050000001</v>
      </c>
      <c r="AZ217" s="42" t="s">
        <v>434</v>
      </c>
    </row>
    <row r="218" spans="1:52" ht="48.75" customHeight="1" x14ac:dyDescent="0.25">
      <c r="A218" s="61" t="s">
        <v>1529</v>
      </c>
      <c r="B218" s="62">
        <v>45313</v>
      </c>
      <c r="C218" s="42" t="s">
        <v>435</v>
      </c>
      <c r="D218" s="37" t="s">
        <v>1530</v>
      </c>
      <c r="E218" s="41" t="s">
        <v>1531</v>
      </c>
      <c r="F218" s="38">
        <v>45334</v>
      </c>
      <c r="G218" s="39" t="s">
        <v>1532</v>
      </c>
      <c r="H218" s="42" t="s">
        <v>205</v>
      </c>
      <c r="I218" s="42" t="s">
        <v>1533</v>
      </c>
      <c r="J218" s="63">
        <v>3858140</v>
      </c>
      <c r="K218" s="43">
        <v>0</v>
      </c>
      <c r="L218" s="56">
        <v>0</v>
      </c>
      <c r="M218" s="56">
        <v>0</v>
      </c>
      <c r="N218" s="44">
        <f t="shared" si="36"/>
        <v>0</v>
      </c>
      <c r="O218" s="45">
        <f t="shared" si="44"/>
        <v>0</v>
      </c>
      <c r="P218" s="43">
        <v>3858140</v>
      </c>
      <c r="Q218" s="45">
        <f t="shared" si="45"/>
        <v>0</v>
      </c>
      <c r="R218" s="43">
        <v>3858140</v>
      </c>
      <c r="S218" s="30">
        <f t="shared" si="50"/>
        <v>3858140</v>
      </c>
      <c r="T218" s="30">
        <f t="shared" si="49"/>
        <v>3858140</v>
      </c>
      <c r="U218" s="30">
        <f>T218/X218</f>
        <v>2.09</v>
      </c>
      <c r="V218" s="43">
        <f>T218/X218</f>
        <v>2.09</v>
      </c>
      <c r="W218" s="43">
        <f t="shared" si="41"/>
        <v>418</v>
      </c>
      <c r="X218" s="43">
        <f t="shared" si="46"/>
        <v>1846000</v>
      </c>
      <c r="Y218" s="43">
        <v>1846000</v>
      </c>
      <c r="Z218" s="43">
        <v>0</v>
      </c>
      <c r="AA218" s="43">
        <v>0</v>
      </c>
      <c r="AB218" s="43">
        <v>0</v>
      </c>
      <c r="AC218" s="43">
        <f t="shared" si="42"/>
        <v>0</v>
      </c>
      <c r="AD218" s="43">
        <v>0</v>
      </c>
      <c r="AE218" s="43">
        <f t="shared" si="43"/>
        <v>0</v>
      </c>
      <c r="AF218" s="43">
        <f t="shared" si="47"/>
        <v>9230</v>
      </c>
      <c r="AG218" s="43">
        <f t="shared" si="48"/>
        <v>9230</v>
      </c>
      <c r="AH218" s="38">
        <v>45382</v>
      </c>
      <c r="AI218" s="38"/>
      <c r="AJ218" s="38"/>
      <c r="AK218" s="38">
        <v>45413</v>
      </c>
      <c r="AL218" s="38"/>
      <c r="AM218" s="48"/>
      <c r="AN218" s="42"/>
      <c r="AO218" s="42" t="s">
        <v>1534</v>
      </c>
      <c r="AP218" s="42" t="s">
        <v>1535</v>
      </c>
      <c r="AQ218" s="42" t="s">
        <v>1536</v>
      </c>
      <c r="AR218" s="42" t="s">
        <v>82</v>
      </c>
      <c r="AS218" s="50">
        <v>100</v>
      </c>
      <c r="AT218" s="39">
        <v>0</v>
      </c>
      <c r="AU218" s="39" t="s">
        <v>83</v>
      </c>
      <c r="AV218" s="49">
        <v>200</v>
      </c>
      <c r="AW218" s="39" t="s">
        <v>221</v>
      </c>
      <c r="AX218" s="39">
        <v>10</v>
      </c>
      <c r="AY218" s="30">
        <f>(J218*10)/100</f>
        <v>385814</v>
      </c>
      <c r="AZ218" s="42" t="s">
        <v>405</v>
      </c>
    </row>
    <row r="219" spans="1:52" ht="48.75" customHeight="1" x14ac:dyDescent="0.25">
      <c r="A219" s="61" t="s">
        <v>1537</v>
      </c>
      <c r="B219" s="62">
        <v>45313</v>
      </c>
      <c r="C219" s="42" t="s">
        <v>435</v>
      </c>
      <c r="D219" s="37" t="s">
        <v>1538</v>
      </c>
      <c r="E219" s="41" t="s">
        <v>1539</v>
      </c>
      <c r="F219" s="38">
        <v>45334</v>
      </c>
      <c r="G219" s="39" t="s">
        <v>1540</v>
      </c>
      <c r="H219" s="42" t="s">
        <v>205</v>
      </c>
      <c r="I219" s="42" t="s">
        <v>1541</v>
      </c>
      <c r="J219" s="63">
        <v>331056</v>
      </c>
      <c r="K219" s="43">
        <v>0</v>
      </c>
      <c r="L219" s="56">
        <v>0</v>
      </c>
      <c r="M219" s="56">
        <v>0</v>
      </c>
      <c r="N219" s="44">
        <f t="shared" si="36"/>
        <v>0</v>
      </c>
      <c r="O219" s="45">
        <f t="shared" si="44"/>
        <v>0</v>
      </c>
      <c r="P219" s="43">
        <v>331056</v>
      </c>
      <c r="Q219" s="45">
        <f t="shared" si="45"/>
        <v>0</v>
      </c>
      <c r="R219" s="43">
        <v>331056</v>
      </c>
      <c r="S219" s="30">
        <f t="shared" si="50"/>
        <v>331056</v>
      </c>
      <c r="T219" s="30">
        <f t="shared" si="49"/>
        <v>331056</v>
      </c>
      <c r="U219" s="30">
        <f>T219/X219</f>
        <v>183.92</v>
      </c>
      <c r="V219" s="43">
        <f>T219/X219</f>
        <v>183.92</v>
      </c>
      <c r="W219" s="43">
        <f t="shared" si="41"/>
        <v>11035.199999999999</v>
      </c>
      <c r="X219" s="43">
        <f t="shared" si="46"/>
        <v>1800</v>
      </c>
      <c r="Y219" s="43">
        <v>1800</v>
      </c>
      <c r="Z219" s="43">
        <v>0</v>
      </c>
      <c r="AA219" s="43">
        <v>0</v>
      </c>
      <c r="AB219" s="43">
        <v>0</v>
      </c>
      <c r="AC219" s="43">
        <f t="shared" si="42"/>
        <v>0</v>
      </c>
      <c r="AD219" s="43">
        <v>0</v>
      </c>
      <c r="AE219" s="43">
        <f t="shared" si="43"/>
        <v>0</v>
      </c>
      <c r="AF219" s="43">
        <f t="shared" si="47"/>
        <v>30</v>
      </c>
      <c r="AG219" s="43">
        <f t="shared" si="48"/>
        <v>30</v>
      </c>
      <c r="AH219" s="38">
        <v>45366</v>
      </c>
      <c r="AI219" s="38"/>
      <c r="AJ219" s="38"/>
      <c r="AK219" s="38">
        <v>45397</v>
      </c>
      <c r="AL219" s="38"/>
      <c r="AM219" s="48"/>
      <c r="AN219" s="42"/>
      <c r="AO219" s="42" t="s">
        <v>1542</v>
      </c>
      <c r="AP219" s="42" t="s">
        <v>1543</v>
      </c>
      <c r="AQ219" s="42" t="s">
        <v>1544</v>
      </c>
      <c r="AR219" s="42" t="s">
        <v>94</v>
      </c>
      <c r="AS219" s="50">
        <v>0</v>
      </c>
      <c r="AT219" s="39">
        <v>100</v>
      </c>
      <c r="AU219" s="39" t="s">
        <v>389</v>
      </c>
      <c r="AV219" s="49">
        <v>60</v>
      </c>
      <c r="AW219" s="39" t="s">
        <v>221</v>
      </c>
      <c r="AX219" s="39">
        <v>10</v>
      </c>
      <c r="AY219" s="30">
        <f>(J219*10)/100</f>
        <v>33105.599999999999</v>
      </c>
      <c r="AZ219" s="42" t="s">
        <v>405</v>
      </c>
    </row>
    <row r="220" spans="1:52" ht="48.75" customHeight="1" x14ac:dyDescent="0.25">
      <c r="A220" s="61" t="s">
        <v>1545</v>
      </c>
      <c r="B220" s="62">
        <v>45313</v>
      </c>
      <c r="C220" s="42" t="s">
        <v>435</v>
      </c>
      <c r="D220" s="37" t="s">
        <v>434</v>
      </c>
      <c r="E220" s="41" t="s">
        <v>1546</v>
      </c>
      <c r="F220" s="38" t="s">
        <v>434</v>
      </c>
      <c r="G220" s="39" t="s">
        <v>434</v>
      </c>
      <c r="H220" s="42" t="s">
        <v>434</v>
      </c>
      <c r="I220" s="42" t="s">
        <v>1547</v>
      </c>
      <c r="J220" s="63">
        <v>388170432</v>
      </c>
      <c r="K220" s="43">
        <v>0</v>
      </c>
      <c r="L220" s="56">
        <v>0</v>
      </c>
      <c r="M220" s="56">
        <v>0</v>
      </c>
      <c r="N220" s="44">
        <f t="shared" si="36"/>
        <v>100</v>
      </c>
      <c r="O220" s="45">
        <f t="shared" si="44"/>
        <v>388170432</v>
      </c>
      <c r="P220" s="43"/>
      <c r="Q220" s="45">
        <f t="shared" si="45"/>
        <v>388170432</v>
      </c>
      <c r="R220" s="43">
        <v>0</v>
      </c>
      <c r="S220" s="30">
        <f t="shared" si="50"/>
        <v>0</v>
      </c>
      <c r="T220" s="30">
        <f t="shared" si="49"/>
        <v>0</v>
      </c>
      <c r="U220" s="30" t="e">
        <f>T220/X220</f>
        <v>#DIV/0!</v>
      </c>
      <c r="V220" s="43" t="e">
        <f>T220/X220</f>
        <v>#DIV/0!</v>
      </c>
      <c r="W220" s="43" t="e">
        <f t="shared" si="41"/>
        <v>#DIV/0!</v>
      </c>
      <c r="X220" s="43">
        <f t="shared" si="46"/>
        <v>0</v>
      </c>
      <c r="Y220" s="43">
        <v>0</v>
      </c>
      <c r="Z220" s="43">
        <v>0</v>
      </c>
      <c r="AA220" s="43">
        <v>0</v>
      </c>
      <c r="AB220" s="43"/>
      <c r="AC220" s="43" t="e">
        <f t="shared" si="42"/>
        <v>#DIV/0!</v>
      </c>
      <c r="AD220" s="43"/>
      <c r="AE220" s="43" t="e">
        <f t="shared" si="43"/>
        <v>#DIV/0!</v>
      </c>
      <c r="AF220" s="43" t="e">
        <f t="shared" si="47"/>
        <v>#DIV/0!</v>
      </c>
      <c r="AG220" s="43" t="e">
        <f t="shared" si="48"/>
        <v>#DIV/0!</v>
      </c>
      <c r="AH220" s="38">
        <v>45383</v>
      </c>
      <c r="AI220" s="38"/>
      <c r="AJ220" s="38"/>
      <c r="AK220" s="38"/>
      <c r="AL220" s="38"/>
      <c r="AM220" s="48"/>
      <c r="AN220" s="42"/>
      <c r="AO220" s="42"/>
      <c r="AP220" s="42"/>
      <c r="AQ220" s="42"/>
      <c r="AR220" s="42"/>
      <c r="AS220" s="50"/>
      <c r="AT220" s="39"/>
      <c r="AU220" s="39"/>
      <c r="AV220" s="49"/>
      <c r="AW220" s="39"/>
      <c r="AX220" s="39">
        <v>10</v>
      </c>
      <c r="AY220" s="30">
        <f>(J220*10)/100</f>
        <v>38817043.200000003</v>
      </c>
      <c r="AZ220" s="42" t="s">
        <v>434</v>
      </c>
    </row>
    <row r="221" spans="1:52" ht="48.75" customHeight="1" x14ac:dyDescent="0.25">
      <c r="A221" s="61" t="s">
        <v>1548</v>
      </c>
      <c r="B221" s="62">
        <v>45313</v>
      </c>
      <c r="C221" s="42" t="s">
        <v>435</v>
      </c>
      <c r="D221" s="37" t="s">
        <v>1549</v>
      </c>
      <c r="E221" s="41" t="s">
        <v>1550</v>
      </c>
      <c r="F221" s="38">
        <v>45334</v>
      </c>
      <c r="G221" s="39" t="s">
        <v>1551</v>
      </c>
      <c r="H221" s="42" t="s">
        <v>226</v>
      </c>
      <c r="I221" s="42" t="s">
        <v>1552</v>
      </c>
      <c r="J221" s="63">
        <v>46479725.399999999</v>
      </c>
      <c r="K221" s="43">
        <v>0</v>
      </c>
      <c r="L221" s="56">
        <v>0</v>
      </c>
      <c r="M221" s="56">
        <v>0</v>
      </c>
      <c r="N221" s="44">
        <f t="shared" si="36"/>
        <v>0</v>
      </c>
      <c r="O221" s="45">
        <f t="shared" si="44"/>
        <v>0</v>
      </c>
      <c r="P221" s="43">
        <v>46479725.399999999</v>
      </c>
      <c r="Q221" s="45">
        <f t="shared" si="45"/>
        <v>0</v>
      </c>
      <c r="R221" s="43">
        <v>46479725.399999999</v>
      </c>
      <c r="S221" s="30">
        <f t="shared" si="50"/>
        <v>46479725.399999999</v>
      </c>
      <c r="T221" s="30">
        <f t="shared" si="49"/>
        <v>46479725.399999999</v>
      </c>
      <c r="U221" s="30">
        <f>T221/X221</f>
        <v>4.66</v>
      </c>
      <c r="V221" s="43">
        <f>T221/X221</f>
        <v>4.66</v>
      </c>
      <c r="W221" s="43">
        <f t="shared" si="41"/>
        <v>139.80000000000001</v>
      </c>
      <c r="X221" s="43">
        <f t="shared" si="46"/>
        <v>9974190</v>
      </c>
      <c r="Y221" s="43">
        <v>9974190</v>
      </c>
      <c r="Z221" s="43">
        <v>0</v>
      </c>
      <c r="AA221" s="43">
        <v>0</v>
      </c>
      <c r="AB221" s="43">
        <v>0</v>
      </c>
      <c r="AC221" s="43">
        <f t="shared" si="42"/>
        <v>0</v>
      </c>
      <c r="AD221" s="43">
        <v>0</v>
      </c>
      <c r="AE221" s="43">
        <f t="shared" si="43"/>
        <v>0</v>
      </c>
      <c r="AF221" s="43">
        <f t="shared" si="47"/>
        <v>332473</v>
      </c>
      <c r="AG221" s="43">
        <f t="shared" si="48"/>
        <v>332473</v>
      </c>
      <c r="AH221" s="38">
        <v>45383</v>
      </c>
      <c r="AI221" s="38"/>
      <c r="AJ221" s="38"/>
      <c r="AK221" s="38">
        <v>45413</v>
      </c>
      <c r="AL221" s="38"/>
      <c r="AM221" s="48"/>
      <c r="AN221" s="42"/>
      <c r="AO221" s="42" t="s">
        <v>1553</v>
      </c>
      <c r="AP221" s="42" t="s">
        <v>1554</v>
      </c>
      <c r="AQ221" s="42" t="s">
        <v>1555</v>
      </c>
      <c r="AR221" s="42" t="s">
        <v>82</v>
      </c>
      <c r="AS221" s="50">
        <v>100</v>
      </c>
      <c r="AT221" s="39">
        <v>0</v>
      </c>
      <c r="AU221" s="39" t="s">
        <v>389</v>
      </c>
      <c r="AV221" s="49">
        <v>30</v>
      </c>
      <c r="AW221" s="39" t="s">
        <v>62</v>
      </c>
      <c r="AX221" s="39">
        <v>10</v>
      </c>
      <c r="AY221" s="30">
        <f>(J221*10)/100</f>
        <v>4647972.54</v>
      </c>
      <c r="AZ221" s="42" t="s">
        <v>405</v>
      </c>
    </row>
    <row r="222" spans="1:52" ht="48.75" customHeight="1" x14ac:dyDescent="0.25">
      <c r="A222" s="61" t="s">
        <v>1556</v>
      </c>
      <c r="B222" s="62">
        <v>45313</v>
      </c>
      <c r="C222" s="42" t="s">
        <v>435</v>
      </c>
      <c r="D222" s="37" t="s">
        <v>1557</v>
      </c>
      <c r="E222" s="41" t="s">
        <v>1558</v>
      </c>
      <c r="F222" s="38">
        <v>45334</v>
      </c>
      <c r="G222" s="39" t="s">
        <v>1559</v>
      </c>
      <c r="H222" s="42" t="s">
        <v>54</v>
      </c>
      <c r="I222" s="39" t="s">
        <v>1560</v>
      </c>
      <c r="J222" s="63">
        <v>822463.2</v>
      </c>
      <c r="K222" s="43">
        <v>0</v>
      </c>
      <c r="L222" s="56">
        <v>0</v>
      </c>
      <c r="M222" s="56">
        <v>0</v>
      </c>
      <c r="N222" s="44">
        <f t="shared" si="36"/>
        <v>0</v>
      </c>
      <c r="O222" s="45">
        <f t="shared" si="44"/>
        <v>0</v>
      </c>
      <c r="P222" s="43">
        <v>822463.2</v>
      </c>
      <c r="Q222" s="45">
        <f t="shared" si="45"/>
        <v>0</v>
      </c>
      <c r="R222" s="43">
        <v>822463.2</v>
      </c>
      <c r="S222" s="30">
        <f t="shared" si="50"/>
        <v>822463.2</v>
      </c>
      <c r="T222" s="30">
        <f t="shared" si="49"/>
        <v>822463.2</v>
      </c>
      <c r="U222" s="30">
        <f>T222/X222</f>
        <v>33.93</v>
      </c>
      <c r="V222" s="43">
        <f>T222/X222</f>
        <v>33.93</v>
      </c>
      <c r="W222" s="43">
        <f t="shared" si="41"/>
        <v>2035.8</v>
      </c>
      <c r="X222" s="43">
        <f t="shared" si="46"/>
        <v>24240</v>
      </c>
      <c r="Y222" s="43">
        <v>24240</v>
      </c>
      <c r="Z222" s="43">
        <v>0</v>
      </c>
      <c r="AA222" s="43">
        <v>0</v>
      </c>
      <c r="AB222" s="43">
        <v>0</v>
      </c>
      <c r="AC222" s="43">
        <f t="shared" si="42"/>
        <v>0</v>
      </c>
      <c r="AD222" s="43">
        <v>0</v>
      </c>
      <c r="AE222" s="43">
        <f t="shared" si="43"/>
        <v>0</v>
      </c>
      <c r="AF222" s="43">
        <f t="shared" si="47"/>
        <v>404</v>
      </c>
      <c r="AG222" s="43">
        <f t="shared" si="48"/>
        <v>404</v>
      </c>
      <c r="AH222" s="38">
        <v>45366</v>
      </c>
      <c r="AI222" s="38"/>
      <c r="AJ222" s="38"/>
      <c r="AK222" s="38">
        <v>45397</v>
      </c>
      <c r="AL222" s="38"/>
      <c r="AM222" s="48"/>
      <c r="AN222" s="42"/>
      <c r="AO222" s="42" t="s">
        <v>1561</v>
      </c>
      <c r="AP222" s="42" t="s">
        <v>1562</v>
      </c>
      <c r="AQ222" s="42" t="s">
        <v>1563</v>
      </c>
      <c r="AR222" s="42" t="s">
        <v>388</v>
      </c>
      <c r="AS222" s="50">
        <v>0</v>
      </c>
      <c r="AT222" s="39">
        <v>100</v>
      </c>
      <c r="AU222" s="39" t="s">
        <v>389</v>
      </c>
      <c r="AV222" s="49">
        <v>60</v>
      </c>
      <c r="AW222" s="39" t="s">
        <v>62</v>
      </c>
      <c r="AX222" s="39">
        <v>10</v>
      </c>
      <c r="AY222" s="30">
        <f>(J222*10)/100</f>
        <v>82246.320000000007</v>
      </c>
      <c r="AZ222" s="42" t="s">
        <v>405</v>
      </c>
    </row>
    <row r="223" spans="1:52" ht="48.75" customHeight="1" x14ac:dyDescent="0.25">
      <c r="A223" s="61" t="s">
        <v>1564</v>
      </c>
      <c r="B223" s="62">
        <v>45313</v>
      </c>
      <c r="C223" s="42" t="s">
        <v>435</v>
      </c>
      <c r="D223" s="37" t="s">
        <v>1565</v>
      </c>
      <c r="E223" s="41" t="s">
        <v>1566</v>
      </c>
      <c r="F223" s="38">
        <v>45334</v>
      </c>
      <c r="G223" s="39" t="s">
        <v>1567</v>
      </c>
      <c r="H223" s="42" t="s">
        <v>54</v>
      </c>
      <c r="I223" s="39" t="s">
        <v>1568</v>
      </c>
      <c r="J223" s="63">
        <v>79713664.799999997</v>
      </c>
      <c r="K223" s="43">
        <v>0</v>
      </c>
      <c r="L223" s="56">
        <v>0</v>
      </c>
      <c r="M223" s="56">
        <v>0</v>
      </c>
      <c r="N223" s="44">
        <f t="shared" si="36"/>
        <v>0</v>
      </c>
      <c r="O223" s="45">
        <f t="shared" si="44"/>
        <v>0</v>
      </c>
      <c r="P223" s="43">
        <v>79713664.799999997</v>
      </c>
      <c r="Q223" s="45">
        <f t="shared" si="45"/>
        <v>0</v>
      </c>
      <c r="R223" s="43">
        <v>79713664.799999997</v>
      </c>
      <c r="S223" s="30">
        <f t="shared" si="50"/>
        <v>79713664.799999997</v>
      </c>
      <c r="T223" s="30">
        <f t="shared" si="49"/>
        <v>79713664.799999997</v>
      </c>
      <c r="U223" s="30">
        <f>T223/X223</f>
        <v>127.82</v>
      </c>
      <c r="V223" s="43">
        <f>T223/X223</f>
        <v>127.82</v>
      </c>
      <c r="W223" s="43">
        <f t="shared" si="41"/>
        <v>7669.2</v>
      </c>
      <c r="X223" s="43">
        <f t="shared" si="46"/>
        <v>623640</v>
      </c>
      <c r="Y223" s="43">
        <v>180000</v>
      </c>
      <c r="Z223" s="43">
        <v>443640</v>
      </c>
      <c r="AA223" s="43">
        <v>0</v>
      </c>
      <c r="AB223" s="43">
        <v>0</v>
      </c>
      <c r="AC223" s="43">
        <f t="shared" si="42"/>
        <v>0</v>
      </c>
      <c r="AD223" s="43">
        <v>0</v>
      </c>
      <c r="AE223" s="43">
        <f t="shared" si="43"/>
        <v>0</v>
      </c>
      <c r="AF223" s="43">
        <f t="shared" si="47"/>
        <v>10394</v>
      </c>
      <c r="AG223" s="43">
        <f t="shared" si="48"/>
        <v>10394</v>
      </c>
      <c r="AH223" s="38">
        <v>45352</v>
      </c>
      <c r="AI223" s="38">
        <v>45397</v>
      </c>
      <c r="AJ223" s="38"/>
      <c r="AK223" s="38">
        <v>45383</v>
      </c>
      <c r="AL223" s="38">
        <v>45427</v>
      </c>
      <c r="AM223" s="48"/>
      <c r="AN223" s="42"/>
      <c r="AO223" s="42" t="s">
        <v>1561</v>
      </c>
      <c r="AP223" s="42" t="s">
        <v>1569</v>
      </c>
      <c r="AQ223" s="42" t="s">
        <v>1563</v>
      </c>
      <c r="AR223" s="42" t="s">
        <v>388</v>
      </c>
      <c r="AS223" s="50">
        <v>0</v>
      </c>
      <c r="AT223" s="39">
        <v>100</v>
      </c>
      <c r="AU223" s="39" t="s">
        <v>389</v>
      </c>
      <c r="AV223" s="49">
        <v>60</v>
      </c>
      <c r="AW223" s="39" t="s">
        <v>62</v>
      </c>
      <c r="AX223" s="39">
        <v>10</v>
      </c>
      <c r="AY223" s="30">
        <f>(J223*10)/100</f>
        <v>7971366.4800000004</v>
      </c>
      <c r="AZ223" s="42" t="s">
        <v>405</v>
      </c>
    </row>
    <row r="224" spans="1:52" ht="48.75" customHeight="1" x14ac:dyDescent="0.25">
      <c r="A224" s="61" t="s">
        <v>1570</v>
      </c>
      <c r="B224" s="62">
        <v>45313</v>
      </c>
      <c r="C224" s="42" t="s">
        <v>435</v>
      </c>
      <c r="D224" s="37"/>
      <c r="E224" s="41" t="s">
        <v>1571</v>
      </c>
      <c r="F224" s="38"/>
      <c r="G224" s="39"/>
      <c r="H224" s="42"/>
      <c r="I224" s="39" t="s">
        <v>1572</v>
      </c>
      <c r="J224" s="63">
        <v>1115237257.2</v>
      </c>
      <c r="K224" s="43">
        <v>0</v>
      </c>
      <c r="L224" s="56">
        <v>0</v>
      </c>
      <c r="M224" s="56">
        <v>0</v>
      </c>
      <c r="N224" s="44">
        <f t="shared" ref="N224:N287" si="51">((J224-P224)/J224)*100</f>
        <v>100</v>
      </c>
      <c r="O224" s="45">
        <f t="shared" si="44"/>
        <v>1115237257.2</v>
      </c>
      <c r="P224" s="43"/>
      <c r="Q224" s="45">
        <f t="shared" si="45"/>
        <v>1115237257.2</v>
      </c>
      <c r="R224" s="43">
        <v>0</v>
      </c>
      <c r="S224" s="30">
        <f t="shared" si="50"/>
        <v>0</v>
      </c>
      <c r="T224" s="30">
        <f t="shared" si="49"/>
        <v>0</v>
      </c>
      <c r="U224" s="30" t="e">
        <f>T224/X224</f>
        <v>#DIV/0!</v>
      </c>
      <c r="V224" s="43" t="e">
        <f>T224/X224</f>
        <v>#DIV/0!</v>
      </c>
      <c r="W224" s="43" t="e">
        <f t="shared" si="41"/>
        <v>#DIV/0!</v>
      </c>
      <c r="X224" s="43">
        <f t="shared" si="46"/>
        <v>0</v>
      </c>
      <c r="Y224" s="43">
        <v>0</v>
      </c>
      <c r="Z224" s="43">
        <v>0</v>
      </c>
      <c r="AA224" s="43">
        <v>0</v>
      </c>
      <c r="AB224" s="43"/>
      <c r="AC224" s="43" t="e">
        <f t="shared" si="42"/>
        <v>#DIV/0!</v>
      </c>
      <c r="AD224" s="43"/>
      <c r="AE224" s="43" t="e">
        <f t="shared" si="43"/>
        <v>#DIV/0!</v>
      </c>
      <c r="AF224" s="43" t="e">
        <f t="shared" si="47"/>
        <v>#DIV/0!</v>
      </c>
      <c r="AG224" s="43" t="e">
        <f t="shared" si="48"/>
        <v>#DIV/0!</v>
      </c>
      <c r="AH224" s="38">
        <v>45383</v>
      </c>
      <c r="AI224" s="38"/>
      <c r="AJ224" s="38"/>
      <c r="AK224" s="38"/>
      <c r="AL224" s="38"/>
      <c r="AM224" s="48"/>
      <c r="AN224" s="42"/>
      <c r="AO224" s="42"/>
      <c r="AP224" s="42"/>
      <c r="AQ224" s="42"/>
      <c r="AR224" s="42"/>
      <c r="AS224" s="50"/>
      <c r="AT224" s="39"/>
      <c r="AU224" s="39"/>
      <c r="AV224" s="49"/>
      <c r="AW224" s="39"/>
      <c r="AX224" s="39">
        <v>10</v>
      </c>
      <c r="AY224" s="30">
        <f>(J224*10)/100</f>
        <v>111523725.72</v>
      </c>
      <c r="AZ224" s="42"/>
    </row>
    <row r="225" spans="1:52" ht="48.75" customHeight="1" x14ac:dyDescent="0.25">
      <c r="A225" s="61" t="s">
        <v>1573</v>
      </c>
      <c r="B225" s="62">
        <v>45313</v>
      </c>
      <c r="C225" s="42" t="s">
        <v>435</v>
      </c>
      <c r="D225" s="37" t="s">
        <v>434</v>
      </c>
      <c r="E225" s="41" t="s">
        <v>1574</v>
      </c>
      <c r="F225" s="38" t="s">
        <v>434</v>
      </c>
      <c r="G225" s="39" t="s">
        <v>434</v>
      </c>
      <c r="H225" s="42" t="s">
        <v>434</v>
      </c>
      <c r="I225" s="39" t="s">
        <v>1575</v>
      </c>
      <c r="J225" s="63">
        <v>64233933</v>
      </c>
      <c r="K225" s="43">
        <v>0</v>
      </c>
      <c r="L225" s="56">
        <v>0</v>
      </c>
      <c r="M225" s="56">
        <v>0</v>
      </c>
      <c r="N225" s="44">
        <f t="shared" si="51"/>
        <v>100</v>
      </c>
      <c r="O225" s="45">
        <f t="shared" si="44"/>
        <v>64233933</v>
      </c>
      <c r="P225" s="43"/>
      <c r="Q225" s="45">
        <f t="shared" si="45"/>
        <v>64233933</v>
      </c>
      <c r="R225" s="43">
        <v>0</v>
      </c>
      <c r="S225" s="30">
        <f t="shared" si="50"/>
        <v>0</v>
      </c>
      <c r="T225" s="30">
        <f t="shared" si="49"/>
        <v>0</v>
      </c>
      <c r="U225" s="30" t="e">
        <f>T225/X225</f>
        <v>#DIV/0!</v>
      </c>
      <c r="V225" s="43" t="e">
        <f>T225/X225</f>
        <v>#DIV/0!</v>
      </c>
      <c r="W225" s="43" t="e">
        <f t="shared" si="41"/>
        <v>#DIV/0!</v>
      </c>
      <c r="X225" s="43">
        <f t="shared" si="46"/>
        <v>0</v>
      </c>
      <c r="Y225" s="43">
        <v>0</v>
      </c>
      <c r="Z225" s="43">
        <v>0</v>
      </c>
      <c r="AA225" s="43">
        <v>0</v>
      </c>
      <c r="AB225" s="43"/>
      <c r="AC225" s="43" t="e">
        <f t="shared" si="42"/>
        <v>#DIV/0!</v>
      </c>
      <c r="AD225" s="43"/>
      <c r="AE225" s="43" t="e">
        <f t="shared" si="43"/>
        <v>#DIV/0!</v>
      </c>
      <c r="AF225" s="43" t="e">
        <f t="shared" si="47"/>
        <v>#DIV/0!</v>
      </c>
      <c r="AG225" s="43" t="e">
        <f t="shared" si="48"/>
        <v>#DIV/0!</v>
      </c>
      <c r="AH225" s="38">
        <v>45383</v>
      </c>
      <c r="AI225" s="38"/>
      <c r="AJ225" s="38"/>
      <c r="AK225" s="38"/>
      <c r="AL225" s="38"/>
      <c r="AM225" s="48"/>
      <c r="AN225" s="42"/>
      <c r="AO225" s="42"/>
      <c r="AP225" s="42"/>
      <c r="AQ225" s="42"/>
      <c r="AR225" s="42"/>
      <c r="AS225" s="50"/>
      <c r="AT225" s="39"/>
      <c r="AU225" s="39"/>
      <c r="AV225" s="49"/>
      <c r="AW225" s="39"/>
      <c r="AX225" s="39">
        <v>10</v>
      </c>
      <c r="AY225" s="30">
        <f>(J225*10)/100</f>
        <v>6423393.2999999998</v>
      </c>
      <c r="AZ225" s="42" t="s">
        <v>434</v>
      </c>
    </row>
    <row r="226" spans="1:52" ht="48.75" customHeight="1" x14ac:dyDescent="0.25">
      <c r="A226" s="61" t="s">
        <v>1576</v>
      </c>
      <c r="B226" s="62">
        <v>45313</v>
      </c>
      <c r="C226" s="42" t="s">
        <v>435</v>
      </c>
      <c r="D226" s="37" t="s">
        <v>1577</v>
      </c>
      <c r="E226" s="41" t="s">
        <v>1578</v>
      </c>
      <c r="F226" s="38">
        <v>45334</v>
      </c>
      <c r="G226" s="39" t="s">
        <v>1579</v>
      </c>
      <c r="H226" s="42" t="s">
        <v>226</v>
      </c>
      <c r="I226" s="42" t="s">
        <v>1580</v>
      </c>
      <c r="J226" s="63">
        <v>113162592</v>
      </c>
      <c r="K226" s="43">
        <v>0</v>
      </c>
      <c r="L226" s="56">
        <v>0</v>
      </c>
      <c r="M226" s="56">
        <v>0</v>
      </c>
      <c r="N226" s="44">
        <f t="shared" si="51"/>
        <v>0</v>
      </c>
      <c r="O226" s="45">
        <f t="shared" si="44"/>
        <v>0</v>
      </c>
      <c r="P226" s="43">
        <v>113162592</v>
      </c>
      <c r="Q226" s="45">
        <f t="shared" si="45"/>
        <v>0</v>
      </c>
      <c r="R226" s="43">
        <v>113162592</v>
      </c>
      <c r="S226" s="30">
        <f t="shared" si="50"/>
        <v>113162592</v>
      </c>
      <c r="T226" s="30">
        <f t="shared" si="49"/>
        <v>113162592</v>
      </c>
      <c r="U226" s="30">
        <f>T226/X226</f>
        <v>23.05</v>
      </c>
      <c r="V226" s="43">
        <f>T226/X226</f>
        <v>23.05</v>
      </c>
      <c r="W226" s="43" t="e">
        <f t="shared" si="41"/>
        <v>#VALUE!</v>
      </c>
      <c r="X226" s="43">
        <f t="shared" si="46"/>
        <v>4909440</v>
      </c>
      <c r="Y226" s="43">
        <v>4909440</v>
      </c>
      <c r="Z226" s="43">
        <v>0</v>
      </c>
      <c r="AA226" s="43">
        <v>0</v>
      </c>
      <c r="AB226" s="43">
        <v>0</v>
      </c>
      <c r="AC226" s="43">
        <f t="shared" si="42"/>
        <v>0</v>
      </c>
      <c r="AD226" s="43">
        <v>0</v>
      </c>
      <c r="AE226" s="43">
        <f t="shared" si="43"/>
        <v>0</v>
      </c>
      <c r="AF226" s="43" t="e">
        <f t="shared" si="47"/>
        <v>#VALUE!</v>
      </c>
      <c r="AG226" s="43" t="e">
        <f t="shared" si="48"/>
        <v>#VALUE!</v>
      </c>
      <c r="AH226" s="38">
        <v>45383</v>
      </c>
      <c r="AI226" s="38"/>
      <c r="AJ226" s="38"/>
      <c r="AK226" s="38">
        <v>45413</v>
      </c>
      <c r="AL226" s="38"/>
      <c r="AM226" s="48"/>
      <c r="AN226" s="42"/>
      <c r="AO226" s="42" t="s">
        <v>1581</v>
      </c>
      <c r="AP226" s="42" t="s">
        <v>1582</v>
      </c>
      <c r="AQ226" s="42" t="s">
        <v>1583</v>
      </c>
      <c r="AR226" s="42" t="s">
        <v>82</v>
      </c>
      <c r="AS226" s="50">
        <v>100</v>
      </c>
      <c r="AT226" s="39">
        <v>0</v>
      </c>
      <c r="AU226" s="39" t="s">
        <v>389</v>
      </c>
      <c r="AV226" s="53" t="s">
        <v>1584</v>
      </c>
      <c r="AW226" s="39" t="s">
        <v>62</v>
      </c>
      <c r="AX226" s="39">
        <v>10</v>
      </c>
      <c r="AY226" s="30">
        <f>(J226*10)/100</f>
        <v>11316259.199999999</v>
      </c>
      <c r="AZ226" s="42" t="s">
        <v>405</v>
      </c>
    </row>
    <row r="227" spans="1:52" ht="48.75" customHeight="1" x14ac:dyDescent="0.25">
      <c r="A227" s="61" t="s">
        <v>1585</v>
      </c>
      <c r="B227" s="62">
        <v>45313</v>
      </c>
      <c r="C227" s="42" t="s">
        <v>435</v>
      </c>
      <c r="D227" s="37" t="s">
        <v>1586</v>
      </c>
      <c r="E227" s="41" t="s">
        <v>1587</v>
      </c>
      <c r="F227" s="38">
        <v>45334</v>
      </c>
      <c r="G227" s="39" t="s">
        <v>1588</v>
      </c>
      <c r="H227" s="42" t="s">
        <v>226</v>
      </c>
      <c r="I227" s="42" t="s">
        <v>1589</v>
      </c>
      <c r="J227" s="63">
        <v>113308.8</v>
      </c>
      <c r="K227" s="43">
        <v>0</v>
      </c>
      <c r="L227" s="56">
        <v>0</v>
      </c>
      <c r="M227" s="56">
        <v>0</v>
      </c>
      <c r="N227" s="44">
        <f t="shared" si="51"/>
        <v>0</v>
      </c>
      <c r="O227" s="45">
        <f t="shared" si="44"/>
        <v>0</v>
      </c>
      <c r="P227" s="43">
        <v>113308.8</v>
      </c>
      <c r="Q227" s="45">
        <f t="shared" si="45"/>
        <v>0</v>
      </c>
      <c r="R227" s="43">
        <v>113308.8</v>
      </c>
      <c r="S227" s="30">
        <f t="shared" si="50"/>
        <v>113308.8</v>
      </c>
      <c r="T227" s="30">
        <f t="shared" si="49"/>
        <v>113308.8</v>
      </c>
      <c r="U227" s="30">
        <f>T227/X227</f>
        <v>6.38</v>
      </c>
      <c r="V227" s="43">
        <f>T227/X227</f>
        <v>6.38</v>
      </c>
      <c r="W227" s="43">
        <f t="shared" si="41"/>
        <v>382.8</v>
      </c>
      <c r="X227" s="43">
        <f t="shared" si="46"/>
        <v>17760</v>
      </c>
      <c r="Y227" s="43">
        <v>17760</v>
      </c>
      <c r="Z227" s="43">
        <v>0</v>
      </c>
      <c r="AA227" s="43">
        <v>0</v>
      </c>
      <c r="AB227" s="43">
        <v>0</v>
      </c>
      <c r="AC227" s="43">
        <f t="shared" si="42"/>
        <v>0</v>
      </c>
      <c r="AD227" s="43">
        <v>0</v>
      </c>
      <c r="AE227" s="43">
        <f t="shared" si="43"/>
        <v>0</v>
      </c>
      <c r="AF227" s="43">
        <f t="shared" si="47"/>
        <v>296</v>
      </c>
      <c r="AG227" s="43">
        <f t="shared" si="48"/>
        <v>296</v>
      </c>
      <c r="AH227" s="38">
        <v>45366</v>
      </c>
      <c r="AI227" s="38"/>
      <c r="AJ227" s="38"/>
      <c r="AK227" s="38">
        <v>45397</v>
      </c>
      <c r="AL227" s="38"/>
      <c r="AM227" s="48"/>
      <c r="AN227" s="42"/>
      <c r="AO227" s="42" t="s">
        <v>1590</v>
      </c>
      <c r="AP227" s="42" t="s">
        <v>1591</v>
      </c>
      <c r="AQ227" s="42" t="s">
        <v>1592</v>
      </c>
      <c r="AR227" s="42" t="s">
        <v>82</v>
      </c>
      <c r="AS227" s="50">
        <v>100</v>
      </c>
      <c r="AT227" s="39">
        <v>0</v>
      </c>
      <c r="AU227" s="39" t="s">
        <v>389</v>
      </c>
      <c r="AV227" s="49">
        <v>60</v>
      </c>
      <c r="AW227" s="39" t="s">
        <v>62</v>
      </c>
      <c r="AX227" s="39">
        <v>10</v>
      </c>
      <c r="AY227" s="30">
        <f>(J227*10)/100</f>
        <v>11330.88</v>
      </c>
      <c r="AZ227" s="42" t="s">
        <v>405</v>
      </c>
    </row>
    <row r="228" spans="1:52" ht="48.75" customHeight="1" x14ac:dyDescent="0.25">
      <c r="A228" s="61" t="s">
        <v>1593</v>
      </c>
      <c r="B228" s="62">
        <v>45313</v>
      </c>
      <c r="C228" s="42" t="s">
        <v>435</v>
      </c>
      <c r="D228" s="37" t="s">
        <v>434</v>
      </c>
      <c r="E228" s="41" t="s">
        <v>1594</v>
      </c>
      <c r="F228" s="38" t="s">
        <v>434</v>
      </c>
      <c r="G228" s="39" t="s">
        <v>434</v>
      </c>
      <c r="H228" s="42" t="s">
        <v>434</v>
      </c>
      <c r="I228" s="42" t="s">
        <v>1595</v>
      </c>
      <c r="J228" s="63">
        <v>6380774.4000000004</v>
      </c>
      <c r="K228" s="43">
        <v>0</v>
      </c>
      <c r="L228" s="56">
        <v>0</v>
      </c>
      <c r="M228" s="56">
        <v>0</v>
      </c>
      <c r="N228" s="44">
        <f t="shared" si="51"/>
        <v>100</v>
      </c>
      <c r="O228" s="45">
        <f t="shared" si="44"/>
        <v>6380774.4000000004</v>
      </c>
      <c r="P228" s="43"/>
      <c r="Q228" s="45">
        <f t="shared" si="45"/>
        <v>6380774.4000000004</v>
      </c>
      <c r="R228" s="43">
        <v>0</v>
      </c>
      <c r="S228" s="30">
        <f t="shared" si="50"/>
        <v>0</v>
      </c>
      <c r="T228" s="30">
        <f t="shared" si="49"/>
        <v>0</v>
      </c>
      <c r="U228" s="30" t="e">
        <f>T228/X228</f>
        <v>#DIV/0!</v>
      </c>
      <c r="V228" s="43" t="e">
        <f>T228/X228</f>
        <v>#DIV/0!</v>
      </c>
      <c r="W228" s="43" t="e">
        <f t="shared" si="41"/>
        <v>#DIV/0!</v>
      </c>
      <c r="X228" s="43">
        <f t="shared" si="46"/>
        <v>0</v>
      </c>
      <c r="Y228" s="43">
        <v>0</v>
      </c>
      <c r="Z228" s="43">
        <v>0</v>
      </c>
      <c r="AA228" s="43">
        <v>0</v>
      </c>
      <c r="AB228" s="43"/>
      <c r="AC228" s="43" t="e">
        <f t="shared" si="42"/>
        <v>#DIV/0!</v>
      </c>
      <c r="AD228" s="43"/>
      <c r="AE228" s="43" t="e">
        <f t="shared" si="43"/>
        <v>#DIV/0!</v>
      </c>
      <c r="AF228" s="43" t="e">
        <f t="shared" si="47"/>
        <v>#DIV/0!</v>
      </c>
      <c r="AG228" s="43" t="e">
        <f t="shared" si="48"/>
        <v>#DIV/0!</v>
      </c>
      <c r="AH228" s="38">
        <v>45382</v>
      </c>
      <c r="AI228" s="38">
        <v>45473</v>
      </c>
      <c r="AJ228" s="38"/>
      <c r="AK228" s="38"/>
      <c r="AL228" s="38"/>
      <c r="AM228" s="48"/>
      <c r="AN228" s="42"/>
      <c r="AO228" s="42"/>
      <c r="AP228" s="42"/>
      <c r="AQ228" s="42"/>
      <c r="AR228" s="42"/>
      <c r="AS228" s="50"/>
      <c r="AT228" s="39"/>
      <c r="AU228" s="39"/>
      <c r="AV228" s="49"/>
      <c r="AW228" s="39"/>
      <c r="AX228" s="39">
        <v>10</v>
      </c>
      <c r="AY228" s="30">
        <f>(J228*10)/100</f>
        <v>638077.43999999994</v>
      </c>
      <c r="AZ228" s="42" t="s">
        <v>434</v>
      </c>
    </row>
    <row r="229" spans="1:52" ht="48.75" customHeight="1" x14ac:dyDescent="0.25">
      <c r="A229" s="61" t="s">
        <v>1596</v>
      </c>
      <c r="B229" s="62">
        <v>45313</v>
      </c>
      <c r="C229" s="42" t="s">
        <v>435</v>
      </c>
      <c r="D229" s="37" t="s">
        <v>1597</v>
      </c>
      <c r="E229" s="41" t="s">
        <v>1598</v>
      </c>
      <c r="F229" s="38">
        <v>45334</v>
      </c>
      <c r="G229" s="39" t="s">
        <v>1599</v>
      </c>
      <c r="H229" s="42" t="s">
        <v>205</v>
      </c>
      <c r="I229" s="42" t="s">
        <v>1600</v>
      </c>
      <c r="J229" s="63">
        <v>1209780</v>
      </c>
      <c r="K229" s="43">
        <v>0</v>
      </c>
      <c r="L229" s="56">
        <v>0</v>
      </c>
      <c r="M229" s="56">
        <v>0</v>
      </c>
      <c r="N229" s="44">
        <f t="shared" si="51"/>
        <v>0</v>
      </c>
      <c r="O229" s="45">
        <f t="shared" si="44"/>
        <v>0</v>
      </c>
      <c r="P229" s="43">
        <v>1209780</v>
      </c>
      <c r="Q229" s="45">
        <f t="shared" si="45"/>
        <v>0</v>
      </c>
      <c r="R229" s="43">
        <v>1209780</v>
      </c>
      <c r="S229" s="30">
        <f t="shared" si="50"/>
        <v>1209780</v>
      </c>
      <c r="T229" s="30">
        <f t="shared" si="49"/>
        <v>1209780</v>
      </c>
      <c r="U229" s="30">
        <f>T229/X229</f>
        <v>336.05</v>
      </c>
      <c r="V229" s="43">
        <f>T229/X229</f>
        <v>336.05</v>
      </c>
      <c r="W229" s="43">
        <f t="shared" si="41"/>
        <v>20163</v>
      </c>
      <c r="X229" s="43">
        <f t="shared" si="46"/>
        <v>3600</v>
      </c>
      <c r="Y229" s="43">
        <v>3600</v>
      </c>
      <c r="Z229" s="43">
        <v>0</v>
      </c>
      <c r="AA229" s="43">
        <v>0</v>
      </c>
      <c r="AB229" s="43">
        <v>0</v>
      </c>
      <c r="AC229" s="43">
        <f t="shared" si="42"/>
        <v>0</v>
      </c>
      <c r="AD229" s="43">
        <v>0</v>
      </c>
      <c r="AE229" s="43">
        <f t="shared" si="43"/>
        <v>0</v>
      </c>
      <c r="AF229" s="43">
        <f t="shared" si="47"/>
        <v>60</v>
      </c>
      <c r="AG229" s="43">
        <f t="shared" si="48"/>
        <v>60</v>
      </c>
      <c r="AH229" s="38">
        <v>45366</v>
      </c>
      <c r="AI229" s="38"/>
      <c r="AJ229" s="38"/>
      <c r="AK229" s="38">
        <v>45397</v>
      </c>
      <c r="AL229" s="38"/>
      <c r="AM229" s="48"/>
      <c r="AN229" s="42"/>
      <c r="AO229" s="42" t="s">
        <v>1542</v>
      </c>
      <c r="AP229" s="42" t="s">
        <v>1601</v>
      </c>
      <c r="AQ229" s="42" t="s">
        <v>1544</v>
      </c>
      <c r="AR229" s="42" t="s">
        <v>94</v>
      </c>
      <c r="AS229" s="50">
        <v>0</v>
      </c>
      <c r="AT229" s="39">
        <v>100</v>
      </c>
      <c r="AU229" s="39" t="s">
        <v>389</v>
      </c>
      <c r="AV229" s="49">
        <v>60</v>
      </c>
      <c r="AW229" s="39" t="s">
        <v>221</v>
      </c>
      <c r="AX229" s="39">
        <v>10</v>
      </c>
      <c r="AY229" s="30">
        <f>(J229*10)/100</f>
        <v>120978</v>
      </c>
      <c r="AZ229" s="42" t="s">
        <v>405</v>
      </c>
    </row>
    <row r="230" spans="1:52" ht="48.75" customHeight="1" x14ac:dyDescent="0.25">
      <c r="A230" s="61" t="s">
        <v>1602</v>
      </c>
      <c r="B230" s="62">
        <v>45313</v>
      </c>
      <c r="C230" s="42">
        <v>545</v>
      </c>
      <c r="D230" s="37" t="s">
        <v>434</v>
      </c>
      <c r="E230" s="41" t="s">
        <v>1603</v>
      </c>
      <c r="F230" s="38" t="s">
        <v>434</v>
      </c>
      <c r="G230" s="39" t="s">
        <v>434</v>
      </c>
      <c r="H230" s="42" t="s">
        <v>434</v>
      </c>
      <c r="I230" s="39" t="s">
        <v>594</v>
      </c>
      <c r="J230" s="63">
        <v>11343667.5</v>
      </c>
      <c r="K230" s="43">
        <v>0</v>
      </c>
      <c r="L230" s="56">
        <v>0</v>
      </c>
      <c r="M230" s="56">
        <v>0</v>
      </c>
      <c r="N230" s="44">
        <f t="shared" si="51"/>
        <v>100</v>
      </c>
      <c r="O230" s="45">
        <f t="shared" si="44"/>
        <v>11343667.5</v>
      </c>
      <c r="P230" s="43"/>
      <c r="Q230" s="45">
        <f t="shared" si="45"/>
        <v>11343667.5</v>
      </c>
      <c r="R230" s="43">
        <v>0</v>
      </c>
      <c r="S230" s="30">
        <f t="shared" si="50"/>
        <v>0</v>
      </c>
      <c r="T230" s="30">
        <f t="shared" si="49"/>
        <v>0</v>
      </c>
      <c r="U230" s="30" t="e">
        <f>T230/X230</f>
        <v>#DIV/0!</v>
      </c>
      <c r="V230" s="43" t="e">
        <f>T230/X230</f>
        <v>#DIV/0!</v>
      </c>
      <c r="W230" s="43" t="e">
        <f t="shared" si="41"/>
        <v>#DIV/0!</v>
      </c>
      <c r="X230" s="43">
        <f t="shared" si="46"/>
        <v>0</v>
      </c>
      <c r="Y230" s="43">
        <v>0</v>
      </c>
      <c r="Z230" s="43">
        <v>0</v>
      </c>
      <c r="AA230" s="43">
        <v>0</v>
      </c>
      <c r="AB230" s="43"/>
      <c r="AC230" s="43" t="e">
        <f t="shared" si="42"/>
        <v>#DIV/0!</v>
      </c>
      <c r="AD230" s="43"/>
      <c r="AE230" s="43" t="e">
        <f t="shared" si="43"/>
        <v>#DIV/0!</v>
      </c>
      <c r="AF230" s="43" t="e">
        <f t="shared" si="47"/>
        <v>#DIV/0!</v>
      </c>
      <c r="AG230" s="43" t="e">
        <f t="shared" si="48"/>
        <v>#DIV/0!</v>
      </c>
      <c r="AH230" s="38">
        <v>45383</v>
      </c>
      <c r="AI230" s="38"/>
      <c r="AJ230" s="38"/>
      <c r="AK230" s="38"/>
      <c r="AL230" s="38"/>
      <c r="AM230" s="48"/>
      <c r="AN230" s="42"/>
      <c r="AO230" s="42"/>
      <c r="AP230" s="42"/>
      <c r="AQ230" s="42"/>
      <c r="AR230" s="42"/>
      <c r="AS230" s="50"/>
      <c r="AT230" s="39"/>
      <c r="AU230" s="39"/>
      <c r="AV230" s="49"/>
      <c r="AW230" s="39"/>
      <c r="AX230" s="39">
        <v>10</v>
      </c>
      <c r="AY230" s="30">
        <f>(J230*10)/100</f>
        <v>1134366.75</v>
      </c>
      <c r="AZ230" s="42" t="s">
        <v>434</v>
      </c>
    </row>
    <row r="231" spans="1:52" ht="48.75" customHeight="1" x14ac:dyDescent="0.25">
      <c r="A231" s="61" t="s">
        <v>1604</v>
      </c>
      <c r="B231" s="62">
        <v>45313</v>
      </c>
      <c r="C231" s="42" t="s">
        <v>435</v>
      </c>
      <c r="D231" s="37" t="s">
        <v>434</v>
      </c>
      <c r="E231" s="41" t="s">
        <v>1605</v>
      </c>
      <c r="F231" s="38" t="s">
        <v>434</v>
      </c>
      <c r="G231" s="39" t="s">
        <v>434</v>
      </c>
      <c r="H231" s="42" t="s">
        <v>434</v>
      </c>
      <c r="I231" s="42" t="s">
        <v>1606</v>
      </c>
      <c r="J231" s="63">
        <v>64033200</v>
      </c>
      <c r="K231" s="43">
        <v>0</v>
      </c>
      <c r="L231" s="56">
        <v>0</v>
      </c>
      <c r="M231" s="56">
        <v>0</v>
      </c>
      <c r="N231" s="44">
        <f t="shared" si="51"/>
        <v>100</v>
      </c>
      <c r="O231" s="45">
        <f t="shared" si="44"/>
        <v>64033200</v>
      </c>
      <c r="P231" s="43"/>
      <c r="Q231" s="45">
        <f t="shared" si="45"/>
        <v>64033200</v>
      </c>
      <c r="R231" s="43">
        <v>0</v>
      </c>
      <c r="S231" s="30">
        <f t="shared" si="50"/>
        <v>0</v>
      </c>
      <c r="T231" s="30">
        <f t="shared" si="49"/>
        <v>0</v>
      </c>
      <c r="U231" s="30" t="e">
        <f>T231/X231</f>
        <v>#DIV/0!</v>
      </c>
      <c r="V231" s="43" t="e">
        <f>T231/X231</f>
        <v>#DIV/0!</v>
      </c>
      <c r="W231" s="43" t="e">
        <f t="shared" si="41"/>
        <v>#DIV/0!</v>
      </c>
      <c r="X231" s="43">
        <f t="shared" si="46"/>
        <v>0</v>
      </c>
      <c r="Y231" s="43">
        <v>0</v>
      </c>
      <c r="Z231" s="43">
        <v>0</v>
      </c>
      <c r="AA231" s="43">
        <v>0</v>
      </c>
      <c r="AB231" s="43"/>
      <c r="AC231" s="43" t="e">
        <f t="shared" si="42"/>
        <v>#DIV/0!</v>
      </c>
      <c r="AD231" s="43"/>
      <c r="AE231" s="43" t="e">
        <f t="shared" si="43"/>
        <v>#DIV/0!</v>
      </c>
      <c r="AF231" s="43" t="e">
        <f t="shared" si="47"/>
        <v>#DIV/0!</v>
      </c>
      <c r="AG231" s="43" t="e">
        <f t="shared" si="48"/>
        <v>#DIV/0!</v>
      </c>
      <c r="AH231" s="38">
        <v>45383</v>
      </c>
      <c r="AI231" s="38"/>
      <c r="AJ231" s="38"/>
      <c r="AK231" s="38"/>
      <c r="AL231" s="38"/>
      <c r="AM231" s="48"/>
      <c r="AN231" s="42"/>
      <c r="AO231" s="42"/>
      <c r="AP231" s="42"/>
      <c r="AQ231" s="42"/>
      <c r="AR231" s="42"/>
      <c r="AS231" s="50"/>
      <c r="AT231" s="39"/>
      <c r="AU231" s="39"/>
      <c r="AV231" s="49"/>
      <c r="AW231" s="39"/>
      <c r="AX231" s="39">
        <v>10</v>
      </c>
      <c r="AY231" s="30">
        <f>(J231*10)/100</f>
        <v>6403320</v>
      </c>
      <c r="AZ231" s="42" t="s">
        <v>434</v>
      </c>
    </row>
    <row r="232" spans="1:52" ht="48.75" customHeight="1" x14ac:dyDescent="0.25">
      <c r="A232" s="61" t="s">
        <v>1607</v>
      </c>
      <c r="B232" s="62">
        <v>45315</v>
      </c>
      <c r="C232" s="42">
        <v>545</v>
      </c>
      <c r="D232" s="37"/>
      <c r="E232" s="41" t="s">
        <v>1608</v>
      </c>
      <c r="F232" s="38"/>
      <c r="G232" s="39"/>
      <c r="H232" s="42"/>
      <c r="I232" s="42" t="s">
        <v>341</v>
      </c>
      <c r="J232" s="63">
        <v>395718042.30000001</v>
      </c>
      <c r="K232" s="43">
        <v>0</v>
      </c>
      <c r="L232" s="56">
        <v>0</v>
      </c>
      <c r="M232" s="56">
        <v>0</v>
      </c>
      <c r="N232" s="44">
        <f t="shared" si="51"/>
        <v>100</v>
      </c>
      <c r="O232" s="45">
        <f t="shared" si="44"/>
        <v>395718042.30000001</v>
      </c>
      <c r="P232" s="43"/>
      <c r="Q232" s="45">
        <f t="shared" si="45"/>
        <v>395718042.30000001</v>
      </c>
      <c r="R232" s="43">
        <v>0</v>
      </c>
      <c r="S232" s="30">
        <f t="shared" si="50"/>
        <v>0</v>
      </c>
      <c r="T232" s="30">
        <f t="shared" si="49"/>
        <v>0</v>
      </c>
      <c r="U232" s="30" t="e">
        <f>T232/X232</f>
        <v>#DIV/0!</v>
      </c>
      <c r="V232" s="43" t="e">
        <f>T232/X232</f>
        <v>#DIV/0!</v>
      </c>
      <c r="W232" s="43" t="e">
        <f t="shared" si="41"/>
        <v>#DIV/0!</v>
      </c>
      <c r="X232" s="43">
        <f t="shared" si="46"/>
        <v>0</v>
      </c>
      <c r="Y232" s="43">
        <v>0</v>
      </c>
      <c r="Z232" s="43">
        <v>0</v>
      </c>
      <c r="AA232" s="43">
        <v>0</v>
      </c>
      <c r="AB232" s="43"/>
      <c r="AC232" s="43" t="e">
        <f t="shared" si="42"/>
        <v>#DIV/0!</v>
      </c>
      <c r="AD232" s="43"/>
      <c r="AE232" s="43" t="e">
        <f t="shared" si="43"/>
        <v>#DIV/0!</v>
      </c>
      <c r="AF232" s="43" t="e">
        <f t="shared" si="47"/>
        <v>#DIV/0!</v>
      </c>
      <c r="AG232" s="43" t="e">
        <f t="shared" si="48"/>
        <v>#DIV/0!</v>
      </c>
      <c r="AH232" s="38">
        <v>45383</v>
      </c>
      <c r="AI232" s="38"/>
      <c r="AJ232" s="38"/>
      <c r="AK232" s="38"/>
      <c r="AL232" s="38"/>
      <c r="AM232" s="48"/>
      <c r="AN232" s="42"/>
      <c r="AO232" s="42"/>
      <c r="AP232" s="42"/>
      <c r="AQ232" s="42"/>
      <c r="AR232" s="42"/>
      <c r="AS232" s="50"/>
      <c r="AT232" s="39"/>
      <c r="AU232" s="39"/>
      <c r="AV232" s="49"/>
      <c r="AW232" s="39"/>
      <c r="AX232" s="39">
        <v>10</v>
      </c>
      <c r="AY232" s="30">
        <f>(J232*10)/100</f>
        <v>39571804.229999997</v>
      </c>
      <c r="AZ232" s="42"/>
    </row>
    <row r="233" spans="1:52" ht="48.75" customHeight="1" x14ac:dyDescent="0.25">
      <c r="A233" s="61" t="s">
        <v>1609</v>
      </c>
      <c r="B233" s="62">
        <v>45315</v>
      </c>
      <c r="C233" s="42">
        <v>545</v>
      </c>
      <c r="D233" s="37" t="s">
        <v>1610</v>
      </c>
      <c r="E233" s="41" t="s">
        <v>1611</v>
      </c>
      <c r="F233" s="38">
        <v>45341</v>
      </c>
      <c r="G233" s="39" t="s">
        <v>1612</v>
      </c>
      <c r="H233" s="42" t="s">
        <v>88</v>
      </c>
      <c r="I233" s="42" t="s">
        <v>416</v>
      </c>
      <c r="J233" s="63">
        <v>32524846.199999999</v>
      </c>
      <c r="K233" s="43">
        <v>0</v>
      </c>
      <c r="L233" s="56">
        <v>0</v>
      </c>
      <c r="M233" s="56">
        <v>0</v>
      </c>
      <c r="N233" s="44">
        <f t="shared" si="51"/>
        <v>0</v>
      </c>
      <c r="O233" s="45">
        <f t="shared" si="44"/>
        <v>0</v>
      </c>
      <c r="P233" s="43">
        <v>32524846.199999999</v>
      </c>
      <c r="Q233" s="45">
        <f t="shared" si="45"/>
        <v>0</v>
      </c>
      <c r="R233" s="43">
        <v>32524846.199999999</v>
      </c>
      <c r="S233" s="30">
        <f t="shared" si="50"/>
        <v>32524846.199999999</v>
      </c>
      <c r="T233" s="30">
        <f t="shared" si="49"/>
        <v>32524846.199999999</v>
      </c>
      <c r="U233" s="30">
        <f>T233/X233</f>
        <v>25813.37</v>
      </c>
      <c r="V233" s="43">
        <f>T233/X233</f>
        <v>25813.37</v>
      </c>
      <c r="W233" s="43">
        <f t="shared" si="41"/>
        <v>387200.55</v>
      </c>
      <c r="X233" s="43">
        <f t="shared" si="46"/>
        <v>1260</v>
      </c>
      <c r="Y233" s="43">
        <v>1260</v>
      </c>
      <c r="Z233" s="43">
        <v>0</v>
      </c>
      <c r="AA233" s="43">
        <v>0</v>
      </c>
      <c r="AB233" s="43"/>
      <c r="AC233" s="43">
        <f t="shared" si="42"/>
        <v>0</v>
      </c>
      <c r="AD233" s="43"/>
      <c r="AE233" s="43">
        <f t="shared" si="43"/>
        <v>0</v>
      </c>
      <c r="AF233" s="43">
        <f t="shared" si="47"/>
        <v>84</v>
      </c>
      <c r="AG233" s="43">
        <f t="shared" si="48"/>
        <v>84</v>
      </c>
      <c r="AH233" s="38">
        <v>45383</v>
      </c>
      <c r="AI233" s="38"/>
      <c r="AJ233" s="38"/>
      <c r="AK233" s="38">
        <v>45413</v>
      </c>
      <c r="AL233" s="38"/>
      <c r="AM233" s="48"/>
      <c r="AN233" s="42"/>
      <c r="AO233" s="42" t="s">
        <v>342</v>
      </c>
      <c r="AP233" s="42" t="s">
        <v>342</v>
      </c>
      <c r="AQ233" s="42" t="s">
        <v>342</v>
      </c>
      <c r="AR233" s="42" t="s">
        <v>345</v>
      </c>
      <c r="AS233" s="50">
        <v>0</v>
      </c>
      <c r="AT233" s="39">
        <v>100</v>
      </c>
      <c r="AU233" s="39" t="s">
        <v>346</v>
      </c>
      <c r="AV233" s="49">
        <v>15</v>
      </c>
      <c r="AW233" s="39" t="s">
        <v>62</v>
      </c>
      <c r="AX233" s="39">
        <v>10</v>
      </c>
      <c r="AY233" s="30">
        <f>(J233*10)/100</f>
        <v>3252484.62</v>
      </c>
      <c r="AZ233" s="42" t="s">
        <v>405</v>
      </c>
    </row>
    <row r="234" spans="1:52" ht="48.75" customHeight="1" x14ac:dyDescent="0.25">
      <c r="A234" s="61" t="s">
        <v>1613</v>
      </c>
      <c r="B234" s="62">
        <v>45315</v>
      </c>
      <c r="C234" s="42">
        <v>545</v>
      </c>
      <c r="D234" s="37" t="s">
        <v>1614</v>
      </c>
      <c r="E234" s="41" t="s">
        <v>1615</v>
      </c>
      <c r="F234" s="38">
        <v>45335</v>
      </c>
      <c r="G234" s="39" t="s">
        <v>1616</v>
      </c>
      <c r="H234" s="42" t="s">
        <v>359</v>
      </c>
      <c r="I234" s="42" t="s">
        <v>1617</v>
      </c>
      <c r="J234" s="63">
        <v>80605931.120000005</v>
      </c>
      <c r="K234" s="43">
        <v>0</v>
      </c>
      <c r="L234" s="56">
        <v>0</v>
      </c>
      <c r="M234" s="56">
        <v>0</v>
      </c>
      <c r="N234" s="44">
        <f t="shared" si="51"/>
        <v>0</v>
      </c>
      <c r="O234" s="45">
        <f t="shared" si="44"/>
        <v>0</v>
      </c>
      <c r="P234" s="43">
        <v>80605931.120000005</v>
      </c>
      <c r="Q234" s="45">
        <f t="shared" si="45"/>
        <v>0</v>
      </c>
      <c r="R234" s="43">
        <v>80605931.120000005</v>
      </c>
      <c r="S234" s="30">
        <f t="shared" si="50"/>
        <v>80605931.120000005</v>
      </c>
      <c r="T234" s="30">
        <f t="shared" si="49"/>
        <v>80605931.120000005</v>
      </c>
      <c r="U234" s="30">
        <f>T234/X234</f>
        <v>333082.36000000004</v>
      </c>
      <c r="V234" s="43">
        <f>T234/X234</f>
        <v>333082.36000000004</v>
      </c>
      <c r="W234" s="43">
        <f t="shared" si="41"/>
        <v>666164.72000000009</v>
      </c>
      <c r="X234" s="43">
        <f t="shared" si="46"/>
        <v>242</v>
      </c>
      <c r="Y234" s="43">
        <v>242</v>
      </c>
      <c r="Z234" s="43">
        <v>0</v>
      </c>
      <c r="AA234" s="43">
        <v>0</v>
      </c>
      <c r="AB234" s="43">
        <v>0</v>
      </c>
      <c r="AC234" s="43">
        <f t="shared" si="42"/>
        <v>0</v>
      </c>
      <c r="AD234" s="43">
        <v>0</v>
      </c>
      <c r="AE234" s="43">
        <f t="shared" si="43"/>
        <v>0</v>
      </c>
      <c r="AF234" s="43">
        <f t="shared" si="47"/>
        <v>121</v>
      </c>
      <c r="AG234" s="43">
        <f t="shared" si="48"/>
        <v>121</v>
      </c>
      <c r="AH234" s="38">
        <v>45352</v>
      </c>
      <c r="AI234" s="38"/>
      <c r="AJ234" s="38"/>
      <c r="AK234" s="38">
        <v>45383</v>
      </c>
      <c r="AL234" s="38"/>
      <c r="AM234" s="48"/>
      <c r="AN234" s="42"/>
      <c r="AO234" s="42" t="s">
        <v>1618</v>
      </c>
      <c r="AP234" s="42" t="s">
        <v>1619</v>
      </c>
      <c r="AQ234" s="42" t="s">
        <v>1620</v>
      </c>
      <c r="AR234" s="42" t="s">
        <v>295</v>
      </c>
      <c r="AS234" s="50">
        <v>0</v>
      </c>
      <c r="AT234" s="39">
        <v>100</v>
      </c>
      <c r="AU234" s="39" t="s">
        <v>346</v>
      </c>
      <c r="AV234" s="49">
        <v>2</v>
      </c>
      <c r="AW234" s="39" t="s">
        <v>62</v>
      </c>
      <c r="AX234" s="39">
        <v>10</v>
      </c>
      <c r="AY234" s="30">
        <f>(J234*10)/100</f>
        <v>8060593.1120000007</v>
      </c>
      <c r="AZ234" s="42" t="s">
        <v>405</v>
      </c>
    </row>
    <row r="235" spans="1:52" ht="48.75" customHeight="1" x14ac:dyDescent="0.25">
      <c r="A235" s="61" t="s">
        <v>1621</v>
      </c>
      <c r="B235" s="62">
        <v>45315</v>
      </c>
      <c r="C235" s="42" t="s">
        <v>435</v>
      </c>
      <c r="D235" s="37" t="s">
        <v>1622</v>
      </c>
      <c r="E235" s="41" t="s">
        <v>1623</v>
      </c>
      <c r="F235" s="38">
        <v>45335</v>
      </c>
      <c r="G235" s="39" t="s">
        <v>1624</v>
      </c>
      <c r="H235" s="42" t="s">
        <v>54</v>
      </c>
      <c r="I235" s="42" t="s">
        <v>1625</v>
      </c>
      <c r="J235" s="63">
        <v>13141958.4</v>
      </c>
      <c r="K235" s="43">
        <v>0</v>
      </c>
      <c r="L235" s="56">
        <v>0</v>
      </c>
      <c r="M235" s="56">
        <v>0</v>
      </c>
      <c r="N235" s="44">
        <f t="shared" si="51"/>
        <v>0</v>
      </c>
      <c r="O235" s="45">
        <f t="shared" si="44"/>
        <v>0</v>
      </c>
      <c r="P235" s="43">
        <v>13141958.4</v>
      </c>
      <c r="Q235" s="45">
        <f t="shared" si="45"/>
        <v>0</v>
      </c>
      <c r="R235" s="43">
        <v>13141958.4</v>
      </c>
      <c r="S235" s="30">
        <f t="shared" si="50"/>
        <v>13141958.4</v>
      </c>
      <c r="T235" s="30">
        <f t="shared" si="49"/>
        <v>13141958.4</v>
      </c>
      <c r="U235" s="30">
        <f>T235/X235</f>
        <v>54.54</v>
      </c>
      <c r="V235" s="43">
        <f>T235/X235</f>
        <v>54.54</v>
      </c>
      <c r="W235" s="43">
        <f t="shared" si="41"/>
        <v>3272.4</v>
      </c>
      <c r="X235" s="43">
        <f t="shared" si="46"/>
        <v>240960</v>
      </c>
      <c r="Y235" s="43">
        <v>178920</v>
      </c>
      <c r="Z235" s="43">
        <v>62040</v>
      </c>
      <c r="AA235" s="43">
        <v>0</v>
      </c>
      <c r="AB235" s="43">
        <v>0</v>
      </c>
      <c r="AC235" s="43">
        <f t="shared" si="42"/>
        <v>0</v>
      </c>
      <c r="AD235" s="43">
        <v>0</v>
      </c>
      <c r="AE235" s="43">
        <f t="shared" si="43"/>
        <v>0</v>
      </c>
      <c r="AF235" s="43">
        <f t="shared" si="47"/>
        <v>4016</v>
      </c>
      <c r="AG235" s="43">
        <f t="shared" si="48"/>
        <v>4016</v>
      </c>
      <c r="AH235" s="38">
        <v>45444</v>
      </c>
      <c r="AI235" s="38">
        <v>45505</v>
      </c>
      <c r="AJ235" s="38"/>
      <c r="AK235" s="38">
        <v>45474</v>
      </c>
      <c r="AL235" s="38">
        <v>45536</v>
      </c>
      <c r="AM235" s="48"/>
      <c r="AN235" s="42"/>
      <c r="AO235" s="42" t="s">
        <v>1626</v>
      </c>
      <c r="AP235" s="42" t="s">
        <v>1627</v>
      </c>
      <c r="AQ235" s="42" t="s">
        <v>1628</v>
      </c>
      <c r="AR235" s="42" t="s">
        <v>94</v>
      </c>
      <c r="AS235" s="50">
        <v>0</v>
      </c>
      <c r="AT235" s="39">
        <v>100</v>
      </c>
      <c r="AU235" s="39" t="s">
        <v>389</v>
      </c>
      <c r="AV235" s="49">
        <v>60</v>
      </c>
      <c r="AW235" s="39" t="s">
        <v>62</v>
      </c>
      <c r="AX235" s="39">
        <v>10</v>
      </c>
      <c r="AY235" s="30">
        <f>(J235*10)/100</f>
        <v>1314195.8400000001</v>
      </c>
      <c r="AZ235" s="42" t="s">
        <v>405</v>
      </c>
    </row>
    <row r="236" spans="1:52" ht="48.75" customHeight="1" x14ac:dyDescent="0.25">
      <c r="A236" s="61" t="s">
        <v>1629</v>
      </c>
      <c r="B236" s="62">
        <v>45315</v>
      </c>
      <c r="C236" s="42" t="s">
        <v>435</v>
      </c>
      <c r="D236" s="37"/>
      <c r="E236" s="41" t="s">
        <v>1630</v>
      </c>
      <c r="F236" s="38"/>
      <c r="G236" s="39"/>
      <c r="H236" s="42"/>
      <c r="I236" s="42" t="s">
        <v>1631</v>
      </c>
      <c r="J236" s="63">
        <v>1645354403.7</v>
      </c>
      <c r="K236" s="43">
        <v>0</v>
      </c>
      <c r="L236" s="56">
        <v>0</v>
      </c>
      <c r="M236" s="56">
        <v>0</v>
      </c>
      <c r="N236" s="44">
        <f t="shared" si="51"/>
        <v>100</v>
      </c>
      <c r="O236" s="45">
        <f t="shared" si="44"/>
        <v>1645354403.7</v>
      </c>
      <c r="P236" s="43"/>
      <c r="Q236" s="45">
        <f t="shared" si="45"/>
        <v>1645354403.7</v>
      </c>
      <c r="R236" s="43">
        <v>0</v>
      </c>
      <c r="S236" s="30">
        <f t="shared" si="50"/>
        <v>0</v>
      </c>
      <c r="T236" s="30">
        <f t="shared" si="49"/>
        <v>0</v>
      </c>
      <c r="U236" s="30" t="e">
        <f>T236/X236</f>
        <v>#DIV/0!</v>
      </c>
      <c r="V236" s="43" t="e">
        <f>T236/X236</f>
        <v>#DIV/0!</v>
      </c>
      <c r="W236" s="43" t="e">
        <f t="shared" si="41"/>
        <v>#DIV/0!</v>
      </c>
      <c r="X236" s="43">
        <f t="shared" si="46"/>
        <v>0</v>
      </c>
      <c r="Y236" s="43">
        <v>0</v>
      </c>
      <c r="Z236" s="43">
        <v>0</v>
      </c>
      <c r="AA236" s="43">
        <v>0</v>
      </c>
      <c r="AB236" s="43"/>
      <c r="AC236" s="43" t="e">
        <f t="shared" si="42"/>
        <v>#DIV/0!</v>
      </c>
      <c r="AD236" s="43"/>
      <c r="AE236" s="43" t="e">
        <f t="shared" si="43"/>
        <v>#DIV/0!</v>
      </c>
      <c r="AF236" s="43" t="e">
        <f t="shared" si="47"/>
        <v>#DIV/0!</v>
      </c>
      <c r="AG236" s="43" t="e">
        <f t="shared" si="48"/>
        <v>#DIV/0!</v>
      </c>
      <c r="AH236" s="38">
        <v>45352</v>
      </c>
      <c r="AI236" s="38">
        <v>45474</v>
      </c>
      <c r="AJ236" s="38"/>
      <c r="AK236" s="38"/>
      <c r="AL236" s="38"/>
      <c r="AM236" s="48"/>
      <c r="AN236" s="42"/>
      <c r="AO236" s="42"/>
      <c r="AP236" s="42"/>
      <c r="AQ236" s="42"/>
      <c r="AR236" s="42"/>
      <c r="AS236" s="50"/>
      <c r="AT236" s="39"/>
      <c r="AU236" s="39"/>
      <c r="AV236" s="49"/>
      <c r="AW236" s="39"/>
      <c r="AX236" s="39">
        <v>10</v>
      </c>
      <c r="AY236" s="30">
        <f>(J236*10)/100</f>
        <v>164535440.37</v>
      </c>
      <c r="AZ236" s="42"/>
    </row>
    <row r="237" spans="1:52" ht="48.75" customHeight="1" x14ac:dyDescent="0.25">
      <c r="A237" s="61" t="s">
        <v>1632</v>
      </c>
      <c r="B237" s="62">
        <v>45315</v>
      </c>
      <c r="C237" s="42" t="s">
        <v>435</v>
      </c>
      <c r="D237" s="37" t="s">
        <v>434</v>
      </c>
      <c r="E237" s="41" t="s">
        <v>1633</v>
      </c>
      <c r="F237" s="38" t="s">
        <v>434</v>
      </c>
      <c r="G237" s="39" t="s">
        <v>434</v>
      </c>
      <c r="H237" s="42" t="s">
        <v>434</v>
      </c>
      <c r="I237" s="42" t="s">
        <v>1634</v>
      </c>
      <c r="J237" s="63">
        <v>25002721.199999999</v>
      </c>
      <c r="K237" s="43">
        <v>0</v>
      </c>
      <c r="L237" s="56">
        <v>0</v>
      </c>
      <c r="M237" s="56">
        <v>0</v>
      </c>
      <c r="N237" s="44">
        <f t="shared" si="51"/>
        <v>100</v>
      </c>
      <c r="O237" s="45">
        <f t="shared" si="44"/>
        <v>25002721.199999999</v>
      </c>
      <c r="P237" s="43"/>
      <c r="Q237" s="45">
        <f t="shared" si="45"/>
        <v>25002721.199999999</v>
      </c>
      <c r="R237" s="43">
        <v>0</v>
      </c>
      <c r="S237" s="30">
        <f t="shared" si="50"/>
        <v>0</v>
      </c>
      <c r="T237" s="30">
        <f t="shared" si="49"/>
        <v>0</v>
      </c>
      <c r="U237" s="30" t="e">
        <f>T237/X237</f>
        <v>#DIV/0!</v>
      </c>
      <c r="V237" s="43" t="e">
        <f>T237/X237</f>
        <v>#DIV/0!</v>
      </c>
      <c r="W237" s="43" t="e">
        <f t="shared" si="41"/>
        <v>#DIV/0!</v>
      </c>
      <c r="X237" s="43">
        <f t="shared" si="46"/>
        <v>0</v>
      </c>
      <c r="Y237" s="43">
        <v>0</v>
      </c>
      <c r="Z237" s="43">
        <v>0</v>
      </c>
      <c r="AA237" s="43">
        <v>0</v>
      </c>
      <c r="AB237" s="43"/>
      <c r="AC237" s="43" t="e">
        <f t="shared" si="42"/>
        <v>#DIV/0!</v>
      </c>
      <c r="AD237" s="43"/>
      <c r="AE237" s="43" t="e">
        <f t="shared" si="43"/>
        <v>#DIV/0!</v>
      </c>
      <c r="AF237" s="43" t="e">
        <f t="shared" si="47"/>
        <v>#DIV/0!</v>
      </c>
      <c r="AG237" s="43" t="e">
        <f t="shared" si="48"/>
        <v>#DIV/0!</v>
      </c>
      <c r="AH237" s="38">
        <v>45383</v>
      </c>
      <c r="AI237" s="38"/>
      <c r="AJ237" s="38"/>
      <c r="AK237" s="38"/>
      <c r="AL237" s="38"/>
      <c r="AM237" s="48"/>
      <c r="AN237" s="42"/>
      <c r="AO237" s="42"/>
      <c r="AP237" s="42"/>
      <c r="AQ237" s="42"/>
      <c r="AR237" s="42"/>
      <c r="AS237" s="50"/>
      <c r="AT237" s="39"/>
      <c r="AU237" s="39"/>
      <c r="AV237" s="49"/>
      <c r="AW237" s="39"/>
      <c r="AX237" s="39">
        <v>10</v>
      </c>
      <c r="AY237" s="30">
        <f>(J237*10)/100</f>
        <v>2500272.12</v>
      </c>
      <c r="AZ237" s="42" t="s">
        <v>434</v>
      </c>
    </row>
    <row r="238" spans="1:52" ht="48.75" customHeight="1" x14ac:dyDescent="0.25">
      <c r="A238" s="61" t="s">
        <v>1635</v>
      </c>
      <c r="B238" s="62">
        <v>45315</v>
      </c>
      <c r="C238" s="42" t="s">
        <v>435</v>
      </c>
      <c r="D238" s="37" t="s">
        <v>1636</v>
      </c>
      <c r="E238" s="41" t="s">
        <v>1637</v>
      </c>
      <c r="F238" s="38">
        <v>45335</v>
      </c>
      <c r="G238" s="39" t="s">
        <v>1638</v>
      </c>
      <c r="H238" s="59" t="s">
        <v>1639</v>
      </c>
      <c r="I238" s="42" t="s">
        <v>1640</v>
      </c>
      <c r="J238" s="63">
        <v>12275383.800000001</v>
      </c>
      <c r="K238" s="43">
        <v>0</v>
      </c>
      <c r="L238" s="56">
        <v>0</v>
      </c>
      <c r="M238" s="56">
        <v>0</v>
      </c>
      <c r="N238" s="44">
        <f t="shared" si="51"/>
        <v>2.5715204114432657</v>
      </c>
      <c r="O238" s="45">
        <f t="shared" si="44"/>
        <v>315664</v>
      </c>
      <c r="P238" s="43">
        <v>11959719.800000001</v>
      </c>
      <c r="Q238" s="45">
        <f t="shared" si="45"/>
        <v>315664</v>
      </c>
      <c r="R238" s="43">
        <v>11959719.800000001</v>
      </c>
      <c r="S238" s="30">
        <f t="shared" si="50"/>
        <v>11959719.800000001</v>
      </c>
      <c r="T238" s="30">
        <f t="shared" si="49"/>
        <v>11959719.800000001</v>
      </c>
      <c r="U238" s="30">
        <f>T238/X238</f>
        <v>30.310000000000002</v>
      </c>
      <c r="V238" s="43">
        <f>T238/X238</f>
        <v>30.310000000000002</v>
      </c>
      <c r="W238" s="43">
        <f t="shared" si="41"/>
        <v>606.20000000000005</v>
      </c>
      <c r="X238" s="43">
        <f t="shared" si="46"/>
        <v>394580</v>
      </c>
      <c r="Y238" s="43">
        <v>394580</v>
      </c>
      <c r="Z238" s="43">
        <v>0</v>
      </c>
      <c r="AA238" s="43">
        <v>0</v>
      </c>
      <c r="AB238" s="43">
        <v>0</v>
      </c>
      <c r="AC238" s="43">
        <f t="shared" si="42"/>
        <v>0</v>
      </c>
      <c r="AD238" s="43">
        <v>0</v>
      </c>
      <c r="AE238" s="43">
        <f t="shared" si="43"/>
        <v>0</v>
      </c>
      <c r="AF238" s="43">
        <f t="shared" si="47"/>
        <v>19729</v>
      </c>
      <c r="AG238" s="43">
        <f t="shared" si="48"/>
        <v>19729</v>
      </c>
      <c r="AH238" s="38">
        <v>45383</v>
      </c>
      <c r="AI238" s="38"/>
      <c r="AJ238" s="38"/>
      <c r="AK238" s="38">
        <v>45413</v>
      </c>
      <c r="AL238" s="38"/>
      <c r="AM238" s="48"/>
      <c r="AN238" s="42"/>
      <c r="AO238" s="42" t="s">
        <v>1641</v>
      </c>
      <c r="AP238" s="42" t="s">
        <v>1642</v>
      </c>
      <c r="AQ238" s="42" t="s">
        <v>1643</v>
      </c>
      <c r="AR238" s="42" t="s">
        <v>82</v>
      </c>
      <c r="AS238" s="50">
        <v>100</v>
      </c>
      <c r="AT238" s="39">
        <v>0</v>
      </c>
      <c r="AU238" s="39" t="s">
        <v>389</v>
      </c>
      <c r="AV238" s="49">
        <v>20</v>
      </c>
      <c r="AW238" s="39" t="s">
        <v>62</v>
      </c>
      <c r="AX238" s="39">
        <v>10</v>
      </c>
      <c r="AY238" s="30">
        <f>(J238*10)/100</f>
        <v>1227538.3799999999</v>
      </c>
      <c r="AZ238" s="42" t="s">
        <v>405</v>
      </c>
    </row>
    <row r="239" spans="1:52" ht="48.75" customHeight="1" x14ac:dyDescent="0.25">
      <c r="A239" s="61" t="s">
        <v>1644</v>
      </c>
      <c r="B239" s="62">
        <v>45315</v>
      </c>
      <c r="C239" s="42" t="s">
        <v>435</v>
      </c>
      <c r="D239" s="37" t="s">
        <v>1645</v>
      </c>
      <c r="E239" s="41" t="s">
        <v>1646</v>
      </c>
      <c r="F239" s="38">
        <v>45335</v>
      </c>
      <c r="G239" s="39" t="s">
        <v>1647</v>
      </c>
      <c r="H239" s="42" t="s">
        <v>226</v>
      </c>
      <c r="I239" s="42" t="s">
        <v>1648</v>
      </c>
      <c r="J239" s="63">
        <v>901309.5</v>
      </c>
      <c r="K239" s="43">
        <v>0</v>
      </c>
      <c r="L239" s="56">
        <v>0</v>
      </c>
      <c r="M239" s="56">
        <v>0</v>
      </c>
      <c r="N239" s="44">
        <f t="shared" si="51"/>
        <v>0</v>
      </c>
      <c r="O239" s="45">
        <f t="shared" si="44"/>
        <v>0</v>
      </c>
      <c r="P239" s="43">
        <v>901309.5</v>
      </c>
      <c r="Q239" s="45">
        <f t="shared" si="45"/>
        <v>0</v>
      </c>
      <c r="R239" s="43">
        <v>901309.5</v>
      </c>
      <c r="S239" s="30">
        <f t="shared" si="50"/>
        <v>901309.5</v>
      </c>
      <c r="T239" s="30">
        <f t="shared" si="49"/>
        <v>901309.5</v>
      </c>
      <c r="U239" s="30">
        <f>T239/X239</f>
        <v>4.97</v>
      </c>
      <c r="V239" s="43">
        <f>T239/X239</f>
        <v>4.97</v>
      </c>
      <c r="W239" s="43">
        <f t="shared" si="41"/>
        <v>298.2</v>
      </c>
      <c r="X239" s="43">
        <f t="shared" si="46"/>
        <v>181350</v>
      </c>
      <c r="Y239" s="43">
        <v>181350</v>
      </c>
      <c r="Z239" s="43">
        <v>0</v>
      </c>
      <c r="AA239" s="43">
        <v>0</v>
      </c>
      <c r="AB239" s="43">
        <v>0</v>
      </c>
      <c r="AC239" s="43">
        <f t="shared" si="42"/>
        <v>0</v>
      </c>
      <c r="AD239" s="43">
        <v>0</v>
      </c>
      <c r="AE239" s="43">
        <f t="shared" si="43"/>
        <v>0</v>
      </c>
      <c r="AF239" s="43">
        <f t="shared" si="47"/>
        <v>3022.5</v>
      </c>
      <c r="AG239" s="43">
        <f t="shared" si="48"/>
        <v>3023</v>
      </c>
      <c r="AH239" s="38">
        <v>45383</v>
      </c>
      <c r="AI239" s="38"/>
      <c r="AJ239" s="38"/>
      <c r="AK239" s="38">
        <v>45413</v>
      </c>
      <c r="AL239" s="38"/>
      <c r="AM239" s="48"/>
      <c r="AN239" s="42"/>
      <c r="AO239" s="42" t="s">
        <v>1649</v>
      </c>
      <c r="AP239" s="42" t="s">
        <v>1650</v>
      </c>
      <c r="AQ239" s="42" t="s">
        <v>1651</v>
      </c>
      <c r="AR239" s="42" t="s">
        <v>82</v>
      </c>
      <c r="AS239" s="50">
        <v>100</v>
      </c>
      <c r="AT239" s="39">
        <v>0</v>
      </c>
      <c r="AU239" s="39" t="s">
        <v>389</v>
      </c>
      <c r="AV239" s="49">
        <v>60</v>
      </c>
      <c r="AW239" s="39" t="s">
        <v>221</v>
      </c>
      <c r="AX239" s="39">
        <v>10</v>
      </c>
      <c r="AY239" s="30">
        <f>(J239*10)/100</f>
        <v>90130.95</v>
      </c>
      <c r="AZ239" s="42" t="s">
        <v>405</v>
      </c>
    </row>
    <row r="240" spans="1:52" ht="48.75" customHeight="1" x14ac:dyDescent="0.25">
      <c r="A240" s="61" t="s">
        <v>1652</v>
      </c>
      <c r="B240" s="62">
        <v>45315</v>
      </c>
      <c r="C240" s="42" t="s">
        <v>435</v>
      </c>
      <c r="D240" s="37"/>
      <c r="E240" s="41" t="s">
        <v>1653</v>
      </c>
      <c r="F240" s="38">
        <v>45343</v>
      </c>
      <c r="G240" s="39" t="s">
        <v>1654</v>
      </c>
      <c r="H240" s="42" t="s">
        <v>1655</v>
      </c>
      <c r="I240" s="42" t="s">
        <v>1656</v>
      </c>
      <c r="J240" s="63">
        <v>62961254.399999999</v>
      </c>
      <c r="K240" s="43">
        <v>0</v>
      </c>
      <c r="L240" s="56">
        <v>0</v>
      </c>
      <c r="M240" s="56">
        <v>0</v>
      </c>
      <c r="N240" s="44">
        <f t="shared" si="51"/>
        <v>1.1718749999999929</v>
      </c>
      <c r="O240" s="45">
        <f t="shared" si="44"/>
        <v>737827.19999999553</v>
      </c>
      <c r="P240" s="43">
        <v>62223427.200000003</v>
      </c>
      <c r="Q240" s="45">
        <f t="shared" si="45"/>
        <v>737827.19999999553</v>
      </c>
      <c r="R240" s="43">
        <v>62223427.200000003</v>
      </c>
      <c r="S240" s="30">
        <f t="shared" si="50"/>
        <v>62223427.200000003</v>
      </c>
      <c r="T240" s="30">
        <f t="shared" si="49"/>
        <v>62223427.200000003</v>
      </c>
      <c r="U240" s="30">
        <f>T240/X240</f>
        <v>27.830000000000002</v>
      </c>
      <c r="V240" s="43">
        <f>T240/X240</f>
        <v>27.830000000000002</v>
      </c>
      <c r="W240" s="43">
        <f t="shared" si="41"/>
        <v>556.6</v>
      </c>
      <c r="X240" s="43">
        <f t="shared" si="46"/>
        <v>2235840</v>
      </c>
      <c r="Y240" s="43">
        <v>846360</v>
      </c>
      <c r="Z240" s="43">
        <v>1389480</v>
      </c>
      <c r="AA240" s="43">
        <v>0</v>
      </c>
      <c r="AB240" s="43">
        <v>0</v>
      </c>
      <c r="AC240" s="43">
        <f t="shared" si="42"/>
        <v>0</v>
      </c>
      <c r="AD240" s="43">
        <v>0</v>
      </c>
      <c r="AE240" s="43">
        <f t="shared" si="43"/>
        <v>0</v>
      </c>
      <c r="AF240" s="43">
        <f t="shared" si="47"/>
        <v>111792</v>
      </c>
      <c r="AG240" s="43">
        <f t="shared" si="48"/>
        <v>111792</v>
      </c>
      <c r="AH240" s="38">
        <v>45383</v>
      </c>
      <c r="AI240" s="38">
        <v>45444</v>
      </c>
      <c r="AJ240" s="38"/>
      <c r="AK240" s="38">
        <v>45413</v>
      </c>
      <c r="AL240" s="38">
        <v>45474</v>
      </c>
      <c r="AM240" s="48"/>
      <c r="AN240" s="42"/>
      <c r="AO240" s="42" t="s">
        <v>1657</v>
      </c>
      <c r="AP240" s="42" t="s">
        <v>1658</v>
      </c>
      <c r="AQ240" s="42" t="s">
        <v>1659</v>
      </c>
      <c r="AR240" s="42" t="s">
        <v>82</v>
      </c>
      <c r="AS240" s="50">
        <v>100</v>
      </c>
      <c r="AT240" s="39">
        <v>0</v>
      </c>
      <c r="AU240" s="39" t="s">
        <v>389</v>
      </c>
      <c r="AV240" s="49">
        <v>20</v>
      </c>
      <c r="AW240" s="39" t="s">
        <v>62</v>
      </c>
      <c r="AX240" s="39">
        <v>10</v>
      </c>
      <c r="AY240" s="30">
        <f>(J240*10)/100</f>
        <v>6296125.4400000004</v>
      </c>
      <c r="AZ240" s="42" t="s">
        <v>405</v>
      </c>
    </row>
    <row r="241" spans="1:52" ht="48.75" customHeight="1" x14ac:dyDescent="0.25">
      <c r="A241" s="61" t="s">
        <v>1660</v>
      </c>
      <c r="B241" s="62">
        <v>45315</v>
      </c>
      <c r="C241" s="42" t="s">
        <v>435</v>
      </c>
      <c r="D241" s="39" t="s">
        <v>434</v>
      </c>
      <c r="E241" s="41" t="s">
        <v>1661</v>
      </c>
      <c r="F241" s="39" t="s">
        <v>434</v>
      </c>
      <c r="G241" s="39" t="s">
        <v>434</v>
      </c>
      <c r="H241" s="39" t="s">
        <v>434</v>
      </c>
      <c r="I241" s="42" t="s">
        <v>1662</v>
      </c>
      <c r="J241" s="63">
        <v>21929927.280000001</v>
      </c>
      <c r="K241" s="43">
        <v>0</v>
      </c>
      <c r="L241" s="56">
        <v>0</v>
      </c>
      <c r="M241" s="56">
        <v>0</v>
      </c>
      <c r="N241" s="44">
        <f t="shared" si="51"/>
        <v>100</v>
      </c>
      <c r="O241" s="45">
        <f t="shared" si="44"/>
        <v>21929927.280000001</v>
      </c>
      <c r="P241" s="43"/>
      <c r="Q241" s="45">
        <f t="shared" si="45"/>
        <v>21929927.280000001</v>
      </c>
      <c r="R241" s="43">
        <v>0</v>
      </c>
      <c r="S241" s="30">
        <f t="shared" si="50"/>
        <v>0</v>
      </c>
      <c r="T241" s="30">
        <f t="shared" si="49"/>
        <v>0</v>
      </c>
      <c r="U241" s="30" t="e">
        <f>T241/X241</f>
        <v>#DIV/0!</v>
      </c>
      <c r="V241" s="43" t="e">
        <f>T241/X241</f>
        <v>#DIV/0!</v>
      </c>
      <c r="W241" s="43" t="e">
        <f t="shared" si="41"/>
        <v>#DIV/0!</v>
      </c>
      <c r="X241" s="43">
        <f t="shared" si="46"/>
        <v>0</v>
      </c>
      <c r="Y241" s="43">
        <v>0</v>
      </c>
      <c r="Z241" s="43">
        <v>0</v>
      </c>
      <c r="AA241" s="43">
        <v>0</v>
      </c>
      <c r="AB241" s="43"/>
      <c r="AC241" s="43" t="e">
        <f t="shared" si="42"/>
        <v>#DIV/0!</v>
      </c>
      <c r="AD241" s="43"/>
      <c r="AE241" s="43" t="e">
        <f t="shared" si="43"/>
        <v>#DIV/0!</v>
      </c>
      <c r="AF241" s="43" t="e">
        <f t="shared" si="47"/>
        <v>#DIV/0!</v>
      </c>
      <c r="AG241" s="43" t="e">
        <f t="shared" si="48"/>
        <v>#DIV/0!</v>
      </c>
      <c r="AH241" s="38">
        <v>45382</v>
      </c>
      <c r="AI241" s="38"/>
      <c r="AJ241" s="38"/>
      <c r="AK241" s="38"/>
      <c r="AL241" s="38"/>
      <c r="AM241" s="48"/>
      <c r="AN241" s="42"/>
      <c r="AO241" s="42"/>
      <c r="AP241" s="42"/>
      <c r="AQ241" s="42"/>
      <c r="AR241" s="42"/>
      <c r="AS241" s="50"/>
      <c r="AT241" s="39"/>
      <c r="AU241" s="39"/>
      <c r="AV241" s="49"/>
      <c r="AW241" s="39"/>
      <c r="AX241" s="39">
        <v>10</v>
      </c>
      <c r="AY241" s="30">
        <f>(J241*10)/100</f>
        <v>2192992.7280000001</v>
      </c>
      <c r="AZ241" s="42" t="s">
        <v>434</v>
      </c>
    </row>
    <row r="242" spans="1:52" ht="48.75" customHeight="1" x14ac:dyDescent="0.25">
      <c r="A242" s="61" t="s">
        <v>1663</v>
      </c>
      <c r="B242" s="62">
        <v>45315</v>
      </c>
      <c r="C242" s="42" t="s">
        <v>435</v>
      </c>
      <c r="D242" s="39" t="s">
        <v>434</v>
      </c>
      <c r="E242" s="41" t="s">
        <v>1664</v>
      </c>
      <c r="F242" s="39" t="s">
        <v>434</v>
      </c>
      <c r="G242" s="39" t="s">
        <v>434</v>
      </c>
      <c r="H242" s="39" t="s">
        <v>434</v>
      </c>
      <c r="I242" s="42" t="s">
        <v>1665</v>
      </c>
      <c r="J242" s="63">
        <v>187929721.19999999</v>
      </c>
      <c r="K242" s="43">
        <v>0</v>
      </c>
      <c r="L242" s="56">
        <v>0</v>
      </c>
      <c r="M242" s="56">
        <v>0</v>
      </c>
      <c r="N242" s="44">
        <f t="shared" si="51"/>
        <v>100</v>
      </c>
      <c r="O242" s="45">
        <f t="shared" si="44"/>
        <v>187929721.19999999</v>
      </c>
      <c r="P242" s="43"/>
      <c r="Q242" s="45">
        <f t="shared" si="45"/>
        <v>187929721.19999999</v>
      </c>
      <c r="R242" s="43">
        <v>0</v>
      </c>
      <c r="S242" s="30">
        <f t="shared" si="50"/>
        <v>0</v>
      </c>
      <c r="T242" s="30">
        <f t="shared" si="49"/>
        <v>0</v>
      </c>
      <c r="U242" s="30" t="e">
        <f>T242/X242</f>
        <v>#DIV/0!</v>
      </c>
      <c r="V242" s="43" t="e">
        <f>T242/X242</f>
        <v>#DIV/0!</v>
      </c>
      <c r="W242" s="43" t="e">
        <f t="shared" si="41"/>
        <v>#DIV/0!</v>
      </c>
      <c r="X242" s="43">
        <f t="shared" si="46"/>
        <v>0</v>
      </c>
      <c r="Y242" s="43">
        <v>0</v>
      </c>
      <c r="Z242" s="43">
        <v>0</v>
      </c>
      <c r="AA242" s="43">
        <v>0</v>
      </c>
      <c r="AB242" s="43"/>
      <c r="AC242" s="43" t="e">
        <f t="shared" si="42"/>
        <v>#DIV/0!</v>
      </c>
      <c r="AD242" s="43"/>
      <c r="AE242" s="43" t="e">
        <f t="shared" si="43"/>
        <v>#DIV/0!</v>
      </c>
      <c r="AF242" s="43" t="e">
        <f t="shared" si="47"/>
        <v>#DIV/0!</v>
      </c>
      <c r="AG242" s="43" t="e">
        <f t="shared" si="48"/>
        <v>#DIV/0!</v>
      </c>
      <c r="AH242" s="38">
        <v>45382</v>
      </c>
      <c r="AI242" s="38"/>
      <c r="AJ242" s="38"/>
      <c r="AK242" s="38"/>
      <c r="AL242" s="38"/>
      <c r="AM242" s="48"/>
      <c r="AN242" s="42"/>
      <c r="AO242" s="42"/>
      <c r="AP242" s="42"/>
      <c r="AQ242" s="42"/>
      <c r="AR242" s="42"/>
      <c r="AS242" s="50"/>
      <c r="AT242" s="39"/>
      <c r="AU242" s="39"/>
      <c r="AV242" s="49"/>
      <c r="AW242" s="39"/>
      <c r="AX242" s="39">
        <v>10</v>
      </c>
      <c r="AY242" s="30">
        <f>(J242*10)/100</f>
        <v>18792972.120000001</v>
      </c>
      <c r="AZ242" s="42" t="s">
        <v>434</v>
      </c>
    </row>
    <row r="243" spans="1:52" ht="48.75" customHeight="1" x14ac:dyDescent="0.25">
      <c r="A243" s="61" t="s">
        <v>1666</v>
      </c>
      <c r="B243" s="62">
        <v>45315</v>
      </c>
      <c r="C243" s="42" t="s">
        <v>435</v>
      </c>
      <c r="D243" s="39" t="s">
        <v>434</v>
      </c>
      <c r="E243" s="41" t="s">
        <v>1667</v>
      </c>
      <c r="F243" s="39" t="s">
        <v>434</v>
      </c>
      <c r="G243" s="39" t="s">
        <v>434</v>
      </c>
      <c r="H243" s="39" t="s">
        <v>434</v>
      </c>
      <c r="I243" s="42" t="s">
        <v>1668</v>
      </c>
      <c r="J243" s="63">
        <v>35170380</v>
      </c>
      <c r="K243" s="43">
        <v>0</v>
      </c>
      <c r="L243" s="56">
        <v>0</v>
      </c>
      <c r="M243" s="56">
        <v>0</v>
      </c>
      <c r="N243" s="44">
        <f t="shared" si="51"/>
        <v>100</v>
      </c>
      <c r="O243" s="45">
        <f t="shared" si="44"/>
        <v>35170380</v>
      </c>
      <c r="P243" s="43"/>
      <c r="Q243" s="45">
        <f t="shared" si="45"/>
        <v>35170380</v>
      </c>
      <c r="R243" s="43">
        <v>0</v>
      </c>
      <c r="S243" s="30">
        <f t="shared" si="50"/>
        <v>0</v>
      </c>
      <c r="T243" s="30">
        <f t="shared" si="49"/>
        <v>0</v>
      </c>
      <c r="U243" s="30" t="e">
        <f>T243/X243</f>
        <v>#DIV/0!</v>
      </c>
      <c r="V243" s="43" t="e">
        <f>T243/X243</f>
        <v>#DIV/0!</v>
      </c>
      <c r="W243" s="43" t="e">
        <f t="shared" si="41"/>
        <v>#DIV/0!</v>
      </c>
      <c r="X243" s="43">
        <f t="shared" si="46"/>
        <v>0</v>
      </c>
      <c r="Y243" s="43">
        <v>0</v>
      </c>
      <c r="Z243" s="43">
        <v>0</v>
      </c>
      <c r="AA243" s="43">
        <v>0</v>
      </c>
      <c r="AB243" s="43"/>
      <c r="AC243" s="43" t="e">
        <f t="shared" si="42"/>
        <v>#DIV/0!</v>
      </c>
      <c r="AD243" s="43"/>
      <c r="AE243" s="43" t="e">
        <f t="shared" si="43"/>
        <v>#DIV/0!</v>
      </c>
      <c r="AF243" s="43" t="e">
        <f t="shared" si="47"/>
        <v>#DIV/0!</v>
      </c>
      <c r="AG243" s="43" t="e">
        <f t="shared" si="48"/>
        <v>#DIV/0!</v>
      </c>
      <c r="AH243" s="38">
        <v>45383</v>
      </c>
      <c r="AI243" s="38"/>
      <c r="AJ243" s="38"/>
      <c r="AK243" s="38"/>
      <c r="AL243" s="38"/>
      <c r="AM243" s="48"/>
      <c r="AN243" s="42"/>
      <c r="AO243" s="42"/>
      <c r="AP243" s="42"/>
      <c r="AQ243" s="42"/>
      <c r="AR243" s="42"/>
      <c r="AS243" s="50"/>
      <c r="AT243" s="39"/>
      <c r="AU243" s="39"/>
      <c r="AV243" s="49"/>
      <c r="AW243" s="39"/>
      <c r="AX243" s="39">
        <v>10</v>
      </c>
      <c r="AY243" s="30">
        <f>(J243*10)/100</f>
        <v>3517038</v>
      </c>
      <c r="AZ243" s="42" t="s">
        <v>434</v>
      </c>
    </row>
    <row r="244" spans="1:52" ht="48.75" customHeight="1" x14ac:dyDescent="0.25">
      <c r="A244" s="61" t="s">
        <v>1669</v>
      </c>
      <c r="B244" s="62">
        <v>45315</v>
      </c>
      <c r="C244" s="42" t="s">
        <v>435</v>
      </c>
      <c r="D244" s="39" t="s">
        <v>434</v>
      </c>
      <c r="E244" s="41" t="s">
        <v>1670</v>
      </c>
      <c r="F244" s="39" t="s">
        <v>434</v>
      </c>
      <c r="G244" s="39" t="s">
        <v>434</v>
      </c>
      <c r="H244" s="39" t="s">
        <v>434</v>
      </c>
      <c r="I244" s="42" t="s">
        <v>1671</v>
      </c>
      <c r="J244" s="63">
        <v>1138737.6000000001</v>
      </c>
      <c r="K244" s="43">
        <v>0</v>
      </c>
      <c r="L244" s="56">
        <v>0</v>
      </c>
      <c r="M244" s="56">
        <v>0</v>
      </c>
      <c r="N244" s="44">
        <f t="shared" si="51"/>
        <v>100</v>
      </c>
      <c r="O244" s="45">
        <f t="shared" si="44"/>
        <v>1138737.6000000001</v>
      </c>
      <c r="P244" s="43"/>
      <c r="Q244" s="45">
        <f t="shared" si="45"/>
        <v>1138737.6000000001</v>
      </c>
      <c r="R244" s="43">
        <v>0</v>
      </c>
      <c r="S244" s="30">
        <f t="shared" si="50"/>
        <v>0</v>
      </c>
      <c r="T244" s="30">
        <f t="shared" si="49"/>
        <v>0</v>
      </c>
      <c r="U244" s="30" t="e">
        <f>T244/X244</f>
        <v>#DIV/0!</v>
      </c>
      <c r="V244" s="43" t="e">
        <f>T244/X244</f>
        <v>#DIV/0!</v>
      </c>
      <c r="W244" s="43" t="e">
        <f t="shared" si="41"/>
        <v>#DIV/0!</v>
      </c>
      <c r="X244" s="43">
        <f t="shared" si="46"/>
        <v>0</v>
      </c>
      <c r="Y244" s="43">
        <v>0</v>
      </c>
      <c r="Z244" s="43">
        <v>0</v>
      </c>
      <c r="AA244" s="43">
        <v>0</v>
      </c>
      <c r="AB244" s="43"/>
      <c r="AC244" s="43" t="e">
        <f t="shared" si="42"/>
        <v>#DIV/0!</v>
      </c>
      <c r="AD244" s="43"/>
      <c r="AE244" s="43" t="e">
        <f t="shared" si="43"/>
        <v>#DIV/0!</v>
      </c>
      <c r="AF244" s="43" t="e">
        <f t="shared" si="47"/>
        <v>#DIV/0!</v>
      </c>
      <c r="AG244" s="43" t="e">
        <f t="shared" si="48"/>
        <v>#DIV/0!</v>
      </c>
      <c r="AH244" s="38">
        <v>45383</v>
      </c>
      <c r="AI244" s="38"/>
      <c r="AJ244" s="38"/>
      <c r="AK244" s="38"/>
      <c r="AL244" s="38"/>
      <c r="AM244" s="48"/>
      <c r="AN244" s="42"/>
      <c r="AO244" s="42"/>
      <c r="AP244" s="42"/>
      <c r="AQ244" s="42"/>
      <c r="AR244" s="42"/>
      <c r="AS244" s="50"/>
      <c r="AT244" s="39"/>
      <c r="AU244" s="39"/>
      <c r="AV244" s="49"/>
      <c r="AW244" s="39"/>
      <c r="AX244" s="39">
        <v>10</v>
      </c>
      <c r="AY244" s="30">
        <f>(J244*10)/100</f>
        <v>113873.76</v>
      </c>
      <c r="AZ244" s="42" t="s">
        <v>434</v>
      </c>
    </row>
    <row r="245" spans="1:52" ht="48.75" customHeight="1" x14ac:dyDescent="0.25">
      <c r="A245" s="61" t="s">
        <v>1672</v>
      </c>
      <c r="B245" s="62">
        <v>45315</v>
      </c>
      <c r="C245" s="42" t="s">
        <v>435</v>
      </c>
      <c r="D245" s="37" t="s">
        <v>1673</v>
      </c>
      <c r="E245" s="41" t="s">
        <v>1674</v>
      </c>
      <c r="F245" s="38">
        <v>45335</v>
      </c>
      <c r="G245" s="39" t="s">
        <v>1675</v>
      </c>
      <c r="H245" s="42" t="s">
        <v>205</v>
      </c>
      <c r="I245" s="42" t="s">
        <v>1676</v>
      </c>
      <c r="J245" s="63">
        <v>8321227.2000000002</v>
      </c>
      <c r="K245" s="43">
        <v>0</v>
      </c>
      <c r="L245" s="56">
        <v>0</v>
      </c>
      <c r="M245" s="56">
        <v>0</v>
      </c>
      <c r="N245" s="44">
        <f t="shared" si="51"/>
        <v>0</v>
      </c>
      <c r="O245" s="45">
        <f t="shared" si="44"/>
        <v>0</v>
      </c>
      <c r="P245" s="43">
        <v>8321227.2000000002</v>
      </c>
      <c r="Q245" s="45">
        <f t="shared" si="45"/>
        <v>0</v>
      </c>
      <c r="R245" s="43">
        <v>8321227.2000000002</v>
      </c>
      <c r="S245" s="30">
        <f t="shared" si="50"/>
        <v>8321227.2000000002</v>
      </c>
      <c r="T245" s="30">
        <f t="shared" si="49"/>
        <v>8321227.2000000002</v>
      </c>
      <c r="U245" s="30">
        <f>T245/X245</f>
        <v>25.740000000000002</v>
      </c>
      <c r="V245" s="43">
        <f>T245/X245</f>
        <v>25.740000000000002</v>
      </c>
      <c r="W245" s="43">
        <f t="shared" si="41"/>
        <v>1544.4</v>
      </c>
      <c r="X245" s="43">
        <f t="shared" si="46"/>
        <v>323280</v>
      </c>
      <c r="Y245" s="43">
        <v>323280</v>
      </c>
      <c r="Z245" s="43">
        <v>0</v>
      </c>
      <c r="AA245" s="43">
        <v>0</v>
      </c>
      <c r="AB245" s="43">
        <v>0</v>
      </c>
      <c r="AC245" s="43">
        <f t="shared" si="42"/>
        <v>0</v>
      </c>
      <c r="AD245" s="43">
        <v>0</v>
      </c>
      <c r="AE245" s="43">
        <f t="shared" si="43"/>
        <v>0</v>
      </c>
      <c r="AF245" s="43">
        <f t="shared" si="47"/>
        <v>5388</v>
      </c>
      <c r="AG245" s="43">
        <f t="shared" si="48"/>
        <v>5388</v>
      </c>
      <c r="AH245" s="38">
        <v>45382</v>
      </c>
      <c r="AI245" s="38"/>
      <c r="AJ245" s="38"/>
      <c r="AK245" s="38">
        <v>45413</v>
      </c>
      <c r="AL245" s="38"/>
      <c r="AM245" s="48"/>
      <c r="AN245" s="42"/>
      <c r="AO245" s="42" t="s">
        <v>1677</v>
      </c>
      <c r="AP245" s="42" t="s">
        <v>1678</v>
      </c>
      <c r="AQ245" s="42" t="s">
        <v>1679</v>
      </c>
      <c r="AR245" s="42" t="s">
        <v>82</v>
      </c>
      <c r="AS245" s="50">
        <v>100</v>
      </c>
      <c r="AT245" s="39">
        <v>0</v>
      </c>
      <c r="AU245" s="39" t="s">
        <v>389</v>
      </c>
      <c r="AV245" s="49">
        <v>60</v>
      </c>
      <c r="AW245" s="39" t="s">
        <v>221</v>
      </c>
      <c r="AX245" s="39">
        <v>10</v>
      </c>
      <c r="AY245" s="30">
        <f>(J245*10)/100</f>
        <v>832122.72</v>
      </c>
      <c r="AZ245" s="42" t="s">
        <v>405</v>
      </c>
    </row>
    <row r="246" spans="1:52" ht="48.75" customHeight="1" x14ac:dyDescent="0.25">
      <c r="A246" s="61" t="s">
        <v>1680</v>
      </c>
      <c r="B246" s="62">
        <v>45315</v>
      </c>
      <c r="C246" s="42" t="s">
        <v>435</v>
      </c>
      <c r="D246" s="37" t="s">
        <v>1681</v>
      </c>
      <c r="E246" s="41" t="s">
        <v>1682</v>
      </c>
      <c r="F246" s="38">
        <v>45335</v>
      </c>
      <c r="G246" s="39" t="s">
        <v>1683</v>
      </c>
      <c r="H246" s="42" t="s">
        <v>205</v>
      </c>
      <c r="I246" s="42" t="s">
        <v>1684</v>
      </c>
      <c r="J246" s="63">
        <v>7038016</v>
      </c>
      <c r="K246" s="43">
        <v>0</v>
      </c>
      <c r="L246" s="56">
        <v>0</v>
      </c>
      <c r="M246" s="56">
        <v>0</v>
      </c>
      <c r="N246" s="44">
        <f t="shared" si="51"/>
        <v>0</v>
      </c>
      <c r="O246" s="45">
        <f t="shared" si="44"/>
        <v>0</v>
      </c>
      <c r="P246" s="43">
        <v>7038016</v>
      </c>
      <c r="Q246" s="45">
        <f t="shared" si="45"/>
        <v>0</v>
      </c>
      <c r="R246" s="43">
        <v>7038016</v>
      </c>
      <c r="S246" s="30">
        <v>6987200</v>
      </c>
      <c r="T246" s="30">
        <f t="shared" si="49"/>
        <v>6987200</v>
      </c>
      <c r="U246" s="30">
        <f>T246/X246</f>
        <v>11</v>
      </c>
      <c r="V246" s="43">
        <f>T246/X246</f>
        <v>11</v>
      </c>
      <c r="W246" s="43">
        <f t="shared" si="41"/>
        <v>3300</v>
      </c>
      <c r="X246" s="43">
        <f t="shared" si="46"/>
        <v>635200</v>
      </c>
      <c r="Y246" s="43">
        <v>635200</v>
      </c>
      <c r="Z246" s="43">
        <v>0</v>
      </c>
      <c r="AA246" s="43">
        <v>0</v>
      </c>
      <c r="AB246" s="43">
        <v>0</v>
      </c>
      <c r="AC246" s="43">
        <f t="shared" si="42"/>
        <v>0</v>
      </c>
      <c r="AD246" s="43">
        <v>0</v>
      </c>
      <c r="AE246" s="43">
        <f t="shared" si="43"/>
        <v>0</v>
      </c>
      <c r="AF246" s="43">
        <f t="shared" si="47"/>
        <v>2117.3333333333335</v>
      </c>
      <c r="AG246" s="43">
        <f t="shared" si="48"/>
        <v>2118</v>
      </c>
      <c r="AH246" s="38">
        <v>45366</v>
      </c>
      <c r="AI246" s="38"/>
      <c r="AJ246" s="38"/>
      <c r="AK246" s="38">
        <v>45397</v>
      </c>
      <c r="AL246" s="38"/>
      <c r="AM246" s="48"/>
      <c r="AN246" s="42"/>
      <c r="AO246" s="42" t="s">
        <v>1685</v>
      </c>
      <c r="AP246" s="42" t="s">
        <v>1686</v>
      </c>
      <c r="AQ246" s="42" t="s">
        <v>1687</v>
      </c>
      <c r="AR246" s="42" t="s">
        <v>82</v>
      </c>
      <c r="AS246" s="50">
        <v>100</v>
      </c>
      <c r="AT246" s="39">
        <v>0</v>
      </c>
      <c r="AU246" s="39" t="s">
        <v>83</v>
      </c>
      <c r="AV246" s="49">
        <v>300</v>
      </c>
      <c r="AW246" s="39" t="s">
        <v>221</v>
      </c>
      <c r="AX246" s="39">
        <v>10</v>
      </c>
      <c r="AY246" s="30">
        <f>(J246*10)/100</f>
        <v>703801.6</v>
      </c>
      <c r="AZ246" s="42" t="s">
        <v>405</v>
      </c>
    </row>
    <row r="247" spans="1:52" ht="48.75" customHeight="1" x14ac:dyDescent="0.25">
      <c r="A247" s="61" t="s">
        <v>1688</v>
      </c>
      <c r="B247" s="62">
        <v>45316</v>
      </c>
      <c r="C247" s="42" t="s">
        <v>435</v>
      </c>
      <c r="D247" s="37" t="s">
        <v>1689</v>
      </c>
      <c r="E247" s="41" t="s">
        <v>1690</v>
      </c>
      <c r="F247" s="38">
        <v>45335</v>
      </c>
      <c r="G247" s="39" t="s">
        <v>1691</v>
      </c>
      <c r="H247" s="42" t="s">
        <v>226</v>
      </c>
      <c r="I247" s="42" t="s">
        <v>1692</v>
      </c>
      <c r="J247" s="63">
        <v>12870732</v>
      </c>
      <c r="K247" s="43">
        <v>0</v>
      </c>
      <c r="L247" s="56">
        <v>0</v>
      </c>
      <c r="M247" s="56">
        <v>0</v>
      </c>
      <c r="N247" s="44">
        <f t="shared" si="51"/>
        <v>0</v>
      </c>
      <c r="O247" s="45">
        <f t="shared" si="44"/>
        <v>0</v>
      </c>
      <c r="P247" s="43">
        <v>12870732</v>
      </c>
      <c r="Q247" s="45">
        <f t="shared" si="45"/>
        <v>0</v>
      </c>
      <c r="R247" s="43">
        <v>12870732</v>
      </c>
      <c r="S247" s="30">
        <f t="shared" si="50"/>
        <v>12870732</v>
      </c>
      <c r="T247" s="30">
        <f t="shared" si="49"/>
        <v>12870732</v>
      </c>
      <c r="U247" s="30">
        <f>T247/X247</f>
        <v>62.54</v>
      </c>
      <c r="V247" s="43">
        <f>T247/X247</f>
        <v>62.54</v>
      </c>
      <c r="W247" s="43">
        <f t="shared" si="41"/>
        <v>7504.8</v>
      </c>
      <c r="X247" s="43">
        <f t="shared" si="46"/>
        <v>205800</v>
      </c>
      <c r="Y247" s="43">
        <v>205800</v>
      </c>
      <c r="Z247" s="43">
        <v>0</v>
      </c>
      <c r="AA247" s="43">
        <v>0</v>
      </c>
      <c r="AB247" s="43">
        <v>0</v>
      </c>
      <c r="AC247" s="43">
        <f t="shared" si="42"/>
        <v>0</v>
      </c>
      <c r="AD247" s="43">
        <v>0</v>
      </c>
      <c r="AE247" s="43">
        <f t="shared" si="43"/>
        <v>0</v>
      </c>
      <c r="AF247" s="43">
        <f t="shared" si="47"/>
        <v>1715</v>
      </c>
      <c r="AG247" s="43">
        <f t="shared" si="48"/>
        <v>1715</v>
      </c>
      <c r="AH247" s="38">
        <v>45366</v>
      </c>
      <c r="AI247" s="38"/>
      <c r="AJ247" s="38"/>
      <c r="AK247" s="38">
        <v>45397</v>
      </c>
      <c r="AL247" s="38"/>
      <c r="AM247" s="48"/>
      <c r="AN247" s="42"/>
      <c r="AO247" s="42" t="s">
        <v>1693</v>
      </c>
      <c r="AP247" s="42" t="s">
        <v>1694</v>
      </c>
      <c r="AQ247" s="42" t="s">
        <v>1695</v>
      </c>
      <c r="AR247" s="42" t="s">
        <v>82</v>
      </c>
      <c r="AS247" s="50">
        <v>100</v>
      </c>
      <c r="AT247" s="39">
        <v>0</v>
      </c>
      <c r="AU247" s="39" t="s">
        <v>389</v>
      </c>
      <c r="AV247" s="49">
        <v>120</v>
      </c>
      <c r="AW247" s="39" t="s">
        <v>62</v>
      </c>
      <c r="AX247" s="39">
        <v>10</v>
      </c>
      <c r="AY247" s="30">
        <f>(J247*10)/100</f>
        <v>1287073.2</v>
      </c>
      <c r="AZ247" s="42" t="s">
        <v>405</v>
      </c>
    </row>
    <row r="248" spans="1:52" ht="48.75" customHeight="1" x14ac:dyDescent="0.25">
      <c r="A248" s="61" t="s">
        <v>1696</v>
      </c>
      <c r="B248" s="62">
        <v>45316</v>
      </c>
      <c r="C248" s="42" t="s">
        <v>435</v>
      </c>
      <c r="D248" s="37" t="s">
        <v>1697</v>
      </c>
      <c r="E248" s="41" t="s">
        <v>1698</v>
      </c>
      <c r="F248" s="38">
        <v>45335</v>
      </c>
      <c r="G248" s="39" t="s">
        <v>1699</v>
      </c>
      <c r="H248" s="42" t="s">
        <v>226</v>
      </c>
      <c r="I248" s="42" t="s">
        <v>1700</v>
      </c>
      <c r="J248" s="63">
        <v>10821789</v>
      </c>
      <c r="K248" s="43">
        <v>0</v>
      </c>
      <c r="L248" s="56">
        <v>0</v>
      </c>
      <c r="M248" s="56">
        <v>0</v>
      </c>
      <c r="N248" s="44">
        <f t="shared" si="51"/>
        <v>0</v>
      </c>
      <c r="O248" s="45">
        <f t="shared" si="44"/>
        <v>0</v>
      </c>
      <c r="P248" s="43">
        <v>10821789</v>
      </c>
      <c r="Q248" s="45">
        <f t="shared" si="45"/>
        <v>0</v>
      </c>
      <c r="R248" s="43">
        <v>10821789</v>
      </c>
      <c r="S248" s="30">
        <f t="shared" si="50"/>
        <v>10821789</v>
      </c>
      <c r="T248" s="30">
        <f t="shared" si="49"/>
        <v>10821789</v>
      </c>
      <c r="U248" s="30">
        <f>T248/X248</f>
        <v>9.1300000000000008</v>
      </c>
      <c r="V248" s="43">
        <f>T248/X248</f>
        <v>9.1300000000000008</v>
      </c>
      <c r="W248" s="43">
        <f t="shared" si="41"/>
        <v>547.80000000000007</v>
      </c>
      <c r="X248" s="43">
        <f t="shared" si="46"/>
        <v>1185300</v>
      </c>
      <c r="Y248" s="43">
        <v>1185300</v>
      </c>
      <c r="Z248" s="43">
        <v>0</v>
      </c>
      <c r="AA248" s="43">
        <v>0</v>
      </c>
      <c r="AB248" s="43">
        <v>0</v>
      </c>
      <c r="AC248" s="43">
        <f t="shared" si="42"/>
        <v>0</v>
      </c>
      <c r="AD248" s="43">
        <v>0</v>
      </c>
      <c r="AE248" s="43">
        <f t="shared" si="43"/>
        <v>0</v>
      </c>
      <c r="AF248" s="43">
        <f t="shared" si="47"/>
        <v>19755</v>
      </c>
      <c r="AG248" s="43">
        <f t="shared" si="48"/>
        <v>19755</v>
      </c>
      <c r="AH248" s="38">
        <v>45383</v>
      </c>
      <c r="AI248" s="38"/>
      <c r="AJ248" s="38"/>
      <c r="AK248" s="38">
        <v>45413</v>
      </c>
      <c r="AL248" s="38"/>
      <c r="AM248" s="48"/>
      <c r="AN248" s="42"/>
      <c r="AO248" s="42" t="s">
        <v>1649</v>
      </c>
      <c r="AP248" s="42" t="s">
        <v>1701</v>
      </c>
      <c r="AQ248" s="42" t="s">
        <v>1651</v>
      </c>
      <c r="AR248" s="42" t="s">
        <v>82</v>
      </c>
      <c r="AS248" s="50">
        <v>100</v>
      </c>
      <c r="AT248" s="39">
        <v>0</v>
      </c>
      <c r="AU248" s="39" t="s">
        <v>389</v>
      </c>
      <c r="AV248" s="49">
        <v>60</v>
      </c>
      <c r="AW248" s="39" t="s">
        <v>62</v>
      </c>
      <c r="AX248" s="39">
        <v>10</v>
      </c>
      <c r="AY248" s="30">
        <f>(J248*10)/100</f>
        <v>1082178.8999999999</v>
      </c>
      <c r="AZ248" s="42" t="s">
        <v>405</v>
      </c>
    </row>
    <row r="249" spans="1:52" ht="48.75" customHeight="1" x14ac:dyDescent="0.25">
      <c r="A249" s="61" t="s">
        <v>1702</v>
      </c>
      <c r="B249" s="62">
        <v>45316</v>
      </c>
      <c r="C249" s="42" t="s">
        <v>435</v>
      </c>
      <c r="D249" s="37" t="s">
        <v>1703</v>
      </c>
      <c r="E249" s="41" t="s">
        <v>1704</v>
      </c>
      <c r="F249" s="38">
        <v>45335</v>
      </c>
      <c r="G249" s="39" t="s">
        <v>1705</v>
      </c>
      <c r="H249" s="42" t="s">
        <v>226</v>
      </c>
      <c r="I249" s="42" t="s">
        <v>1706</v>
      </c>
      <c r="J249" s="63">
        <v>2895874.56</v>
      </c>
      <c r="K249" s="43">
        <v>0</v>
      </c>
      <c r="L249" s="56">
        <v>0</v>
      </c>
      <c r="M249" s="56">
        <v>0</v>
      </c>
      <c r="N249" s="44">
        <f t="shared" si="51"/>
        <v>0</v>
      </c>
      <c r="O249" s="45">
        <f t="shared" si="44"/>
        <v>0</v>
      </c>
      <c r="P249" s="43">
        <v>2895874.56</v>
      </c>
      <c r="Q249" s="45">
        <f t="shared" si="45"/>
        <v>0</v>
      </c>
      <c r="R249" s="43">
        <v>2895874.56</v>
      </c>
      <c r="S249" s="30">
        <f t="shared" si="50"/>
        <v>2895874.56</v>
      </c>
      <c r="T249" s="30">
        <f t="shared" si="49"/>
        <v>2895874.56</v>
      </c>
      <c r="U249" s="30">
        <f>T249/X249</f>
        <v>2.58</v>
      </c>
      <c r="V249" s="43">
        <f>T249/X249</f>
        <v>2.58</v>
      </c>
      <c r="W249" s="43">
        <f t="shared" si="41"/>
        <v>154.80000000000001</v>
      </c>
      <c r="X249" s="43">
        <f t="shared" si="46"/>
        <v>1122432</v>
      </c>
      <c r="Y249" s="43">
        <v>1122432</v>
      </c>
      <c r="Z249" s="43">
        <v>0</v>
      </c>
      <c r="AA249" s="43">
        <v>0</v>
      </c>
      <c r="AB249" s="43">
        <v>0</v>
      </c>
      <c r="AC249" s="43">
        <f t="shared" si="42"/>
        <v>0</v>
      </c>
      <c r="AD249" s="43">
        <v>0</v>
      </c>
      <c r="AE249" s="43">
        <f t="shared" si="43"/>
        <v>0</v>
      </c>
      <c r="AF249" s="43">
        <f t="shared" si="47"/>
        <v>18707.2</v>
      </c>
      <c r="AG249" s="43">
        <f t="shared" si="48"/>
        <v>18708</v>
      </c>
      <c r="AH249" s="38">
        <v>45366</v>
      </c>
      <c r="AI249" s="38"/>
      <c r="AJ249" s="38"/>
      <c r="AK249" s="38">
        <v>45397</v>
      </c>
      <c r="AL249" s="38"/>
      <c r="AM249" s="48"/>
      <c r="AN249" s="42"/>
      <c r="AO249" s="42" t="s">
        <v>1707</v>
      </c>
      <c r="AP249" s="42" t="s">
        <v>1708</v>
      </c>
      <c r="AQ249" s="42" t="s">
        <v>1709</v>
      </c>
      <c r="AR249" s="42" t="s">
        <v>82</v>
      </c>
      <c r="AS249" s="50">
        <v>100</v>
      </c>
      <c r="AT249" s="39">
        <v>0</v>
      </c>
      <c r="AU249" s="39" t="s">
        <v>389</v>
      </c>
      <c r="AV249" s="49">
        <v>60</v>
      </c>
      <c r="AW249" s="39" t="s">
        <v>62</v>
      </c>
      <c r="AX249" s="39">
        <v>10</v>
      </c>
      <c r="AY249" s="30">
        <f>(J249*10)/100</f>
        <v>289587.45600000001</v>
      </c>
      <c r="AZ249" s="42" t="s">
        <v>405</v>
      </c>
    </row>
    <row r="250" spans="1:52" ht="48.75" customHeight="1" x14ac:dyDescent="0.25">
      <c r="A250" s="61" t="s">
        <v>1710</v>
      </c>
      <c r="B250" s="62">
        <v>45316</v>
      </c>
      <c r="C250" s="42" t="s">
        <v>435</v>
      </c>
      <c r="D250" s="37" t="s">
        <v>434</v>
      </c>
      <c r="E250" s="41" t="s">
        <v>1711</v>
      </c>
      <c r="F250" s="38" t="s">
        <v>434</v>
      </c>
      <c r="G250" s="39" t="s">
        <v>434</v>
      </c>
      <c r="H250" s="42" t="s">
        <v>434</v>
      </c>
      <c r="I250" s="42" t="s">
        <v>1712</v>
      </c>
      <c r="J250" s="63">
        <v>95225220</v>
      </c>
      <c r="K250" s="43">
        <v>0</v>
      </c>
      <c r="L250" s="56">
        <v>0</v>
      </c>
      <c r="M250" s="56">
        <v>0</v>
      </c>
      <c r="N250" s="44">
        <f t="shared" si="51"/>
        <v>100</v>
      </c>
      <c r="O250" s="45">
        <f t="shared" si="44"/>
        <v>95225220</v>
      </c>
      <c r="P250" s="43"/>
      <c r="Q250" s="45">
        <f t="shared" si="45"/>
        <v>95225220</v>
      </c>
      <c r="R250" s="43">
        <v>0</v>
      </c>
      <c r="S250" s="30">
        <f t="shared" si="50"/>
        <v>0</v>
      </c>
      <c r="T250" s="30">
        <f t="shared" si="49"/>
        <v>0</v>
      </c>
      <c r="U250" s="30" t="e">
        <f>T250/X250</f>
        <v>#DIV/0!</v>
      </c>
      <c r="V250" s="43" t="e">
        <f>T250/X250</f>
        <v>#DIV/0!</v>
      </c>
      <c r="W250" s="43" t="e">
        <f t="shared" si="41"/>
        <v>#DIV/0!</v>
      </c>
      <c r="X250" s="43">
        <f t="shared" si="46"/>
        <v>0</v>
      </c>
      <c r="Y250" s="43">
        <v>0</v>
      </c>
      <c r="Z250" s="43">
        <v>0</v>
      </c>
      <c r="AA250" s="43">
        <v>0</v>
      </c>
      <c r="AB250" s="43"/>
      <c r="AC250" s="43" t="e">
        <f t="shared" si="42"/>
        <v>#DIV/0!</v>
      </c>
      <c r="AD250" s="43"/>
      <c r="AE250" s="43" t="e">
        <f t="shared" si="43"/>
        <v>#DIV/0!</v>
      </c>
      <c r="AF250" s="43" t="e">
        <f t="shared" si="47"/>
        <v>#DIV/0!</v>
      </c>
      <c r="AG250" s="43" t="e">
        <f t="shared" si="48"/>
        <v>#DIV/0!</v>
      </c>
      <c r="AH250" s="38">
        <v>45383</v>
      </c>
      <c r="AI250" s="38"/>
      <c r="AJ250" s="38"/>
      <c r="AK250" s="38"/>
      <c r="AL250" s="38"/>
      <c r="AM250" s="48"/>
      <c r="AN250" s="42"/>
      <c r="AO250" s="42"/>
      <c r="AP250" s="42"/>
      <c r="AQ250" s="42"/>
      <c r="AR250" s="42"/>
      <c r="AS250" s="50"/>
      <c r="AT250" s="39"/>
      <c r="AU250" s="39"/>
      <c r="AV250" s="49"/>
      <c r="AW250" s="39"/>
      <c r="AX250" s="39">
        <v>10</v>
      </c>
      <c r="AY250" s="30">
        <f>(J250*10)/100</f>
        <v>9522522</v>
      </c>
      <c r="AZ250" s="42" t="s">
        <v>434</v>
      </c>
    </row>
    <row r="251" spans="1:52" ht="48.75" customHeight="1" x14ac:dyDescent="0.25">
      <c r="A251" s="61" t="s">
        <v>1713</v>
      </c>
      <c r="B251" s="62">
        <v>45316</v>
      </c>
      <c r="C251" s="42" t="s">
        <v>435</v>
      </c>
      <c r="D251" s="37" t="s">
        <v>1714</v>
      </c>
      <c r="E251" s="41" t="s">
        <v>1715</v>
      </c>
      <c r="F251" s="38">
        <v>45335</v>
      </c>
      <c r="G251" s="39" t="s">
        <v>1716</v>
      </c>
      <c r="H251" s="42" t="s">
        <v>226</v>
      </c>
      <c r="I251" s="42" t="s">
        <v>1717</v>
      </c>
      <c r="J251" s="63">
        <v>78794.100000000006</v>
      </c>
      <c r="K251" s="43">
        <v>0</v>
      </c>
      <c r="L251" s="56">
        <v>0</v>
      </c>
      <c r="M251" s="56">
        <v>0</v>
      </c>
      <c r="N251" s="44">
        <f t="shared" si="51"/>
        <v>0</v>
      </c>
      <c r="O251" s="45">
        <f t="shared" si="44"/>
        <v>0</v>
      </c>
      <c r="P251" s="63">
        <v>78794.100000000006</v>
      </c>
      <c r="Q251" s="45">
        <f t="shared" si="45"/>
        <v>0</v>
      </c>
      <c r="R251" s="63">
        <v>78794.100000000006</v>
      </c>
      <c r="S251" s="30">
        <f t="shared" si="50"/>
        <v>78794.100000000006</v>
      </c>
      <c r="T251" s="30">
        <f t="shared" si="49"/>
        <v>78794.100000000006</v>
      </c>
      <c r="U251" s="30">
        <f>T251/X251</f>
        <v>2.31</v>
      </c>
      <c r="V251" s="43">
        <f>T251/X251</f>
        <v>2.31</v>
      </c>
      <c r="W251" s="43">
        <f t="shared" si="41"/>
        <v>69.3</v>
      </c>
      <c r="X251" s="43">
        <f t="shared" si="46"/>
        <v>34110</v>
      </c>
      <c r="Y251" s="43">
        <v>34110</v>
      </c>
      <c r="Z251" s="43">
        <v>0</v>
      </c>
      <c r="AA251" s="43">
        <v>0</v>
      </c>
      <c r="AB251" s="43">
        <v>0</v>
      </c>
      <c r="AC251" s="43">
        <f t="shared" si="42"/>
        <v>0</v>
      </c>
      <c r="AD251" s="43">
        <v>0</v>
      </c>
      <c r="AE251" s="43">
        <f t="shared" si="43"/>
        <v>0</v>
      </c>
      <c r="AF251" s="43">
        <f t="shared" si="47"/>
        <v>1137</v>
      </c>
      <c r="AG251" s="43">
        <f t="shared" si="48"/>
        <v>1137</v>
      </c>
      <c r="AH251" s="38">
        <v>45383</v>
      </c>
      <c r="AI251" s="38"/>
      <c r="AJ251" s="38"/>
      <c r="AK251" s="38">
        <v>45413</v>
      </c>
      <c r="AL251" s="38"/>
      <c r="AM251" s="48"/>
      <c r="AN251" s="42"/>
      <c r="AO251" s="42" t="s">
        <v>1553</v>
      </c>
      <c r="AP251" s="42" t="s">
        <v>1390</v>
      </c>
      <c r="AQ251" s="42" t="s">
        <v>1555</v>
      </c>
      <c r="AR251" s="42" t="s">
        <v>82</v>
      </c>
      <c r="AS251" s="50">
        <v>100</v>
      </c>
      <c r="AT251" s="39">
        <v>0</v>
      </c>
      <c r="AU251" s="39" t="s">
        <v>389</v>
      </c>
      <c r="AV251" s="49">
        <v>30</v>
      </c>
      <c r="AW251" s="39" t="s">
        <v>221</v>
      </c>
      <c r="AX251" s="39">
        <v>10</v>
      </c>
      <c r="AY251" s="30">
        <f>(J251*10)/100</f>
        <v>7879.41</v>
      </c>
      <c r="AZ251" s="42" t="s">
        <v>405</v>
      </c>
    </row>
    <row r="252" spans="1:52" ht="48.75" customHeight="1" x14ac:dyDescent="0.25">
      <c r="A252" s="61" t="s">
        <v>1718</v>
      </c>
      <c r="B252" s="62">
        <v>45316</v>
      </c>
      <c r="C252" s="42" t="s">
        <v>435</v>
      </c>
      <c r="D252" s="37" t="s">
        <v>1719</v>
      </c>
      <c r="E252" s="41" t="s">
        <v>1720</v>
      </c>
      <c r="F252" s="38">
        <v>45335</v>
      </c>
      <c r="G252" s="39" t="s">
        <v>1721</v>
      </c>
      <c r="H252" s="42" t="s">
        <v>54</v>
      </c>
      <c r="I252" s="42" t="s">
        <v>1722</v>
      </c>
      <c r="J252" s="63">
        <v>1866913.68</v>
      </c>
      <c r="K252" s="43">
        <v>0</v>
      </c>
      <c r="L252" s="56">
        <v>0</v>
      </c>
      <c r="M252" s="56">
        <v>0</v>
      </c>
      <c r="N252" s="44">
        <f t="shared" si="51"/>
        <v>0</v>
      </c>
      <c r="O252" s="45">
        <f t="shared" si="44"/>
        <v>0</v>
      </c>
      <c r="P252" s="43">
        <v>1866913.68</v>
      </c>
      <c r="Q252" s="45">
        <f t="shared" si="45"/>
        <v>0</v>
      </c>
      <c r="R252" s="43">
        <v>1866913.68</v>
      </c>
      <c r="S252" s="30">
        <f t="shared" si="50"/>
        <v>1866913.68</v>
      </c>
      <c r="T252" s="30">
        <f t="shared" si="49"/>
        <v>1866913.68</v>
      </c>
      <c r="U252" s="30">
        <f>T252/X252</f>
        <v>2.92</v>
      </c>
      <c r="V252" s="43">
        <f>T252/X252</f>
        <v>2.92</v>
      </c>
      <c r="W252" s="43">
        <f t="shared" si="41"/>
        <v>700.8</v>
      </c>
      <c r="X252" s="43">
        <f t="shared" si="46"/>
        <v>639354</v>
      </c>
      <c r="Y252" s="43">
        <v>639354</v>
      </c>
      <c r="Z252" s="43">
        <v>0</v>
      </c>
      <c r="AA252" s="43">
        <v>0</v>
      </c>
      <c r="AB252" s="43">
        <v>0</v>
      </c>
      <c r="AC252" s="43">
        <f t="shared" si="42"/>
        <v>0</v>
      </c>
      <c r="AD252" s="43">
        <v>0</v>
      </c>
      <c r="AE252" s="43">
        <f t="shared" si="43"/>
        <v>0</v>
      </c>
      <c r="AF252" s="43">
        <f t="shared" si="47"/>
        <v>2663.9749999999999</v>
      </c>
      <c r="AG252" s="43">
        <f t="shared" si="48"/>
        <v>2664</v>
      </c>
      <c r="AH252" s="38">
        <v>45383</v>
      </c>
      <c r="AI252" s="38"/>
      <c r="AJ252" s="38"/>
      <c r="AK252" s="38">
        <v>45413</v>
      </c>
      <c r="AL252" s="38"/>
      <c r="AM252" s="48"/>
      <c r="AN252" s="42"/>
      <c r="AO252" s="42" t="s">
        <v>1723</v>
      </c>
      <c r="AP252" s="42" t="s">
        <v>1724</v>
      </c>
      <c r="AQ252" s="42" t="s">
        <v>1725</v>
      </c>
      <c r="AR252" s="42" t="s">
        <v>388</v>
      </c>
      <c r="AS252" s="50">
        <v>0</v>
      </c>
      <c r="AT252" s="39">
        <v>100</v>
      </c>
      <c r="AU252" s="39" t="s">
        <v>83</v>
      </c>
      <c r="AV252" s="49">
        <v>240</v>
      </c>
      <c r="AW252" s="39" t="s">
        <v>62</v>
      </c>
      <c r="AX252" s="39">
        <v>10</v>
      </c>
      <c r="AY252" s="30">
        <f>(J252*10)/100</f>
        <v>186691.36800000002</v>
      </c>
      <c r="AZ252" s="42" t="s">
        <v>405</v>
      </c>
    </row>
    <row r="253" spans="1:52" ht="48.75" customHeight="1" x14ac:dyDescent="0.25">
      <c r="A253" s="61" t="s">
        <v>1726</v>
      </c>
      <c r="B253" s="62">
        <v>45316</v>
      </c>
      <c r="C253" s="42">
        <v>1688</v>
      </c>
      <c r="D253" s="37" t="s">
        <v>1727</v>
      </c>
      <c r="E253" s="41" t="s">
        <v>1728</v>
      </c>
      <c r="F253" s="38">
        <v>45336</v>
      </c>
      <c r="G253" s="39" t="s">
        <v>1729</v>
      </c>
      <c r="H253" s="42" t="s">
        <v>205</v>
      </c>
      <c r="I253" s="42" t="s">
        <v>1730</v>
      </c>
      <c r="J253" s="63">
        <v>63865214.5</v>
      </c>
      <c r="K253" s="43">
        <v>0</v>
      </c>
      <c r="L253" s="56">
        <v>0</v>
      </c>
      <c r="M253" s="56">
        <v>0</v>
      </c>
      <c r="N253" s="44">
        <f t="shared" si="51"/>
        <v>0</v>
      </c>
      <c r="O253" s="45">
        <f t="shared" si="44"/>
        <v>0</v>
      </c>
      <c r="P253" s="43">
        <v>63865214.5</v>
      </c>
      <c r="Q253" s="45">
        <f t="shared" si="45"/>
        <v>0</v>
      </c>
      <c r="R253" s="43">
        <v>63865214.5</v>
      </c>
      <c r="S253" s="30">
        <f t="shared" si="50"/>
        <v>63865214.5</v>
      </c>
      <c r="T253" s="30">
        <f t="shared" si="49"/>
        <v>63865214.5</v>
      </c>
      <c r="U253" s="30">
        <f>T253/X253</f>
        <v>77.95</v>
      </c>
      <c r="V253" s="43">
        <f>T253/X253</f>
        <v>77.95</v>
      </c>
      <c r="W253" s="43">
        <f t="shared" si="41"/>
        <v>779.5</v>
      </c>
      <c r="X253" s="43">
        <f t="shared" si="46"/>
        <v>819310</v>
      </c>
      <c r="Y253" s="43">
        <v>819310</v>
      </c>
      <c r="Z253" s="43">
        <v>0</v>
      </c>
      <c r="AA253" s="43">
        <v>0</v>
      </c>
      <c r="AB253" s="43">
        <v>0</v>
      </c>
      <c r="AC253" s="43">
        <f t="shared" si="42"/>
        <v>0</v>
      </c>
      <c r="AD253" s="43">
        <v>0</v>
      </c>
      <c r="AE253" s="43">
        <f t="shared" si="43"/>
        <v>0</v>
      </c>
      <c r="AF253" s="43">
        <f t="shared" si="47"/>
        <v>81931</v>
      </c>
      <c r="AG253" s="43">
        <f t="shared" si="48"/>
        <v>81931</v>
      </c>
      <c r="AH253" s="38">
        <v>45366</v>
      </c>
      <c r="AI253" s="38"/>
      <c r="AJ253" s="38"/>
      <c r="AK253" s="38">
        <v>45397</v>
      </c>
      <c r="AL253" s="38"/>
      <c r="AM253" s="48"/>
      <c r="AN253" s="42"/>
      <c r="AO253" s="42" t="s">
        <v>1731</v>
      </c>
      <c r="AP253" s="42" t="s">
        <v>1732</v>
      </c>
      <c r="AQ253" s="42" t="s">
        <v>1733</v>
      </c>
      <c r="AR253" s="42" t="s">
        <v>82</v>
      </c>
      <c r="AS253" s="50">
        <v>100</v>
      </c>
      <c r="AT253" s="39">
        <v>0</v>
      </c>
      <c r="AU253" s="39" t="s">
        <v>316</v>
      </c>
      <c r="AV253" s="49">
        <v>10</v>
      </c>
      <c r="AW253" s="39" t="s">
        <v>62</v>
      </c>
      <c r="AX253" s="39">
        <v>10</v>
      </c>
      <c r="AY253" s="30">
        <f>(J253*10)/100</f>
        <v>6386521.4500000002</v>
      </c>
      <c r="AZ253" s="42" t="s">
        <v>405</v>
      </c>
    </row>
    <row r="254" spans="1:52" ht="48.75" customHeight="1" x14ac:dyDescent="0.25">
      <c r="A254" s="61" t="s">
        <v>1734</v>
      </c>
      <c r="B254" s="62">
        <v>45316</v>
      </c>
      <c r="C254" s="42">
        <v>1688</v>
      </c>
      <c r="D254" s="37" t="s">
        <v>1735</v>
      </c>
      <c r="E254" s="41" t="s">
        <v>1736</v>
      </c>
      <c r="F254" s="38">
        <v>45336</v>
      </c>
      <c r="G254" s="39" t="s">
        <v>1737</v>
      </c>
      <c r="H254" s="42" t="s">
        <v>205</v>
      </c>
      <c r="I254" s="42" t="s">
        <v>1738</v>
      </c>
      <c r="J254" s="63">
        <v>7597007</v>
      </c>
      <c r="K254" s="43">
        <v>0</v>
      </c>
      <c r="L254" s="56">
        <v>0</v>
      </c>
      <c r="M254" s="56">
        <v>0</v>
      </c>
      <c r="N254" s="44">
        <f t="shared" si="51"/>
        <v>0</v>
      </c>
      <c r="O254" s="45">
        <f t="shared" si="44"/>
        <v>0</v>
      </c>
      <c r="P254" s="43">
        <v>7597007</v>
      </c>
      <c r="Q254" s="45">
        <f t="shared" si="45"/>
        <v>0</v>
      </c>
      <c r="R254" s="43">
        <v>7597007</v>
      </c>
      <c r="S254" s="30">
        <f t="shared" si="50"/>
        <v>7597007</v>
      </c>
      <c r="T254" s="30">
        <f t="shared" si="49"/>
        <v>7597007</v>
      </c>
      <c r="U254" s="30">
        <f>T254/X254</f>
        <v>77.95</v>
      </c>
      <c r="V254" s="43">
        <f>T254/X254</f>
        <v>77.95</v>
      </c>
      <c r="W254" s="43">
        <f t="shared" si="41"/>
        <v>779.5</v>
      </c>
      <c r="X254" s="43">
        <f t="shared" si="46"/>
        <v>97460</v>
      </c>
      <c r="Y254" s="43">
        <v>97460</v>
      </c>
      <c r="Z254" s="43">
        <v>0</v>
      </c>
      <c r="AA254" s="43">
        <v>0</v>
      </c>
      <c r="AB254" s="43">
        <v>0</v>
      </c>
      <c r="AC254" s="43">
        <f t="shared" si="42"/>
        <v>0</v>
      </c>
      <c r="AD254" s="43">
        <v>0</v>
      </c>
      <c r="AE254" s="43">
        <f t="shared" si="43"/>
        <v>0</v>
      </c>
      <c r="AF254" s="43">
        <f t="shared" si="47"/>
        <v>9746</v>
      </c>
      <c r="AG254" s="43">
        <f t="shared" si="48"/>
        <v>9746</v>
      </c>
      <c r="AH254" s="38">
        <v>45366</v>
      </c>
      <c r="AI254" s="38"/>
      <c r="AJ254" s="38"/>
      <c r="AK254" s="38">
        <v>45397</v>
      </c>
      <c r="AL254" s="38"/>
      <c r="AM254" s="48"/>
      <c r="AN254" s="42"/>
      <c r="AO254" s="42" t="s">
        <v>1731</v>
      </c>
      <c r="AP254" s="42" t="s">
        <v>1732</v>
      </c>
      <c r="AQ254" s="42" t="s">
        <v>1733</v>
      </c>
      <c r="AR254" s="42" t="s">
        <v>82</v>
      </c>
      <c r="AS254" s="50">
        <v>100</v>
      </c>
      <c r="AT254" s="39">
        <v>0</v>
      </c>
      <c r="AU254" s="39" t="s">
        <v>316</v>
      </c>
      <c r="AV254" s="49">
        <v>10</v>
      </c>
      <c r="AW254" s="39" t="s">
        <v>221</v>
      </c>
      <c r="AX254" s="39">
        <v>10</v>
      </c>
      <c r="AY254" s="30">
        <f>(J254*10)/100</f>
        <v>759700.7</v>
      </c>
      <c r="AZ254" s="42" t="s">
        <v>405</v>
      </c>
    </row>
    <row r="255" spans="1:52" ht="48.75" customHeight="1" x14ac:dyDescent="0.25">
      <c r="A255" s="61" t="s">
        <v>1739</v>
      </c>
      <c r="B255" s="62">
        <v>45316</v>
      </c>
      <c r="C255" s="42">
        <v>1688</v>
      </c>
      <c r="D255" s="37" t="s">
        <v>1740</v>
      </c>
      <c r="E255" s="41" t="s">
        <v>1741</v>
      </c>
      <c r="F255" s="38">
        <v>45336</v>
      </c>
      <c r="G255" s="39" t="s">
        <v>1742</v>
      </c>
      <c r="H255" s="42" t="s">
        <v>205</v>
      </c>
      <c r="I255" s="42" t="s">
        <v>1743</v>
      </c>
      <c r="J255" s="63">
        <v>51128223.299999997</v>
      </c>
      <c r="K255" s="43">
        <v>0</v>
      </c>
      <c r="L255" s="56">
        <v>0</v>
      </c>
      <c r="M255" s="56">
        <v>0</v>
      </c>
      <c r="N255" s="44">
        <f t="shared" si="51"/>
        <v>0</v>
      </c>
      <c r="O255" s="45">
        <f t="shared" si="44"/>
        <v>0</v>
      </c>
      <c r="P255" s="63">
        <v>51128223.299999997</v>
      </c>
      <c r="Q255" s="45">
        <f t="shared" si="45"/>
        <v>0</v>
      </c>
      <c r="R255" s="63">
        <v>51128223.299999997</v>
      </c>
      <c r="S255" s="30">
        <f t="shared" si="50"/>
        <v>51128223.299999997</v>
      </c>
      <c r="T255" s="30">
        <f t="shared" si="49"/>
        <v>51128223.299999997</v>
      </c>
      <c r="U255" s="30">
        <f>T255/X255</f>
        <v>86.899999999999991</v>
      </c>
      <c r="V255" s="43">
        <f>T255/X255</f>
        <v>86.899999999999991</v>
      </c>
      <c r="W255" s="43">
        <f t="shared" si="41"/>
        <v>868.99999999999989</v>
      </c>
      <c r="X255" s="43">
        <f t="shared" si="46"/>
        <v>588357</v>
      </c>
      <c r="Y255" s="43">
        <v>588357</v>
      </c>
      <c r="Z255" s="43">
        <v>0</v>
      </c>
      <c r="AA255" s="43">
        <v>0</v>
      </c>
      <c r="AB255" s="43">
        <v>0</v>
      </c>
      <c r="AC255" s="43">
        <f t="shared" si="42"/>
        <v>0</v>
      </c>
      <c r="AD255" s="43">
        <v>0</v>
      </c>
      <c r="AE255" s="43">
        <f t="shared" si="43"/>
        <v>0</v>
      </c>
      <c r="AF255" s="43">
        <f t="shared" si="47"/>
        <v>58835.7</v>
      </c>
      <c r="AG255" s="43">
        <f t="shared" si="48"/>
        <v>58836</v>
      </c>
      <c r="AH255" s="38">
        <v>45366</v>
      </c>
      <c r="AI255" s="38"/>
      <c r="AJ255" s="38"/>
      <c r="AK255" s="38">
        <v>45397</v>
      </c>
      <c r="AL255" s="38"/>
      <c r="AM255" s="48"/>
      <c r="AN255" s="42"/>
      <c r="AO255" s="42" t="s">
        <v>1731</v>
      </c>
      <c r="AP255" s="42" t="s">
        <v>1744</v>
      </c>
      <c r="AQ255" s="42" t="s">
        <v>1733</v>
      </c>
      <c r="AR255" s="42" t="s">
        <v>82</v>
      </c>
      <c r="AS255" s="50">
        <v>100</v>
      </c>
      <c r="AT255" s="39">
        <v>0</v>
      </c>
      <c r="AU255" s="39" t="s">
        <v>316</v>
      </c>
      <c r="AV255" s="49">
        <v>10</v>
      </c>
      <c r="AW255" s="39" t="s">
        <v>62</v>
      </c>
      <c r="AX255" s="39">
        <v>10</v>
      </c>
      <c r="AY255" s="30">
        <f>(J255*10)/100</f>
        <v>5112822.33</v>
      </c>
      <c r="AZ255" s="42" t="s">
        <v>405</v>
      </c>
    </row>
    <row r="256" spans="1:52" ht="48.75" customHeight="1" x14ac:dyDescent="0.25">
      <c r="A256" s="61" t="s">
        <v>1745</v>
      </c>
      <c r="B256" s="62">
        <v>45316</v>
      </c>
      <c r="C256" s="42" t="s">
        <v>435</v>
      </c>
      <c r="D256" s="37" t="s">
        <v>434</v>
      </c>
      <c r="E256" s="41" t="s">
        <v>1746</v>
      </c>
      <c r="F256" s="38" t="s">
        <v>434</v>
      </c>
      <c r="G256" s="39" t="s">
        <v>434</v>
      </c>
      <c r="H256" s="42" t="s">
        <v>434</v>
      </c>
      <c r="I256" s="39" t="s">
        <v>1747</v>
      </c>
      <c r="J256" s="63">
        <v>7532379.6900000004</v>
      </c>
      <c r="K256" s="43">
        <v>0</v>
      </c>
      <c r="L256" s="56">
        <v>0</v>
      </c>
      <c r="M256" s="56">
        <v>0</v>
      </c>
      <c r="N256" s="44">
        <f t="shared" si="51"/>
        <v>100</v>
      </c>
      <c r="O256" s="45">
        <f t="shared" si="44"/>
        <v>7532379.6900000004</v>
      </c>
      <c r="P256" s="43"/>
      <c r="Q256" s="45">
        <f t="shared" si="45"/>
        <v>7532379.6900000004</v>
      </c>
      <c r="R256" s="43">
        <v>0</v>
      </c>
      <c r="S256" s="30">
        <f t="shared" si="50"/>
        <v>0</v>
      </c>
      <c r="T256" s="30">
        <f t="shared" si="49"/>
        <v>0</v>
      </c>
      <c r="U256" s="30" t="e">
        <f>T256/X256</f>
        <v>#DIV/0!</v>
      </c>
      <c r="V256" s="43" t="e">
        <f>T256/X256</f>
        <v>#DIV/0!</v>
      </c>
      <c r="W256" s="43" t="e">
        <f t="shared" si="41"/>
        <v>#DIV/0!</v>
      </c>
      <c r="X256" s="43">
        <f t="shared" si="46"/>
        <v>0</v>
      </c>
      <c r="Y256" s="43">
        <v>0</v>
      </c>
      <c r="Z256" s="43">
        <v>0</v>
      </c>
      <c r="AA256" s="43">
        <v>0</v>
      </c>
      <c r="AB256" s="43"/>
      <c r="AC256" s="43" t="e">
        <f t="shared" si="42"/>
        <v>#DIV/0!</v>
      </c>
      <c r="AD256" s="43"/>
      <c r="AE256" s="43" t="e">
        <f t="shared" si="43"/>
        <v>#DIV/0!</v>
      </c>
      <c r="AF256" s="43" t="e">
        <f t="shared" si="47"/>
        <v>#DIV/0!</v>
      </c>
      <c r="AG256" s="43" t="e">
        <f t="shared" si="48"/>
        <v>#DIV/0!</v>
      </c>
      <c r="AH256" s="38">
        <v>45382</v>
      </c>
      <c r="AI256" s="38"/>
      <c r="AJ256" s="38"/>
      <c r="AK256" s="38"/>
      <c r="AL256" s="38"/>
      <c r="AM256" s="48"/>
      <c r="AN256" s="42"/>
      <c r="AO256" s="42"/>
      <c r="AP256" s="42"/>
      <c r="AQ256" s="42"/>
      <c r="AR256" s="42"/>
      <c r="AS256" s="50"/>
      <c r="AT256" s="39"/>
      <c r="AU256" s="39"/>
      <c r="AV256" s="49"/>
      <c r="AW256" s="39"/>
      <c r="AX256" s="39">
        <v>10</v>
      </c>
      <c r="AY256" s="30">
        <f>(J256*10)/100</f>
        <v>753237.96900000004</v>
      </c>
      <c r="AZ256" s="42" t="s">
        <v>434</v>
      </c>
    </row>
    <row r="257" spans="1:52" ht="48.75" customHeight="1" x14ac:dyDescent="0.25">
      <c r="A257" s="61" t="s">
        <v>1748</v>
      </c>
      <c r="B257" s="62">
        <v>45317</v>
      </c>
      <c r="C257" s="42">
        <v>1688</v>
      </c>
      <c r="D257" s="37" t="s">
        <v>1749</v>
      </c>
      <c r="E257" s="41" t="s">
        <v>1750</v>
      </c>
      <c r="F257" s="38">
        <v>45341</v>
      </c>
      <c r="G257" s="39" t="s">
        <v>1751</v>
      </c>
      <c r="H257" s="42" t="s">
        <v>1752</v>
      </c>
      <c r="I257" s="42" t="s">
        <v>1753</v>
      </c>
      <c r="J257" s="63">
        <v>30678726</v>
      </c>
      <c r="K257" s="43">
        <v>0</v>
      </c>
      <c r="L257" s="56">
        <v>0</v>
      </c>
      <c r="M257" s="56">
        <v>0</v>
      </c>
      <c r="N257" s="44">
        <f t="shared" si="51"/>
        <v>0</v>
      </c>
      <c r="O257" s="45">
        <f t="shared" si="44"/>
        <v>0</v>
      </c>
      <c r="P257" s="43">
        <v>30678726</v>
      </c>
      <c r="Q257" s="45">
        <f t="shared" si="45"/>
        <v>0</v>
      </c>
      <c r="R257" s="43">
        <v>30678726</v>
      </c>
      <c r="S257" s="30">
        <f t="shared" si="50"/>
        <v>30678726</v>
      </c>
      <c r="T257" s="30">
        <f t="shared" si="49"/>
        <v>30678726</v>
      </c>
      <c r="U257" s="30">
        <f>T257/X257</f>
        <v>15.67</v>
      </c>
      <c r="V257" s="43">
        <f>T257/X257</f>
        <v>15.67</v>
      </c>
      <c r="W257" s="43">
        <f t="shared" si="41"/>
        <v>1567</v>
      </c>
      <c r="X257" s="43">
        <f t="shared" si="46"/>
        <v>1957800</v>
      </c>
      <c r="Y257" s="43">
        <v>1957800</v>
      </c>
      <c r="Z257" s="43">
        <v>0</v>
      </c>
      <c r="AA257" s="43">
        <v>0</v>
      </c>
      <c r="AB257" s="43">
        <v>0</v>
      </c>
      <c r="AC257" s="43">
        <f t="shared" si="42"/>
        <v>0</v>
      </c>
      <c r="AD257" s="43">
        <v>0</v>
      </c>
      <c r="AE257" s="43">
        <f t="shared" si="43"/>
        <v>0</v>
      </c>
      <c r="AF257" s="43">
        <f t="shared" si="47"/>
        <v>19578</v>
      </c>
      <c r="AG257" s="43">
        <f t="shared" si="48"/>
        <v>19578</v>
      </c>
      <c r="AH257" s="38">
        <v>45366</v>
      </c>
      <c r="AI257" s="38"/>
      <c r="AJ257" s="38"/>
      <c r="AK257" s="38">
        <v>45397</v>
      </c>
      <c r="AL257" s="38"/>
      <c r="AM257" s="48"/>
      <c r="AN257" s="42"/>
      <c r="AO257" s="42" t="s">
        <v>1754</v>
      </c>
      <c r="AP257" s="42" t="s">
        <v>1754</v>
      </c>
      <c r="AQ257" s="42" t="s">
        <v>1755</v>
      </c>
      <c r="AR257" s="42" t="s">
        <v>82</v>
      </c>
      <c r="AS257" s="50">
        <v>100</v>
      </c>
      <c r="AT257" s="39">
        <v>0</v>
      </c>
      <c r="AU257" s="39" t="s">
        <v>316</v>
      </c>
      <c r="AV257" s="49">
        <v>100</v>
      </c>
      <c r="AW257" s="39" t="s">
        <v>62</v>
      </c>
      <c r="AX257" s="39">
        <v>10</v>
      </c>
      <c r="AY257" s="30">
        <f>(J257*10)/100</f>
        <v>3067872.6</v>
      </c>
      <c r="AZ257" s="42" t="s">
        <v>405</v>
      </c>
    </row>
    <row r="258" spans="1:52" ht="48.75" customHeight="1" x14ac:dyDescent="0.25">
      <c r="A258" s="61" t="s">
        <v>1756</v>
      </c>
      <c r="B258" s="62">
        <v>45317</v>
      </c>
      <c r="C258" s="42">
        <v>1688</v>
      </c>
      <c r="D258" s="37" t="s">
        <v>1757</v>
      </c>
      <c r="E258" s="41" t="s">
        <v>1758</v>
      </c>
      <c r="F258" s="38">
        <v>45341</v>
      </c>
      <c r="G258" s="39" t="s">
        <v>1759</v>
      </c>
      <c r="H258" s="42" t="s">
        <v>1752</v>
      </c>
      <c r="I258" s="42" t="s">
        <v>1500</v>
      </c>
      <c r="J258" s="63">
        <v>48654579.509999998</v>
      </c>
      <c r="K258" s="43">
        <v>0</v>
      </c>
      <c r="L258" s="56">
        <v>0</v>
      </c>
      <c r="M258" s="56">
        <v>0</v>
      </c>
      <c r="N258" s="44">
        <f t="shared" si="51"/>
        <v>0</v>
      </c>
      <c r="O258" s="45">
        <f t="shared" si="44"/>
        <v>0</v>
      </c>
      <c r="P258" s="43">
        <v>48654579.509999998</v>
      </c>
      <c r="Q258" s="45">
        <f t="shared" si="45"/>
        <v>0</v>
      </c>
      <c r="R258" s="43">
        <v>48654579.509999998</v>
      </c>
      <c r="S258" s="30">
        <f t="shared" si="50"/>
        <v>48654579.509999998</v>
      </c>
      <c r="T258" s="30">
        <f t="shared" si="49"/>
        <v>48654579.509999998</v>
      </c>
      <c r="U258" s="30">
        <f>T258/X258</f>
        <v>178.76999999999998</v>
      </c>
      <c r="V258" s="43">
        <f>T258/X258</f>
        <v>178.76999999999998</v>
      </c>
      <c r="W258" s="43">
        <f t="shared" si="41"/>
        <v>1787.6999999999998</v>
      </c>
      <c r="X258" s="43">
        <f t="shared" si="46"/>
        <v>272163</v>
      </c>
      <c r="Y258" s="43">
        <v>272163</v>
      </c>
      <c r="Z258" s="43">
        <v>0</v>
      </c>
      <c r="AA258" s="43">
        <v>0</v>
      </c>
      <c r="AB258" s="43">
        <v>0</v>
      </c>
      <c r="AC258" s="43">
        <f t="shared" si="42"/>
        <v>0</v>
      </c>
      <c r="AD258" s="43">
        <v>0</v>
      </c>
      <c r="AE258" s="43">
        <f t="shared" si="43"/>
        <v>0</v>
      </c>
      <c r="AF258" s="43">
        <f t="shared" si="47"/>
        <v>27216.3</v>
      </c>
      <c r="AG258" s="43">
        <f t="shared" si="48"/>
        <v>27217</v>
      </c>
      <c r="AH258" s="38">
        <v>45383</v>
      </c>
      <c r="AI258" s="38"/>
      <c r="AJ258" s="38"/>
      <c r="AK258" s="38">
        <v>45413</v>
      </c>
      <c r="AL258" s="38"/>
      <c r="AM258" s="48"/>
      <c r="AN258" s="42"/>
      <c r="AO258" s="42" t="s">
        <v>1760</v>
      </c>
      <c r="AP258" s="42" t="s">
        <v>1761</v>
      </c>
      <c r="AQ258" s="42" t="s">
        <v>1762</v>
      </c>
      <c r="AR258" s="42" t="s">
        <v>82</v>
      </c>
      <c r="AS258" s="50">
        <v>100</v>
      </c>
      <c r="AT258" s="39">
        <v>0</v>
      </c>
      <c r="AU258" s="39" t="s">
        <v>316</v>
      </c>
      <c r="AV258" s="49">
        <v>10</v>
      </c>
      <c r="AW258" s="39" t="s">
        <v>62</v>
      </c>
      <c r="AX258" s="39">
        <v>10</v>
      </c>
      <c r="AY258" s="30">
        <f>(J258*10)/100</f>
        <v>4865457.9509999994</v>
      </c>
      <c r="AZ258" s="42" t="s">
        <v>405</v>
      </c>
    </row>
    <row r="259" spans="1:52" ht="48.75" customHeight="1" x14ac:dyDescent="0.25">
      <c r="A259" s="61" t="s">
        <v>1763</v>
      </c>
      <c r="B259" s="62">
        <v>45317</v>
      </c>
      <c r="C259" s="42">
        <v>1688</v>
      </c>
      <c r="D259" s="37" t="s">
        <v>1764</v>
      </c>
      <c r="E259" s="41" t="s">
        <v>1765</v>
      </c>
      <c r="F259" s="38">
        <v>45341</v>
      </c>
      <c r="G259" s="39" t="s">
        <v>1766</v>
      </c>
      <c r="H259" s="42" t="s">
        <v>1752</v>
      </c>
      <c r="I259" s="42" t="s">
        <v>1455</v>
      </c>
      <c r="J259" s="63">
        <v>9668054</v>
      </c>
      <c r="K259" s="43">
        <v>0</v>
      </c>
      <c r="L259" s="56">
        <v>0</v>
      </c>
      <c r="M259" s="56">
        <v>0</v>
      </c>
      <c r="N259" s="44">
        <f t="shared" si="51"/>
        <v>0</v>
      </c>
      <c r="O259" s="45">
        <f t="shared" si="44"/>
        <v>0</v>
      </c>
      <c r="P259" s="43">
        <v>9668054</v>
      </c>
      <c r="Q259" s="45">
        <f t="shared" si="45"/>
        <v>0</v>
      </c>
      <c r="R259" s="43">
        <v>9668054</v>
      </c>
      <c r="S259" s="30">
        <f t="shared" si="50"/>
        <v>9668054</v>
      </c>
      <c r="T259" s="30">
        <f t="shared" si="49"/>
        <v>9668054</v>
      </c>
      <c r="U259" s="30">
        <f>T259/X259</f>
        <v>24.86</v>
      </c>
      <c r="V259" s="43">
        <f>T259/X259</f>
        <v>24.86</v>
      </c>
      <c r="W259" s="43">
        <f t="shared" ref="W259:W322" si="52">V259*AV259</f>
        <v>1243</v>
      </c>
      <c r="X259" s="43">
        <f t="shared" si="46"/>
        <v>388900</v>
      </c>
      <c r="Y259" s="43">
        <v>210000</v>
      </c>
      <c r="Z259" s="43">
        <v>178900</v>
      </c>
      <c r="AA259" s="43">
        <v>0</v>
      </c>
      <c r="AB259" s="43">
        <v>0</v>
      </c>
      <c r="AC259" s="43">
        <f t="shared" si="42"/>
        <v>0</v>
      </c>
      <c r="AD259" s="43">
        <v>0</v>
      </c>
      <c r="AE259" s="43">
        <f t="shared" si="43"/>
        <v>0</v>
      </c>
      <c r="AF259" s="43">
        <f t="shared" si="47"/>
        <v>7778</v>
      </c>
      <c r="AG259" s="43">
        <f t="shared" si="48"/>
        <v>7778</v>
      </c>
      <c r="AH259" s="38">
        <v>45366</v>
      </c>
      <c r="AI259" s="38">
        <v>45504</v>
      </c>
      <c r="AJ259" s="38"/>
      <c r="AK259" s="38">
        <v>45397</v>
      </c>
      <c r="AL259" s="38">
        <v>45536</v>
      </c>
      <c r="AM259" s="48"/>
      <c r="AN259" s="42"/>
      <c r="AO259" s="42" t="s">
        <v>1767</v>
      </c>
      <c r="AP259" s="42" t="s">
        <v>1768</v>
      </c>
      <c r="AQ259" s="42" t="s">
        <v>1769</v>
      </c>
      <c r="AR259" s="42" t="s">
        <v>82</v>
      </c>
      <c r="AS259" s="50">
        <v>100</v>
      </c>
      <c r="AT259" s="39">
        <v>0</v>
      </c>
      <c r="AU259" s="39" t="s">
        <v>316</v>
      </c>
      <c r="AV259" s="49">
        <v>50</v>
      </c>
      <c r="AW259" s="39" t="s">
        <v>221</v>
      </c>
      <c r="AX259" s="39">
        <v>10</v>
      </c>
      <c r="AY259" s="30">
        <f>(J259*10)/100</f>
        <v>966805.4</v>
      </c>
      <c r="AZ259" s="42" t="s">
        <v>405</v>
      </c>
    </row>
    <row r="260" spans="1:52" ht="48.75" customHeight="1" x14ac:dyDescent="0.25">
      <c r="A260" s="61" t="s">
        <v>1770</v>
      </c>
      <c r="B260" s="62">
        <v>45317</v>
      </c>
      <c r="C260" s="42">
        <v>1688</v>
      </c>
      <c r="D260" s="37" t="s">
        <v>1771</v>
      </c>
      <c r="E260" s="41" t="s">
        <v>1772</v>
      </c>
      <c r="F260" s="38">
        <v>45341</v>
      </c>
      <c r="G260" s="39" t="s">
        <v>1773</v>
      </c>
      <c r="H260" s="42" t="s">
        <v>1752</v>
      </c>
      <c r="I260" s="42" t="s">
        <v>1774</v>
      </c>
      <c r="J260" s="63">
        <v>395783.6</v>
      </c>
      <c r="K260" s="43">
        <v>0</v>
      </c>
      <c r="L260" s="56">
        <v>0</v>
      </c>
      <c r="M260" s="56">
        <v>0</v>
      </c>
      <c r="N260" s="44">
        <f t="shared" si="51"/>
        <v>0</v>
      </c>
      <c r="O260" s="45">
        <f t="shared" si="44"/>
        <v>0</v>
      </c>
      <c r="P260" s="43">
        <v>395783.6</v>
      </c>
      <c r="Q260" s="45">
        <f t="shared" si="45"/>
        <v>0</v>
      </c>
      <c r="R260" s="43">
        <v>395783.6</v>
      </c>
      <c r="S260" s="30">
        <f t="shared" si="50"/>
        <v>395783.6</v>
      </c>
      <c r="T260" s="30">
        <f t="shared" si="49"/>
        <v>395783.6</v>
      </c>
      <c r="U260" s="30">
        <f>T260/X260</f>
        <v>28.24</v>
      </c>
      <c r="V260" s="43">
        <f>T260/X260</f>
        <v>28.24</v>
      </c>
      <c r="W260" s="43">
        <f t="shared" si="52"/>
        <v>564.79999999999995</v>
      </c>
      <c r="X260" s="43">
        <f t="shared" si="46"/>
        <v>14015</v>
      </c>
      <c r="Y260" s="43">
        <v>14015</v>
      </c>
      <c r="Z260" s="43">
        <v>0</v>
      </c>
      <c r="AA260" s="43">
        <v>0</v>
      </c>
      <c r="AB260" s="43">
        <v>0</v>
      </c>
      <c r="AC260" s="43">
        <f t="shared" ref="AC260:AC323" si="53">AB260*V260</f>
        <v>0</v>
      </c>
      <c r="AD260" s="43">
        <v>0</v>
      </c>
      <c r="AE260" s="43">
        <f t="shared" ref="AE260:AE323" si="54">AD260*V260</f>
        <v>0</v>
      </c>
      <c r="AF260" s="43">
        <f t="shared" si="47"/>
        <v>700.75</v>
      </c>
      <c r="AG260" s="43">
        <f t="shared" si="48"/>
        <v>701</v>
      </c>
      <c r="AH260" s="38">
        <v>45437</v>
      </c>
      <c r="AI260" s="38"/>
      <c r="AJ260" s="38"/>
      <c r="AK260" s="38">
        <v>45468</v>
      </c>
      <c r="AL260" s="38"/>
      <c r="AM260" s="48"/>
      <c r="AN260" s="42"/>
      <c r="AO260" s="42" t="s">
        <v>1775</v>
      </c>
      <c r="AP260" s="42" t="s">
        <v>1776</v>
      </c>
      <c r="AQ260" s="42" t="s">
        <v>1777</v>
      </c>
      <c r="AR260" s="42" t="s">
        <v>82</v>
      </c>
      <c r="AS260" s="50">
        <v>100</v>
      </c>
      <c r="AT260" s="39">
        <v>0</v>
      </c>
      <c r="AU260" s="39" t="s">
        <v>316</v>
      </c>
      <c r="AV260" s="49">
        <v>20</v>
      </c>
      <c r="AW260" s="39" t="s">
        <v>221</v>
      </c>
      <c r="AX260" s="39">
        <v>10</v>
      </c>
      <c r="AY260" s="30">
        <f>(J260*10)/100</f>
        <v>39578.36</v>
      </c>
      <c r="AZ260" s="42" t="s">
        <v>405</v>
      </c>
    </row>
    <row r="261" spans="1:52" ht="48.75" customHeight="1" x14ac:dyDescent="0.25">
      <c r="A261" s="61" t="s">
        <v>1778</v>
      </c>
      <c r="B261" s="62">
        <v>45317</v>
      </c>
      <c r="C261" s="42">
        <v>1688</v>
      </c>
      <c r="D261" s="37" t="s">
        <v>1779</v>
      </c>
      <c r="E261" s="41" t="s">
        <v>1780</v>
      </c>
      <c r="F261" s="38">
        <v>45341</v>
      </c>
      <c r="G261" s="39" t="s">
        <v>1781</v>
      </c>
      <c r="H261" s="42" t="s">
        <v>1752</v>
      </c>
      <c r="I261" s="42" t="s">
        <v>1491</v>
      </c>
      <c r="J261" s="63">
        <v>58226215.799999997</v>
      </c>
      <c r="K261" s="43">
        <v>0</v>
      </c>
      <c r="L261" s="56">
        <v>0</v>
      </c>
      <c r="M261" s="56">
        <v>0</v>
      </c>
      <c r="N261" s="44">
        <f t="shared" si="51"/>
        <v>0</v>
      </c>
      <c r="O261" s="45">
        <f t="shared" si="44"/>
        <v>0</v>
      </c>
      <c r="P261" s="43">
        <v>58226215.799999997</v>
      </c>
      <c r="Q261" s="45">
        <f t="shared" si="45"/>
        <v>0</v>
      </c>
      <c r="R261" s="43">
        <v>58226215.799999997</v>
      </c>
      <c r="S261" s="30">
        <f t="shared" si="50"/>
        <v>58226215.799999997</v>
      </c>
      <c r="T261" s="30">
        <f t="shared" si="49"/>
        <v>58226215.799999997</v>
      </c>
      <c r="U261" s="30">
        <f>T261/X261</f>
        <v>233.10999999999999</v>
      </c>
      <c r="V261" s="43">
        <f>T261/X261</f>
        <v>233.10999999999999</v>
      </c>
      <c r="W261" s="43">
        <f t="shared" si="52"/>
        <v>2331.1</v>
      </c>
      <c r="X261" s="43">
        <f t="shared" si="46"/>
        <v>249780</v>
      </c>
      <c r="Y261" s="43">
        <v>249780</v>
      </c>
      <c r="Z261" s="43">
        <v>0</v>
      </c>
      <c r="AA261" s="43">
        <v>0</v>
      </c>
      <c r="AB261" s="43">
        <v>0</v>
      </c>
      <c r="AC261" s="43">
        <f t="shared" si="53"/>
        <v>0</v>
      </c>
      <c r="AD261" s="43">
        <v>0</v>
      </c>
      <c r="AE261" s="43">
        <f t="shared" si="54"/>
        <v>0</v>
      </c>
      <c r="AF261" s="43">
        <f t="shared" si="47"/>
        <v>24978</v>
      </c>
      <c r="AG261" s="43">
        <f t="shared" si="48"/>
        <v>24978</v>
      </c>
      <c r="AH261" s="38">
        <v>45621</v>
      </c>
      <c r="AI261" s="38"/>
      <c r="AJ261" s="38"/>
      <c r="AK261" s="38">
        <v>45649</v>
      </c>
      <c r="AL261" s="38"/>
      <c r="AM261" s="48"/>
      <c r="AN261" s="42"/>
      <c r="AO261" s="42" t="s">
        <v>1782</v>
      </c>
      <c r="AP261" s="42" t="s">
        <v>1783</v>
      </c>
      <c r="AQ261" s="42" t="s">
        <v>1784</v>
      </c>
      <c r="AR261" s="42" t="s">
        <v>82</v>
      </c>
      <c r="AS261" s="50">
        <v>100</v>
      </c>
      <c r="AT261" s="39">
        <v>0</v>
      </c>
      <c r="AU261" s="39" t="s">
        <v>316</v>
      </c>
      <c r="AV261" s="49">
        <v>10</v>
      </c>
      <c r="AW261" s="39" t="s">
        <v>62</v>
      </c>
      <c r="AX261" s="39">
        <v>10</v>
      </c>
      <c r="AY261" s="30">
        <f>(J261*10)/100</f>
        <v>5822621.5800000001</v>
      </c>
      <c r="AZ261" s="42" t="s">
        <v>405</v>
      </c>
    </row>
    <row r="262" spans="1:52" ht="48.75" customHeight="1" x14ac:dyDescent="0.25">
      <c r="A262" s="61" t="s">
        <v>1785</v>
      </c>
      <c r="B262" s="62">
        <v>45317</v>
      </c>
      <c r="C262" s="42">
        <v>1688</v>
      </c>
      <c r="D262" s="37" t="s">
        <v>1786</v>
      </c>
      <c r="E262" s="41" t="s">
        <v>1787</v>
      </c>
      <c r="F262" s="38">
        <v>45341</v>
      </c>
      <c r="G262" s="39" t="s">
        <v>1788</v>
      </c>
      <c r="H262" s="42" t="s">
        <v>1752</v>
      </c>
      <c r="I262" s="42" t="s">
        <v>1509</v>
      </c>
      <c r="J262" s="63">
        <v>14520564.800000001</v>
      </c>
      <c r="K262" s="43">
        <v>0</v>
      </c>
      <c r="L262" s="56">
        <v>0</v>
      </c>
      <c r="M262" s="56">
        <v>0</v>
      </c>
      <c r="N262" s="44">
        <f t="shared" si="51"/>
        <v>0</v>
      </c>
      <c r="O262" s="45">
        <f t="shared" si="44"/>
        <v>0</v>
      </c>
      <c r="P262" s="43">
        <v>14520564.800000001</v>
      </c>
      <c r="Q262" s="45">
        <f t="shared" si="45"/>
        <v>0</v>
      </c>
      <c r="R262" s="43">
        <v>14520564.800000001</v>
      </c>
      <c r="S262" s="30">
        <f t="shared" si="50"/>
        <v>14520564.800000001</v>
      </c>
      <c r="T262" s="30">
        <f t="shared" si="49"/>
        <v>14520564.800000001</v>
      </c>
      <c r="U262" s="30">
        <f>T262/X262</f>
        <v>68.39</v>
      </c>
      <c r="V262" s="43">
        <f>T262/X262</f>
        <v>68.39</v>
      </c>
      <c r="W262" s="43">
        <f t="shared" si="52"/>
        <v>1367.8</v>
      </c>
      <c r="X262" s="43">
        <f t="shared" si="46"/>
        <v>212320</v>
      </c>
      <c r="Y262" s="43">
        <v>212320</v>
      </c>
      <c r="Z262" s="43">
        <v>0</v>
      </c>
      <c r="AA262" s="43">
        <v>0</v>
      </c>
      <c r="AB262" s="43">
        <v>0</v>
      </c>
      <c r="AC262" s="43">
        <f t="shared" si="53"/>
        <v>0</v>
      </c>
      <c r="AD262" s="43">
        <v>0</v>
      </c>
      <c r="AE262" s="43">
        <f t="shared" si="54"/>
        <v>0</v>
      </c>
      <c r="AF262" s="43">
        <f t="shared" si="47"/>
        <v>10616</v>
      </c>
      <c r="AG262" s="43">
        <f t="shared" si="48"/>
        <v>10616</v>
      </c>
      <c r="AH262" s="38">
        <v>45366</v>
      </c>
      <c r="AI262" s="38"/>
      <c r="AJ262" s="38"/>
      <c r="AK262" s="38">
        <v>45397</v>
      </c>
      <c r="AL262" s="38"/>
      <c r="AM262" s="48"/>
      <c r="AN262" s="42"/>
      <c r="AO262" s="42" t="s">
        <v>1789</v>
      </c>
      <c r="AP262" s="42" t="s">
        <v>1790</v>
      </c>
      <c r="AQ262" s="42" t="s">
        <v>1791</v>
      </c>
      <c r="AR262" s="42" t="s">
        <v>82</v>
      </c>
      <c r="AS262" s="50">
        <v>100</v>
      </c>
      <c r="AT262" s="39">
        <v>0</v>
      </c>
      <c r="AU262" s="39" t="s">
        <v>316</v>
      </c>
      <c r="AV262" s="49">
        <v>20</v>
      </c>
      <c r="AW262" s="39" t="s">
        <v>62</v>
      </c>
      <c r="AX262" s="39">
        <v>10</v>
      </c>
      <c r="AY262" s="30">
        <f>(J262*10)/100</f>
        <v>1452056.48</v>
      </c>
      <c r="AZ262" s="42" t="s">
        <v>405</v>
      </c>
    </row>
    <row r="263" spans="1:52" ht="48.75" customHeight="1" x14ac:dyDescent="0.25">
      <c r="A263" s="61" t="s">
        <v>1792</v>
      </c>
      <c r="B263" s="62">
        <v>45320</v>
      </c>
      <c r="C263" s="42">
        <v>1688</v>
      </c>
      <c r="D263" s="37"/>
      <c r="E263" s="41" t="s">
        <v>1793</v>
      </c>
      <c r="F263" s="38">
        <v>45343</v>
      </c>
      <c r="G263" s="39" t="s">
        <v>1794</v>
      </c>
      <c r="H263" s="42" t="s">
        <v>1795</v>
      </c>
      <c r="I263" s="42" t="s">
        <v>1796</v>
      </c>
      <c r="J263" s="63">
        <v>15481314</v>
      </c>
      <c r="K263" s="43">
        <v>0</v>
      </c>
      <c r="L263" s="56">
        <v>0</v>
      </c>
      <c r="M263" s="56">
        <v>0</v>
      </c>
      <c r="N263" s="44">
        <f t="shared" si="51"/>
        <v>0</v>
      </c>
      <c r="O263" s="45">
        <f t="shared" si="44"/>
        <v>0</v>
      </c>
      <c r="P263" s="63">
        <v>15481314</v>
      </c>
      <c r="Q263" s="45">
        <f t="shared" si="45"/>
        <v>0</v>
      </c>
      <c r="R263" s="63">
        <v>15481314</v>
      </c>
      <c r="S263" s="30">
        <f t="shared" si="50"/>
        <v>15481314</v>
      </c>
      <c r="T263" s="30">
        <f t="shared" si="49"/>
        <v>15481314</v>
      </c>
      <c r="U263" s="30">
        <f>T263/X263</f>
        <v>15.01</v>
      </c>
      <c r="V263" s="43">
        <f>T263/X263</f>
        <v>15.01</v>
      </c>
      <c r="W263" s="43">
        <f t="shared" si="52"/>
        <v>1501</v>
      </c>
      <c r="X263" s="43">
        <f t="shared" si="46"/>
        <v>1031400</v>
      </c>
      <c r="Y263" s="43">
        <v>200000</v>
      </c>
      <c r="Z263" s="43">
        <v>831400</v>
      </c>
      <c r="AA263" s="43">
        <v>0</v>
      </c>
      <c r="AB263" s="43">
        <v>0</v>
      </c>
      <c r="AC263" s="43">
        <f t="shared" si="53"/>
        <v>0</v>
      </c>
      <c r="AD263" s="43">
        <v>0</v>
      </c>
      <c r="AE263" s="43">
        <f t="shared" si="54"/>
        <v>0</v>
      </c>
      <c r="AF263" s="43">
        <f t="shared" si="47"/>
        <v>10314</v>
      </c>
      <c r="AG263" s="43">
        <f t="shared" si="48"/>
        <v>10314</v>
      </c>
      <c r="AH263" s="38">
        <v>45366</v>
      </c>
      <c r="AI263" s="38">
        <v>45412</v>
      </c>
      <c r="AJ263" s="38"/>
      <c r="AK263" s="38">
        <v>45397</v>
      </c>
      <c r="AL263" s="38">
        <v>45444</v>
      </c>
      <c r="AM263" s="48"/>
      <c r="AN263" s="42"/>
      <c r="AO263" s="42" t="s">
        <v>1797</v>
      </c>
      <c r="AP263" s="42" t="s">
        <v>1798</v>
      </c>
      <c r="AQ263" s="42" t="s">
        <v>1799</v>
      </c>
      <c r="AR263" s="42" t="s">
        <v>82</v>
      </c>
      <c r="AS263" s="50">
        <v>100</v>
      </c>
      <c r="AT263" s="39">
        <v>0</v>
      </c>
      <c r="AU263" s="39" t="s">
        <v>316</v>
      </c>
      <c r="AV263" s="49">
        <v>100</v>
      </c>
      <c r="AW263" s="39" t="s">
        <v>62</v>
      </c>
      <c r="AX263" s="39">
        <v>10</v>
      </c>
      <c r="AY263" s="30">
        <f>(J263*10)/100</f>
        <v>1548131.4</v>
      </c>
      <c r="AZ263" s="42" t="s">
        <v>405</v>
      </c>
    </row>
    <row r="264" spans="1:52" ht="58.5" customHeight="1" x14ac:dyDescent="0.25">
      <c r="A264" s="61" t="s">
        <v>1800</v>
      </c>
      <c r="B264" s="62">
        <v>45320</v>
      </c>
      <c r="C264" s="42" t="s">
        <v>435</v>
      </c>
      <c r="D264" s="37"/>
      <c r="E264" s="41" t="s">
        <v>1801</v>
      </c>
      <c r="F264" s="38">
        <v>45342</v>
      </c>
      <c r="G264" s="39" t="s">
        <v>1802</v>
      </c>
      <c r="H264" s="42" t="s">
        <v>54</v>
      </c>
      <c r="I264" s="42" t="s">
        <v>1803</v>
      </c>
      <c r="J264" s="63">
        <v>71990384.400000006</v>
      </c>
      <c r="K264" s="43">
        <v>0</v>
      </c>
      <c r="L264" s="56">
        <v>0</v>
      </c>
      <c r="M264" s="56">
        <v>0</v>
      </c>
      <c r="N264" s="44">
        <f t="shared" si="51"/>
        <v>0</v>
      </c>
      <c r="O264" s="45">
        <f t="shared" ref="O264:O327" si="55">J264-P264</f>
        <v>0</v>
      </c>
      <c r="P264" s="43">
        <v>71990384.400000006</v>
      </c>
      <c r="Q264" s="45">
        <f t="shared" ref="Q264:Q327" si="56">J264-R264</f>
        <v>0</v>
      </c>
      <c r="R264" s="43">
        <v>71990384.400000006</v>
      </c>
      <c r="S264" s="30">
        <f t="shared" si="50"/>
        <v>71990384.400000006</v>
      </c>
      <c r="T264" s="30">
        <f t="shared" si="49"/>
        <v>71990384.400000006</v>
      </c>
      <c r="U264" s="30">
        <v>387.42</v>
      </c>
      <c r="V264" s="43">
        <f>T264/X264</f>
        <v>387.42</v>
      </c>
      <c r="W264" s="43">
        <f t="shared" si="52"/>
        <v>11622.6</v>
      </c>
      <c r="X264" s="43">
        <f t="shared" ref="X264:X327" si="57">Y264+Z264+AA264</f>
        <v>185820</v>
      </c>
      <c r="Y264" s="43">
        <v>185820</v>
      </c>
      <c r="Z264" s="43">
        <v>0</v>
      </c>
      <c r="AA264" s="43">
        <v>0</v>
      </c>
      <c r="AB264" s="43">
        <v>0</v>
      </c>
      <c r="AC264" s="43">
        <f t="shared" si="53"/>
        <v>0</v>
      </c>
      <c r="AD264" s="43">
        <v>0</v>
      </c>
      <c r="AE264" s="43">
        <f t="shared" si="54"/>
        <v>0</v>
      </c>
      <c r="AF264" s="43">
        <f t="shared" si="47"/>
        <v>6194</v>
      </c>
      <c r="AG264" s="43">
        <f t="shared" si="48"/>
        <v>6194</v>
      </c>
      <c r="AH264" s="38">
        <v>45383</v>
      </c>
      <c r="AI264" s="38"/>
      <c r="AJ264" s="38"/>
      <c r="AK264" s="38">
        <v>45413</v>
      </c>
      <c r="AL264" s="38"/>
      <c r="AM264" s="48"/>
      <c r="AN264" s="42"/>
      <c r="AO264" s="42" t="s">
        <v>1804</v>
      </c>
      <c r="AP264" s="42" t="s">
        <v>1805</v>
      </c>
      <c r="AQ264" s="42" t="s">
        <v>1806</v>
      </c>
      <c r="AR264" s="42" t="s">
        <v>60</v>
      </c>
      <c r="AS264" s="50">
        <v>0</v>
      </c>
      <c r="AT264" s="39">
        <v>100</v>
      </c>
      <c r="AU264" s="39" t="s">
        <v>389</v>
      </c>
      <c r="AV264" s="49">
        <v>30</v>
      </c>
      <c r="AW264" s="39" t="s">
        <v>62</v>
      </c>
      <c r="AX264" s="39">
        <v>10</v>
      </c>
      <c r="AY264" s="30">
        <f>(J264*10)/100</f>
        <v>7199038.4400000004</v>
      </c>
      <c r="AZ264" s="42" t="s">
        <v>405</v>
      </c>
    </row>
    <row r="265" spans="1:52" ht="48.75" customHeight="1" x14ac:dyDescent="0.25">
      <c r="A265" s="61" t="s">
        <v>1807</v>
      </c>
      <c r="B265" s="62">
        <v>45320</v>
      </c>
      <c r="C265" s="42">
        <v>1688</v>
      </c>
      <c r="D265" s="37"/>
      <c r="E265" s="41" t="s">
        <v>1808</v>
      </c>
      <c r="F265" s="38">
        <v>45342</v>
      </c>
      <c r="G265" s="39" t="s">
        <v>1809</v>
      </c>
      <c r="H265" s="42" t="s">
        <v>1752</v>
      </c>
      <c r="I265" s="42" t="s">
        <v>1494</v>
      </c>
      <c r="J265" s="63">
        <v>14220438.699999999</v>
      </c>
      <c r="K265" s="43">
        <v>0</v>
      </c>
      <c r="L265" s="56">
        <v>0</v>
      </c>
      <c r="M265" s="56">
        <v>0</v>
      </c>
      <c r="N265" s="44">
        <f t="shared" si="51"/>
        <v>0</v>
      </c>
      <c r="O265" s="45">
        <f t="shared" si="55"/>
        <v>0</v>
      </c>
      <c r="P265" s="43">
        <v>14220438.699999999</v>
      </c>
      <c r="Q265" s="45">
        <f t="shared" si="56"/>
        <v>0</v>
      </c>
      <c r="R265" s="43">
        <v>14220438.699999999</v>
      </c>
      <c r="S265" s="30">
        <f t="shared" si="50"/>
        <v>14220438.699999999</v>
      </c>
      <c r="T265" s="30">
        <f t="shared" si="49"/>
        <v>14220438.699999999</v>
      </c>
      <c r="U265" s="30">
        <v>36.79</v>
      </c>
      <c r="V265" s="43">
        <f>T265/X265</f>
        <v>36.79</v>
      </c>
      <c r="W265" s="43">
        <f t="shared" si="52"/>
        <v>735.8</v>
      </c>
      <c r="X265" s="43">
        <f t="shared" si="57"/>
        <v>386530</v>
      </c>
      <c r="Y265" s="43">
        <v>386530</v>
      </c>
      <c r="Z265" s="43">
        <v>0</v>
      </c>
      <c r="AA265" s="43">
        <v>0</v>
      </c>
      <c r="AB265" s="43">
        <v>0</v>
      </c>
      <c r="AC265" s="43">
        <f t="shared" si="53"/>
        <v>0</v>
      </c>
      <c r="AD265" s="43">
        <v>0</v>
      </c>
      <c r="AE265" s="43">
        <f t="shared" si="54"/>
        <v>0</v>
      </c>
      <c r="AF265" s="43">
        <f t="shared" si="47"/>
        <v>19326.5</v>
      </c>
      <c r="AG265" s="43">
        <f t="shared" si="48"/>
        <v>19327</v>
      </c>
      <c r="AH265" s="38">
        <v>45366</v>
      </c>
      <c r="AI265" s="38"/>
      <c r="AJ265" s="38"/>
      <c r="AK265" s="38">
        <v>45397</v>
      </c>
      <c r="AL265" s="38"/>
      <c r="AM265" s="48"/>
      <c r="AN265" s="42"/>
      <c r="AO265" s="42" t="s">
        <v>1810</v>
      </c>
      <c r="AP265" s="42" t="s">
        <v>1811</v>
      </c>
      <c r="AQ265" s="42" t="s">
        <v>1812</v>
      </c>
      <c r="AR265" s="42" t="s">
        <v>82</v>
      </c>
      <c r="AS265" s="50">
        <v>100</v>
      </c>
      <c r="AT265" s="39">
        <v>0</v>
      </c>
      <c r="AU265" s="39" t="s">
        <v>316</v>
      </c>
      <c r="AV265" s="49">
        <v>20</v>
      </c>
      <c r="AW265" s="39" t="s">
        <v>62</v>
      </c>
      <c r="AX265" s="39">
        <v>10</v>
      </c>
      <c r="AY265" s="30">
        <f>(J265*10)/100</f>
        <v>1422043.87</v>
      </c>
      <c r="AZ265" s="42" t="s">
        <v>405</v>
      </c>
    </row>
    <row r="266" spans="1:52" ht="48.75" customHeight="1" x14ac:dyDescent="0.25">
      <c r="A266" s="61" t="s">
        <v>1813</v>
      </c>
      <c r="B266" s="62">
        <v>45320</v>
      </c>
      <c r="C266" s="42" t="s">
        <v>435</v>
      </c>
      <c r="D266" s="39" t="s">
        <v>434</v>
      </c>
      <c r="E266" s="41" t="s">
        <v>1814</v>
      </c>
      <c r="F266" s="39" t="s">
        <v>434</v>
      </c>
      <c r="G266" s="39" t="s">
        <v>434</v>
      </c>
      <c r="H266" s="39" t="s">
        <v>434</v>
      </c>
      <c r="I266" s="42" t="s">
        <v>1815</v>
      </c>
      <c r="J266" s="63">
        <v>1051214.3999999999</v>
      </c>
      <c r="K266" s="43">
        <v>0</v>
      </c>
      <c r="L266" s="56">
        <v>0</v>
      </c>
      <c r="M266" s="56">
        <v>0</v>
      </c>
      <c r="N266" s="44">
        <f t="shared" si="51"/>
        <v>100</v>
      </c>
      <c r="O266" s="45">
        <f t="shared" si="55"/>
        <v>1051214.3999999999</v>
      </c>
      <c r="P266" s="43"/>
      <c r="Q266" s="45">
        <f t="shared" si="56"/>
        <v>1051214.3999999999</v>
      </c>
      <c r="R266" s="43">
        <v>0</v>
      </c>
      <c r="S266" s="30">
        <f t="shared" si="50"/>
        <v>0</v>
      </c>
      <c r="T266" s="30">
        <f t="shared" si="49"/>
        <v>0</v>
      </c>
      <c r="U266" s="30">
        <v>0.37</v>
      </c>
      <c r="V266" s="43">
        <f>T266/X266</f>
        <v>0</v>
      </c>
      <c r="W266" s="43">
        <f t="shared" si="52"/>
        <v>0</v>
      </c>
      <c r="X266" s="43">
        <f t="shared" si="57"/>
        <v>2841120</v>
      </c>
      <c r="Y266" s="43">
        <v>2841120</v>
      </c>
      <c r="Z266" s="43">
        <v>0</v>
      </c>
      <c r="AA266" s="43">
        <v>0</v>
      </c>
      <c r="AB266" s="43"/>
      <c r="AC266" s="43">
        <f t="shared" si="53"/>
        <v>0</v>
      </c>
      <c r="AD266" s="43"/>
      <c r="AE266" s="43">
        <f t="shared" si="54"/>
        <v>0</v>
      </c>
      <c r="AF266" s="43" t="e">
        <f t="shared" si="47"/>
        <v>#DIV/0!</v>
      </c>
      <c r="AG266" s="43" t="e">
        <f t="shared" si="48"/>
        <v>#DIV/0!</v>
      </c>
      <c r="AH266" s="38">
        <v>45366</v>
      </c>
      <c r="AI266" s="38"/>
      <c r="AJ266" s="38"/>
      <c r="AK266" s="38"/>
      <c r="AL266" s="38"/>
      <c r="AM266" s="48"/>
      <c r="AN266" s="42"/>
      <c r="AO266" s="42"/>
      <c r="AP266" s="42"/>
      <c r="AQ266" s="42"/>
      <c r="AR266" s="42"/>
      <c r="AS266" s="50"/>
      <c r="AT266" s="39"/>
      <c r="AU266" s="39"/>
      <c r="AV266" s="49"/>
      <c r="AW266" s="39"/>
      <c r="AX266" s="39">
        <v>10</v>
      </c>
      <c r="AY266" s="30">
        <f>(J266*10)/100</f>
        <v>105121.44</v>
      </c>
      <c r="AZ266" s="42" t="s">
        <v>434</v>
      </c>
    </row>
    <row r="267" spans="1:52" ht="48.75" customHeight="1" x14ac:dyDescent="0.25">
      <c r="A267" s="61" t="s">
        <v>1816</v>
      </c>
      <c r="B267" s="62">
        <v>45320</v>
      </c>
      <c r="C267" s="42" t="s">
        <v>435</v>
      </c>
      <c r="D267" s="39" t="s">
        <v>434</v>
      </c>
      <c r="E267" s="41" t="s">
        <v>1814</v>
      </c>
      <c r="F267" s="39" t="s">
        <v>434</v>
      </c>
      <c r="G267" s="39" t="s">
        <v>434</v>
      </c>
      <c r="H267" s="39" t="s">
        <v>434</v>
      </c>
      <c r="I267" s="42" t="s">
        <v>1817</v>
      </c>
      <c r="J267" s="63">
        <v>62318490</v>
      </c>
      <c r="K267" s="43">
        <v>0</v>
      </c>
      <c r="L267" s="56">
        <v>0</v>
      </c>
      <c r="M267" s="56">
        <v>0</v>
      </c>
      <c r="N267" s="44">
        <f t="shared" si="51"/>
        <v>100</v>
      </c>
      <c r="O267" s="45">
        <f t="shared" si="55"/>
        <v>62318490</v>
      </c>
      <c r="P267" s="43"/>
      <c r="Q267" s="45">
        <f t="shared" si="56"/>
        <v>62318490</v>
      </c>
      <c r="R267" s="43">
        <v>0</v>
      </c>
      <c r="S267" s="30">
        <f t="shared" si="50"/>
        <v>0</v>
      </c>
      <c r="T267" s="30">
        <f t="shared" si="49"/>
        <v>0</v>
      </c>
      <c r="U267" s="30">
        <v>6.5</v>
      </c>
      <c r="V267" s="43">
        <f>T267/X267</f>
        <v>0</v>
      </c>
      <c r="W267" s="43">
        <f t="shared" si="52"/>
        <v>0</v>
      </c>
      <c r="X267" s="43">
        <f t="shared" si="57"/>
        <v>9587460</v>
      </c>
      <c r="Y267" s="43">
        <v>9587460</v>
      </c>
      <c r="Z267" s="43">
        <v>0</v>
      </c>
      <c r="AA267" s="43">
        <v>0</v>
      </c>
      <c r="AB267" s="43"/>
      <c r="AC267" s="43">
        <f t="shared" si="53"/>
        <v>0</v>
      </c>
      <c r="AD267" s="43"/>
      <c r="AE267" s="43">
        <f t="shared" si="54"/>
        <v>0</v>
      </c>
      <c r="AF267" s="43" t="e">
        <f t="shared" si="47"/>
        <v>#DIV/0!</v>
      </c>
      <c r="AG267" s="43" t="e">
        <f t="shared" si="48"/>
        <v>#DIV/0!</v>
      </c>
      <c r="AH267" s="38">
        <v>45383</v>
      </c>
      <c r="AI267" s="38"/>
      <c r="AJ267" s="38"/>
      <c r="AK267" s="38"/>
      <c r="AL267" s="38"/>
      <c r="AM267" s="48"/>
      <c r="AN267" s="42"/>
      <c r="AO267" s="42"/>
      <c r="AP267" s="42"/>
      <c r="AQ267" s="42"/>
      <c r="AR267" s="42"/>
      <c r="AS267" s="50"/>
      <c r="AT267" s="39"/>
      <c r="AU267" s="39"/>
      <c r="AV267" s="49"/>
      <c r="AW267" s="39"/>
      <c r="AX267" s="39">
        <v>10</v>
      </c>
      <c r="AY267" s="30">
        <f>(J267*10)/100</f>
        <v>6231849</v>
      </c>
      <c r="AZ267" s="42" t="s">
        <v>434</v>
      </c>
    </row>
    <row r="268" spans="1:52" ht="48.75" customHeight="1" x14ac:dyDescent="0.25">
      <c r="A268" s="61" t="s">
        <v>1818</v>
      </c>
      <c r="B268" s="62">
        <v>45320</v>
      </c>
      <c r="C268" s="42">
        <v>1688</v>
      </c>
      <c r="D268" s="37"/>
      <c r="E268" s="41" t="s">
        <v>1819</v>
      </c>
      <c r="F268" s="38">
        <v>45342</v>
      </c>
      <c r="G268" s="39" t="s">
        <v>1820</v>
      </c>
      <c r="H268" s="42" t="s">
        <v>1752</v>
      </c>
      <c r="I268" s="42" t="s">
        <v>1497</v>
      </c>
      <c r="J268" s="63">
        <v>5451924.5</v>
      </c>
      <c r="K268" s="43">
        <v>0</v>
      </c>
      <c r="L268" s="56">
        <v>0</v>
      </c>
      <c r="M268" s="56">
        <v>0</v>
      </c>
      <c r="N268" s="44">
        <f t="shared" si="51"/>
        <v>0</v>
      </c>
      <c r="O268" s="45">
        <f t="shared" si="55"/>
        <v>0</v>
      </c>
      <c r="P268" s="43">
        <v>5451924.5</v>
      </c>
      <c r="Q268" s="45">
        <f t="shared" si="56"/>
        <v>0</v>
      </c>
      <c r="R268" s="43">
        <v>5451924.5</v>
      </c>
      <c r="S268" s="30">
        <f t="shared" si="50"/>
        <v>5451924.5</v>
      </c>
      <c r="T268" s="30">
        <f t="shared" si="49"/>
        <v>5451924.5</v>
      </c>
      <c r="U268" s="30">
        <v>187.03</v>
      </c>
      <c r="V268" s="43">
        <f>T268/X268</f>
        <v>187.03</v>
      </c>
      <c r="W268" s="43">
        <f t="shared" si="52"/>
        <v>1870.3</v>
      </c>
      <c r="X268" s="43">
        <f t="shared" si="57"/>
        <v>29150</v>
      </c>
      <c r="Y268" s="43">
        <v>29150</v>
      </c>
      <c r="Z268" s="43">
        <v>0</v>
      </c>
      <c r="AA268" s="43">
        <v>0</v>
      </c>
      <c r="AB268" s="43">
        <v>0</v>
      </c>
      <c r="AC268" s="43">
        <f t="shared" si="53"/>
        <v>0</v>
      </c>
      <c r="AD268" s="43">
        <v>0</v>
      </c>
      <c r="AE268" s="43">
        <f t="shared" si="54"/>
        <v>0</v>
      </c>
      <c r="AF268" s="43">
        <f t="shared" si="47"/>
        <v>2915</v>
      </c>
      <c r="AG268" s="43">
        <f t="shared" si="48"/>
        <v>2915</v>
      </c>
      <c r="AH268" s="38">
        <v>45621</v>
      </c>
      <c r="AI268" s="38"/>
      <c r="AJ268" s="38"/>
      <c r="AK268" s="38">
        <v>45649</v>
      </c>
      <c r="AL268" s="38"/>
      <c r="AM268" s="48"/>
      <c r="AN268" s="42"/>
      <c r="AO268" s="42" t="s">
        <v>1821</v>
      </c>
      <c r="AP268" s="42" t="s">
        <v>1783</v>
      </c>
      <c r="AQ268" s="42" t="s">
        <v>1822</v>
      </c>
      <c r="AR268" s="42" t="s">
        <v>82</v>
      </c>
      <c r="AS268" s="50">
        <v>100</v>
      </c>
      <c r="AT268" s="39">
        <v>0</v>
      </c>
      <c r="AU268" s="39" t="s">
        <v>316</v>
      </c>
      <c r="AV268" s="49">
        <v>10</v>
      </c>
      <c r="AW268" s="39" t="s">
        <v>221</v>
      </c>
      <c r="AX268" s="39">
        <v>10</v>
      </c>
      <c r="AY268" s="30">
        <f>(J268*10)/100</f>
        <v>545192.44999999995</v>
      </c>
      <c r="AZ268" s="42" t="s">
        <v>405</v>
      </c>
    </row>
    <row r="269" spans="1:52" ht="48.75" customHeight="1" x14ac:dyDescent="0.25">
      <c r="A269" s="61" t="s">
        <v>1823</v>
      </c>
      <c r="B269" s="62">
        <v>45320</v>
      </c>
      <c r="C269" s="42">
        <v>1688</v>
      </c>
      <c r="D269" s="37"/>
      <c r="E269" s="41" t="s">
        <v>1824</v>
      </c>
      <c r="F269" s="38">
        <v>45343</v>
      </c>
      <c r="G269" s="39" t="s">
        <v>1825</v>
      </c>
      <c r="H269" s="42" t="s">
        <v>1826</v>
      </c>
      <c r="I269" s="42" t="s">
        <v>1827</v>
      </c>
      <c r="J269" s="63">
        <v>23115840</v>
      </c>
      <c r="K269" s="43">
        <v>0</v>
      </c>
      <c r="L269" s="56">
        <v>0</v>
      </c>
      <c r="M269" s="56">
        <v>0</v>
      </c>
      <c r="N269" s="44">
        <f t="shared" si="51"/>
        <v>0</v>
      </c>
      <c r="O269" s="45">
        <f t="shared" si="55"/>
        <v>0</v>
      </c>
      <c r="P269" s="63">
        <v>23115840</v>
      </c>
      <c r="Q269" s="45">
        <f t="shared" si="56"/>
        <v>0</v>
      </c>
      <c r="R269" s="63">
        <v>23115840</v>
      </c>
      <c r="S269" s="30">
        <f t="shared" si="50"/>
        <v>23115840</v>
      </c>
      <c r="T269" s="30">
        <f t="shared" si="49"/>
        <v>23115840</v>
      </c>
      <c r="U269" s="30">
        <v>176</v>
      </c>
      <c r="V269" s="43">
        <f>T269/X269</f>
        <v>176</v>
      </c>
      <c r="W269" s="43">
        <f t="shared" si="52"/>
        <v>880</v>
      </c>
      <c r="X269" s="43">
        <f t="shared" si="57"/>
        <v>131340</v>
      </c>
      <c r="Y269" s="43">
        <v>131340</v>
      </c>
      <c r="Z269" s="43">
        <v>0</v>
      </c>
      <c r="AA269" s="43">
        <v>0</v>
      </c>
      <c r="AB269" s="43">
        <v>0</v>
      </c>
      <c r="AC269" s="43">
        <f t="shared" si="53"/>
        <v>0</v>
      </c>
      <c r="AD269" s="43">
        <v>0</v>
      </c>
      <c r="AE269" s="43">
        <f t="shared" si="54"/>
        <v>0</v>
      </c>
      <c r="AF269" s="43">
        <f t="shared" si="47"/>
        <v>26268</v>
      </c>
      <c r="AG269" s="43">
        <f t="shared" si="48"/>
        <v>26268</v>
      </c>
      <c r="AH269" s="38">
        <v>45413</v>
      </c>
      <c r="AI269" s="38"/>
      <c r="AJ269" s="38"/>
      <c r="AK269" s="38">
        <v>45444</v>
      </c>
      <c r="AL269" s="38"/>
      <c r="AM269" s="48"/>
      <c r="AN269" s="42"/>
      <c r="AO269" s="42" t="s">
        <v>1828</v>
      </c>
      <c r="AP269" s="42" t="s">
        <v>1829</v>
      </c>
      <c r="AQ269" s="42" t="s">
        <v>1830</v>
      </c>
      <c r="AR269" s="42" t="s">
        <v>82</v>
      </c>
      <c r="AS269" s="50">
        <v>100</v>
      </c>
      <c r="AT269" s="39">
        <v>0</v>
      </c>
      <c r="AU269" s="39" t="s">
        <v>316</v>
      </c>
      <c r="AV269" s="49">
        <v>5</v>
      </c>
      <c r="AW269" s="39" t="s">
        <v>62</v>
      </c>
      <c r="AX269" s="39">
        <v>10</v>
      </c>
      <c r="AY269" s="30">
        <f>(J269*10)/100</f>
        <v>2311584</v>
      </c>
      <c r="AZ269" s="42" t="s">
        <v>405</v>
      </c>
    </row>
    <row r="270" spans="1:52" ht="48.75" customHeight="1" x14ac:dyDescent="0.25">
      <c r="A270" s="61" t="s">
        <v>1831</v>
      </c>
      <c r="B270" s="62">
        <v>45320</v>
      </c>
      <c r="C270" s="42" t="s">
        <v>435</v>
      </c>
      <c r="D270" s="39" t="s">
        <v>434</v>
      </c>
      <c r="E270" s="41" t="s">
        <v>1832</v>
      </c>
      <c r="F270" s="39" t="s">
        <v>434</v>
      </c>
      <c r="G270" s="39" t="s">
        <v>434</v>
      </c>
      <c r="H270" s="39" t="s">
        <v>434</v>
      </c>
      <c r="I270" s="42" t="s">
        <v>1833</v>
      </c>
      <c r="J270" s="63">
        <v>4590227.4000000004</v>
      </c>
      <c r="K270" s="43">
        <v>0</v>
      </c>
      <c r="L270" s="56">
        <v>0</v>
      </c>
      <c r="M270" s="56">
        <v>0</v>
      </c>
      <c r="N270" s="44">
        <f t="shared" si="51"/>
        <v>100</v>
      </c>
      <c r="O270" s="45">
        <f t="shared" si="55"/>
        <v>4590227.4000000004</v>
      </c>
      <c r="P270" s="43"/>
      <c r="Q270" s="45">
        <f t="shared" si="56"/>
        <v>4590227.4000000004</v>
      </c>
      <c r="R270" s="43">
        <v>0</v>
      </c>
      <c r="S270" s="30">
        <f t="shared" si="50"/>
        <v>0</v>
      </c>
      <c r="T270" s="30">
        <f t="shared" si="49"/>
        <v>0</v>
      </c>
      <c r="U270" s="30">
        <v>45477</v>
      </c>
      <c r="V270" s="43">
        <f>T270/X270</f>
        <v>0</v>
      </c>
      <c r="W270" s="43">
        <f t="shared" si="52"/>
        <v>0</v>
      </c>
      <c r="X270" s="43">
        <f t="shared" si="57"/>
        <v>1127820</v>
      </c>
      <c r="Y270" s="43">
        <v>1127820</v>
      </c>
      <c r="Z270" s="43">
        <v>0</v>
      </c>
      <c r="AA270" s="43">
        <v>0</v>
      </c>
      <c r="AB270" s="43"/>
      <c r="AC270" s="43">
        <f t="shared" si="53"/>
        <v>0</v>
      </c>
      <c r="AD270" s="43"/>
      <c r="AE270" s="43">
        <f t="shared" si="54"/>
        <v>0</v>
      </c>
      <c r="AF270" s="43" t="e">
        <f t="shared" si="47"/>
        <v>#DIV/0!</v>
      </c>
      <c r="AG270" s="43" t="e">
        <f t="shared" si="48"/>
        <v>#DIV/0!</v>
      </c>
      <c r="AH270" s="38">
        <v>45383</v>
      </c>
      <c r="AI270" s="38"/>
      <c r="AJ270" s="38"/>
      <c r="AK270" s="38"/>
      <c r="AL270" s="38"/>
      <c r="AM270" s="48"/>
      <c r="AN270" s="42"/>
      <c r="AO270" s="42"/>
      <c r="AP270" s="42"/>
      <c r="AQ270" s="42"/>
      <c r="AR270" s="42"/>
      <c r="AS270" s="50"/>
      <c r="AT270" s="39"/>
      <c r="AU270" s="39"/>
      <c r="AV270" s="49"/>
      <c r="AW270" s="39"/>
      <c r="AX270" s="39">
        <v>10</v>
      </c>
      <c r="AY270" s="30">
        <f>(J270*10)/100</f>
        <v>459022.74</v>
      </c>
      <c r="AZ270" s="42" t="s">
        <v>434</v>
      </c>
    </row>
    <row r="271" spans="1:52" ht="48.75" customHeight="1" x14ac:dyDescent="0.25">
      <c r="A271" s="61" t="s">
        <v>1834</v>
      </c>
      <c r="B271" s="62">
        <v>45320</v>
      </c>
      <c r="C271" s="42">
        <v>1688</v>
      </c>
      <c r="D271" s="37"/>
      <c r="E271" s="41" t="s">
        <v>1835</v>
      </c>
      <c r="F271" s="38">
        <v>45342</v>
      </c>
      <c r="G271" s="39" t="s">
        <v>1836</v>
      </c>
      <c r="H271" s="42" t="s">
        <v>1752</v>
      </c>
      <c r="I271" s="42" t="s">
        <v>1512</v>
      </c>
      <c r="J271" s="63">
        <v>156002068.31999999</v>
      </c>
      <c r="K271" s="43">
        <v>0</v>
      </c>
      <c r="L271" s="56">
        <v>0</v>
      </c>
      <c r="M271" s="56">
        <v>0</v>
      </c>
      <c r="N271" s="44">
        <f t="shared" si="51"/>
        <v>0</v>
      </c>
      <c r="O271" s="45">
        <f t="shared" si="55"/>
        <v>0</v>
      </c>
      <c r="P271" s="43">
        <v>156002068.31999999</v>
      </c>
      <c r="Q271" s="45">
        <f t="shared" si="56"/>
        <v>0</v>
      </c>
      <c r="R271" s="43">
        <v>156002068.31999999</v>
      </c>
      <c r="S271" s="30">
        <f t="shared" si="50"/>
        <v>156002068.31999999</v>
      </c>
      <c r="T271" s="30">
        <f t="shared" si="49"/>
        <v>156002068.31999999</v>
      </c>
      <c r="U271" s="30" t="s">
        <v>1837</v>
      </c>
      <c r="V271" s="43">
        <f>T271/X271</f>
        <v>39.629999999999995</v>
      </c>
      <c r="W271" s="43">
        <f t="shared" si="52"/>
        <v>792.59999999999991</v>
      </c>
      <c r="X271" s="43">
        <f t="shared" si="57"/>
        <v>3936464</v>
      </c>
      <c r="Y271" s="43">
        <v>3936464</v>
      </c>
      <c r="Z271" s="43">
        <v>0</v>
      </c>
      <c r="AA271" s="43">
        <v>0</v>
      </c>
      <c r="AB271" s="43">
        <v>0</v>
      </c>
      <c r="AC271" s="43">
        <f t="shared" si="53"/>
        <v>0</v>
      </c>
      <c r="AD271" s="43">
        <v>0</v>
      </c>
      <c r="AE271" s="43">
        <f t="shared" si="54"/>
        <v>0</v>
      </c>
      <c r="AF271" s="43">
        <f t="shared" ref="AF271:AF334" si="58">X271/AV271</f>
        <v>196823.2</v>
      </c>
      <c r="AG271" s="43">
        <f t="shared" ref="AG271:AG334" si="59">_xlfn.CEILING.MATH(AF271)</f>
        <v>196824</v>
      </c>
      <c r="AH271" s="38">
        <v>45366</v>
      </c>
      <c r="AI271" s="38"/>
      <c r="AJ271" s="38"/>
      <c r="AK271" s="38">
        <v>45397</v>
      </c>
      <c r="AL271" s="38"/>
      <c r="AM271" s="48"/>
      <c r="AN271" s="42"/>
      <c r="AO271" s="42" t="s">
        <v>1838</v>
      </c>
      <c r="AP271" s="42" t="s">
        <v>1839</v>
      </c>
      <c r="AQ271" s="42" t="s">
        <v>1840</v>
      </c>
      <c r="AR271" s="42" t="s">
        <v>82</v>
      </c>
      <c r="AS271" s="50">
        <v>100</v>
      </c>
      <c r="AT271" s="39">
        <v>0</v>
      </c>
      <c r="AU271" s="39" t="s">
        <v>316</v>
      </c>
      <c r="AV271" s="49">
        <v>20</v>
      </c>
      <c r="AW271" s="39" t="s">
        <v>62</v>
      </c>
      <c r="AX271" s="39">
        <v>10</v>
      </c>
      <c r="AY271" s="30">
        <f>(J271*10)/100</f>
        <v>15600206.831999999</v>
      </c>
      <c r="AZ271" s="42" t="s">
        <v>405</v>
      </c>
    </row>
    <row r="272" spans="1:52" ht="48.75" customHeight="1" x14ac:dyDescent="0.25">
      <c r="A272" s="61" t="s">
        <v>1841</v>
      </c>
      <c r="B272" s="62">
        <v>45320</v>
      </c>
      <c r="C272" s="42" t="s">
        <v>1842</v>
      </c>
      <c r="D272" s="37" t="s">
        <v>1843</v>
      </c>
      <c r="E272" s="41" t="s">
        <v>1844</v>
      </c>
      <c r="F272" s="38">
        <v>45330</v>
      </c>
      <c r="G272" s="39" t="s">
        <v>1845</v>
      </c>
      <c r="H272" s="42" t="s">
        <v>271</v>
      </c>
      <c r="I272" s="42" t="s">
        <v>465</v>
      </c>
      <c r="J272" s="63">
        <v>3756093</v>
      </c>
      <c r="K272" s="43">
        <v>0</v>
      </c>
      <c r="L272" s="56">
        <v>0</v>
      </c>
      <c r="M272" s="56">
        <v>0</v>
      </c>
      <c r="N272" s="44">
        <f t="shared" si="51"/>
        <v>0</v>
      </c>
      <c r="O272" s="45">
        <f t="shared" si="55"/>
        <v>0</v>
      </c>
      <c r="P272" s="43">
        <v>3756093</v>
      </c>
      <c r="Q272" s="45">
        <f t="shared" si="56"/>
        <v>0</v>
      </c>
      <c r="R272" s="43">
        <v>3756093</v>
      </c>
      <c r="S272" s="30">
        <f t="shared" si="50"/>
        <v>3756093</v>
      </c>
      <c r="T272" s="30">
        <f t="shared" si="49"/>
        <v>3756093</v>
      </c>
      <c r="U272" s="30">
        <f>T272/X272</f>
        <v>1455.85</v>
      </c>
      <c r="V272" s="43">
        <f>T272/X272</f>
        <v>1455.85</v>
      </c>
      <c r="W272" s="43">
        <f t="shared" si="52"/>
        <v>43675.5</v>
      </c>
      <c r="X272" s="43">
        <f t="shared" si="57"/>
        <v>2580</v>
      </c>
      <c r="Y272" s="43">
        <v>2580</v>
      </c>
      <c r="Z272" s="43">
        <v>0</v>
      </c>
      <c r="AA272" s="43">
        <v>0</v>
      </c>
      <c r="AB272" s="43">
        <v>0</v>
      </c>
      <c r="AC272" s="43">
        <f t="shared" si="53"/>
        <v>0</v>
      </c>
      <c r="AD272" s="43">
        <v>0</v>
      </c>
      <c r="AE272" s="43">
        <f t="shared" si="54"/>
        <v>0</v>
      </c>
      <c r="AF272" s="43">
        <f t="shared" si="58"/>
        <v>86</v>
      </c>
      <c r="AG272" s="43">
        <f t="shared" si="59"/>
        <v>86</v>
      </c>
      <c r="AH272" s="38">
        <v>45352</v>
      </c>
      <c r="AI272" s="38"/>
      <c r="AJ272" s="38"/>
      <c r="AK272" s="38">
        <v>45383</v>
      </c>
      <c r="AL272" s="38"/>
      <c r="AM272" s="48"/>
      <c r="AN272" s="42"/>
      <c r="AO272" s="42" t="s">
        <v>443</v>
      </c>
      <c r="AP272" s="42" t="s">
        <v>466</v>
      </c>
      <c r="AQ272" s="42" t="s">
        <v>445</v>
      </c>
      <c r="AR272" s="42" t="s">
        <v>295</v>
      </c>
      <c r="AS272" s="50">
        <v>0</v>
      </c>
      <c r="AT272" s="39">
        <v>100</v>
      </c>
      <c r="AU272" s="39" t="s">
        <v>389</v>
      </c>
      <c r="AV272" s="49">
        <v>30</v>
      </c>
      <c r="AW272" s="39" t="s">
        <v>221</v>
      </c>
      <c r="AX272" s="39">
        <v>10</v>
      </c>
      <c r="AY272" s="30">
        <f>(J272*10)/100</f>
        <v>375609.3</v>
      </c>
      <c r="AZ272" s="42" t="s">
        <v>405</v>
      </c>
    </row>
    <row r="273" spans="1:52" ht="43.5" customHeight="1" x14ac:dyDescent="0.25">
      <c r="A273" s="61" t="s">
        <v>1846</v>
      </c>
      <c r="B273" s="62">
        <v>45320</v>
      </c>
      <c r="C273" s="42">
        <v>545</v>
      </c>
      <c r="D273" s="37" t="s">
        <v>434</v>
      </c>
      <c r="E273" s="41" t="s">
        <v>1847</v>
      </c>
      <c r="F273" s="38" t="s">
        <v>434</v>
      </c>
      <c r="G273" s="39" t="s">
        <v>434</v>
      </c>
      <c r="H273" s="42" t="s">
        <v>434</v>
      </c>
      <c r="I273" s="42" t="s">
        <v>1173</v>
      </c>
      <c r="J273" s="63">
        <v>266757529.5</v>
      </c>
      <c r="K273" s="43">
        <v>0</v>
      </c>
      <c r="L273" s="56">
        <v>0</v>
      </c>
      <c r="M273" s="56">
        <v>0</v>
      </c>
      <c r="N273" s="44">
        <f t="shared" si="51"/>
        <v>100</v>
      </c>
      <c r="O273" s="45">
        <f t="shared" si="55"/>
        <v>266757529.5</v>
      </c>
      <c r="P273" s="43"/>
      <c r="Q273" s="45">
        <f t="shared" si="56"/>
        <v>266757529.5</v>
      </c>
      <c r="R273" s="43">
        <v>0</v>
      </c>
      <c r="S273" s="30">
        <f t="shared" si="50"/>
        <v>0</v>
      </c>
      <c r="T273" s="30">
        <f t="shared" si="49"/>
        <v>0</v>
      </c>
      <c r="U273" s="30">
        <v>204411.9</v>
      </c>
      <c r="V273" s="43">
        <f>T273/X273</f>
        <v>0</v>
      </c>
      <c r="W273" s="43">
        <f t="shared" si="52"/>
        <v>0</v>
      </c>
      <c r="X273" s="43">
        <f t="shared" si="57"/>
        <v>1305</v>
      </c>
      <c r="Y273" s="43">
        <v>1305</v>
      </c>
      <c r="Z273" s="43">
        <v>0</v>
      </c>
      <c r="AA273" s="43">
        <v>0</v>
      </c>
      <c r="AB273" s="43"/>
      <c r="AC273" s="43">
        <f t="shared" si="53"/>
        <v>0</v>
      </c>
      <c r="AD273" s="43"/>
      <c r="AE273" s="43">
        <f t="shared" si="54"/>
        <v>0</v>
      </c>
      <c r="AF273" s="43" t="e">
        <f t="shared" si="58"/>
        <v>#DIV/0!</v>
      </c>
      <c r="AG273" s="43" t="e">
        <f t="shared" si="59"/>
        <v>#DIV/0!</v>
      </c>
      <c r="AH273" s="38">
        <v>45366</v>
      </c>
      <c r="AI273" s="38"/>
      <c r="AJ273" s="38"/>
      <c r="AK273" s="38"/>
      <c r="AL273" s="38"/>
      <c r="AM273" s="48"/>
      <c r="AN273" s="42"/>
      <c r="AO273" s="42"/>
      <c r="AP273" s="42"/>
      <c r="AQ273" s="42"/>
      <c r="AR273" s="42"/>
      <c r="AS273" s="50"/>
      <c r="AT273" s="39"/>
      <c r="AU273" s="39"/>
      <c r="AV273" s="49"/>
      <c r="AW273" s="39"/>
      <c r="AX273" s="39">
        <v>10</v>
      </c>
      <c r="AY273" s="30">
        <f>(J273*10)/100</f>
        <v>26675752.949999999</v>
      </c>
      <c r="AZ273" s="42" t="s">
        <v>434</v>
      </c>
    </row>
    <row r="274" spans="1:52" ht="48" customHeight="1" x14ac:dyDescent="0.25">
      <c r="A274" s="61" t="s">
        <v>1848</v>
      </c>
      <c r="B274" s="62">
        <v>45320</v>
      </c>
      <c r="C274" s="42">
        <v>545</v>
      </c>
      <c r="D274" s="39" t="s">
        <v>434</v>
      </c>
      <c r="E274" s="41" t="s">
        <v>1849</v>
      </c>
      <c r="F274" s="39" t="s">
        <v>434</v>
      </c>
      <c r="G274" s="39" t="s">
        <v>434</v>
      </c>
      <c r="H274" s="39" t="s">
        <v>434</v>
      </c>
      <c r="I274" s="42" t="s">
        <v>567</v>
      </c>
      <c r="J274" s="63">
        <v>28479928.800000001</v>
      </c>
      <c r="K274" s="43">
        <v>0</v>
      </c>
      <c r="L274" s="56">
        <v>0</v>
      </c>
      <c r="M274" s="56">
        <v>0</v>
      </c>
      <c r="N274" s="44">
        <f t="shared" si="51"/>
        <v>100</v>
      </c>
      <c r="O274" s="45">
        <f t="shared" si="55"/>
        <v>28479928.800000001</v>
      </c>
      <c r="P274" s="43"/>
      <c r="Q274" s="45">
        <f t="shared" si="56"/>
        <v>28479928.800000001</v>
      </c>
      <c r="R274" s="43">
        <v>0</v>
      </c>
      <c r="S274" s="30">
        <f t="shared" si="50"/>
        <v>0</v>
      </c>
      <c r="T274" s="30">
        <f t="shared" si="49"/>
        <v>0</v>
      </c>
      <c r="U274" s="30">
        <v>5333.32</v>
      </c>
      <c r="V274" s="43">
        <f>T274/X274</f>
        <v>0</v>
      </c>
      <c r="W274" s="43">
        <f t="shared" si="52"/>
        <v>0</v>
      </c>
      <c r="X274" s="43">
        <f t="shared" si="57"/>
        <v>5340</v>
      </c>
      <c r="Y274" s="43">
        <v>5340</v>
      </c>
      <c r="Z274" s="43">
        <v>0</v>
      </c>
      <c r="AA274" s="43">
        <v>0</v>
      </c>
      <c r="AB274" s="43"/>
      <c r="AC274" s="43">
        <f t="shared" si="53"/>
        <v>0</v>
      </c>
      <c r="AD274" s="43"/>
      <c r="AE274" s="43">
        <f t="shared" si="54"/>
        <v>0</v>
      </c>
      <c r="AF274" s="43" t="e">
        <f t="shared" si="58"/>
        <v>#DIV/0!</v>
      </c>
      <c r="AG274" s="43" t="e">
        <f t="shared" si="59"/>
        <v>#DIV/0!</v>
      </c>
      <c r="AH274" s="38">
        <v>45382</v>
      </c>
      <c r="AI274" s="38"/>
      <c r="AJ274" s="38"/>
      <c r="AK274" s="38"/>
      <c r="AL274" s="38"/>
      <c r="AM274" s="48"/>
      <c r="AN274" s="42"/>
      <c r="AO274" s="42"/>
      <c r="AP274" s="42"/>
      <c r="AQ274" s="42"/>
      <c r="AR274" s="42"/>
      <c r="AS274" s="50"/>
      <c r="AT274" s="39"/>
      <c r="AU274" s="39"/>
      <c r="AV274" s="49"/>
      <c r="AW274" s="39"/>
      <c r="AX274" s="39">
        <v>10</v>
      </c>
      <c r="AY274" s="30">
        <f>(J274*10)/100</f>
        <v>2847992.88</v>
      </c>
      <c r="AZ274" s="42" t="s">
        <v>434</v>
      </c>
    </row>
    <row r="275" spans="1:52" ht="48" customHeight="1" x14ac:dyDescent="0.25">
      <c r="A275" s="61" t="s">
        <v>1850</v>
      </c>
      <c r="B275" s="62">
        <v>45322</v>
      </c>
      <c r="C275" s="42">
        <v>1688</v>
      </c>
      <c r="D275" s="39" t="s">
        <v>434</v>
      </c>
      <c r="E275" s="41" t="s">
        <v>1851</v>
      </c>
      <c r="F275" s="39" t="s">
        <v>434</v>
      </c>
      <c r="G275" s="39" t="s">
        <v>434</v>
      </c>
      <c r="H275" s="39" t="s">
        <v>434</v>
      </c>
      <c r="I275" s="64" t="s">
        <v>1852</v>
      </c>
      <c r="J275" s="63">
        <v>27006669.719999999</v>
      </c>
      <c r="K275" s="43">
        <v>0</v>
      </c>
      <c r="L275" s="56">
        <v>0</v>
      </c>
      <c r="M275" s="56">
        <v>0</v>
      </c>
      <c r="N275" s="44">
        <f t="shared" si="51"/>
        <v>100</v>
      </c>
      <c r="O275" s="45">
        <f t="shared" si="55"/>
        <v>27006669.719999999</v>
      </c>
      <c r="P275" s="43"/>
      <c r="Q275" s="45">
        <f t="shared" si="56"/>
        <v>27006669.719999999</v>
      </c>
      <c r="R275" s="43">
        <v>0</v>
      </c>
      <c r="S275" s="30">
        <f t="shared" si="50"/>
        <v>0</v>
      </c>
      <c r="T275" s="30">
        <f t="shared" si="49"/>
        <v>0</v>
      </c>
      <c r="U275" s="30" t="s">
        <v>1853</v>
      </c>
      <c r="V275" s="43">
        <f>T275/X275</f>
        <v>0</v>
      </c>
      <c r="W275" s="43">
        <f t="shared" si="52"/>
        <v>0</v>
      </c>
      <c r="X275" s="43">
        <f t="shared" si="57"/>
        <v>414467</v>
      </c>
      <c r="Y275" s="43">
        <v>414467</v>
      </c>
      <c r="Z275" s="43">
        <v>0</v>
      </c>
      <c r="AA275" s="43">
        <v>0</v>
      </c>
      <c r="AB275" s="43"/>
      <c r="AC275" s="43">
        <f t="shared" si="53"/>
        <v>0</v>
      </c>
      <c r="AD275" s="43"/>
      <c r="AE275" s="43">
        <f t="shared" si="54"/>
        <v>0</v>
      </c>
      <c r="AF275" s="43" t="e">
        <f t="shared" si="58"/>
        <v>#DIV/0!</v>
      </c>
      <c r="AG275" s="43" t="e">
        <f t="shared" si="59"/>
        <v>#DIV/0!</v>
      </c>
      <c r="AH275" s="38">
        <v>45621</v>
      </c>
      <c r="AI275" s="38"/>
      <c r="AJ275" s="38"/>
      <c r="AK275" s="38"/>
      <c r="AL275" s="38"/>
      <c r="AM275" s="48"/>
      <c r="AN275" s="42"/>
      <c r="AO275" s="42"/>
      <c r="AP275" s="42"/>
      <c r="AQ275" s="42"/>
      <c r="AR275" s="42"/>
      <c r="AS275" s="50"/>
      <c r="AT275" s="39"/>
      <c r="AU275" s="39"/>
      <c r="AV275" s="49"/>
      <c r="AW275" s="39"/>
      <c r="AX275" s="39">
        <v>10</v>
      </c>
      <c r="AY275" s="30">
        <f>(J275*10)/100</f>
        <v>2700666.9720000001</v>
      </c>
      <c r="AZ275" s="42" t="s">
        <v>434</v>
      </c>
    </row>
    <row r="276" spans="1:52" ht="48" customHeight="1" x14ac:dyDescent="0.25">
      <c r="A276" s="61" t="s">
        <v>1854</v>
      </c>
      <c r="B276" s="62">
        <v>45322</v>
      </c>
      <c r="C276" s="42">
        <v>1688</v>
      </c>
      <c r="D276" s="39" t="s">
        <v>434</v>
      </c>
      <c r="E276" s="41" t="s">
        <v>1855</v>
      </c>
      <c r="F276" s="39" t="s">
        <v>434</v>
      </c>
      <c r="G276" s="39" t="s">
        <v>434</v>
      </c>
      <c r="H276" s="39" t="s">
        <v>434</v>
      </c>
      <c r="I276" s="64" t="s">
        <v>1856</v>
      </c>
      <c r="J276" s="63">
        <v>182095170.19999999</v>
      </c>
      <c r="K276" s="43">
        <v>0</v>
      </c>
      <c r="L276" s="56">
        <v>0</v>
      </c>
      <c r="M276" s="56">
        <v>0</v>
      </c>
      <c r="N276" s="44">
        <f t="shared" si="51"/>
        <v>100</v>
      </c>
      <c r="O276" s="45">
        <f t="shared" si="55"/>
        <v>182095170.19999999</v>
      </c>
      <c r="P276" s="43"/>
      <c r="Q276" s="45">
        <f t="shared" si="56"/>
        <v>182095170.19999999</v>
      </c>
      <c r="R276" s="43">
        <v>0</v>
      </c>
      <c r="S276" s="30">
        <f t="shared" si="50"/>
        <v>0</v>
      </c>
      <c r="T276" s="30">
        <f t="shared" si="49"/>
        <v>0</v>
      </c>
      <c r="U276" s="30">
        <v>429.49</v>
      </c>
      <c r="V276" s="43">
        <f>T276/X276</f>
        <v>0</v>
      </c>
      <c r="W276" s="43">
        <f t="shared" si="52"/>
        <v>0</v>
      </c>
      <c r="X276" s="43">
        <f t="shared" si="57"/>
        <v>423980</v>
      </c>
      <c r="Y276" s="43">
        <v>423980</v>
      </c>
      <c r="Z276" s="43">
        <v>0</v>
      </c>
      <c r="AA276" s="43">
        <v>0</v>
      </c>
      <c r="AB276" s="43"/>
      <c r="AC276" s="43">
        <f t="shared" si="53"/>
        <v>0</v>
      </c>
      <c r="AD276" s="43"/>
      <c r="AE276" s="43">
        <f t="shared" si="54"/>
        <v>0</v>
      </c>
      <c r="AF276" s="43" t="e">
        <f t="shared" si="58"/>
        <v>#DIV/0!</v>
      </c>
      <c r="AG276" s="43" t="e">
        <f t="shared" si="59"/>
        <v>#DIV/0!</v>
      </c>
      <c r="AH276" s="38">
        <v>45383</v>
      </c>
      <c r="AI276" s="38"/>
      <c r="AJ276" s="38"/>
      <c r="AK276" s="38"/>
      <c r="AL276" s="38"/>
      <c r="AM276" s="48"/>
      <c r="AN276" s="42"/>
      <c r="AO276" s="42"/>
      <c r="AP276" s="42"/>
      <c r="AQ276" s="42"/>
      <c r="AR276" s="42"/>
      <c r="AS276" s="50"/>
      <c r="AT276" s="39"/>
      <c r="AU276" s="39"/>
      <c r="AV276" s="49"/>
      <c r="AW276" s="39"/>
      <c r="AX276" s="39">
        <v>10</v>
      </c>
      <c r="AY276" s="30">
        <f>(J276*10)/100</f>
        <v>18209517.02</v>
      </c>
      <c r="AZ276" s="42" t="s">
        <v>434</v>
      </c>
    </row>
    <row r="277" spans="1:52" ht="48" customHeight="1" x14ac:dyDescent="0.25">
      <c r="A277" s="61" t="s">
        <v>1857</v>
      </c>
      <c r="B277" s="62">
        <v>45322</v>
      </c>
      <c r="C277" s="42">
        <v>1688</v>
      </c>
      <c r="D277" s="39" t="s">
        <v>434</v>
      </c>
      <c r="E277" s="41" t="s">
        <v>1858</v>
      </c>
      <c r="F277" s="39" t="s">
        <v>434</v>
      </c>
      <c r="G277" s="39" t="s">
        <v>434</v>
      </c>
      <c r="H277" s="39" t="s">
        <v>434</v>
      </c>
      <c r="I277" s="64" t="s">
        <v>1859</v>
      </c>
      <c r="J277" s="63">
        <v>1446902272.8</v>
      </c>
      <c r="K277" s="43">
        <v>0</v>
      </c>
      <c r="L277" s="56">
        <v>0</v>
      </c>
      <c r="M277" s="56">
        <v>0</v>
      </c>
      <c r="N277" s="44">
        <f t="shared" si="51"/>
        <v>100</v>
      </c>
      <c r="O277" s="45">
        <f t="shared" si="55"/>
        <v>1446902272.8</v>
      </c>
      <c r="P277" s="43"/>
      <c r="Q277" s="45">
        <f t="shared" si="56"/>
        <v>1446902272.8</v>
      </c>
      <c r="R277" s="43">
        <v>0</v>
      </c>
      <c r="S277" s="30">
        <f t="shared" si="50"/>
        <v>0</v>
      </c>
      <c r="T277" s="30">
        <f t="shared" si="49"/>
        <v>0</v>
      </c>
      <c r="U277" s="30">
        <v>1406.07</v>
      </c>
      <c r="V277" s="43">
        <f>T277/X277</f>
        <v>0</v>
      </c>
      <c r="W277" s="43">
        <f t="shared" si="52"/>
        <v>0</v>
      </c>
      <c r="X277" s="43">
        <f t="shared" si="57"/>
        <v>1029040</v>
      </c>
      <c r="Y277" s="43">
        <v>1029040</v>
      </c>
      <c r="Z277" s="43">
        <v>0</v>
      </c>
      <c r="AA277" s="43">
        <v>0</v>
      </c>
      <c r="AB277" s="43"/>
      <c r="AC277" s="43">
        <f t="shared" si="53"/>
        <v>0</v>
      </c>
      <c r="AD277" s="43"/>
      <c r="AE277" s="43">
        <f t="shared" si="54"/>
        <v>0</v>
      </c>
      <c r="AF277" s="43" t="e">
        <f t="shared" si="58"/>
        <v>#DIV/0!</v>
      </c>
      <c r="AG277" s="43" t="e">
        <f t="shared" si="59"/>
        <v>#DIV/0!</v>
      </c>
      <c r="AH277" s="38">
        <v>45383</v>
      </c>
      <c r="AI277" s="38"/>
      <c r="AJ277" s="38"/>
      <c r="AK277" s="38"/>
      <c r="AL277" s="38"/>
      <c r="AM277" s="48"/>
      <c r="AN277" s="42"/>
      <c r="AO277" s="42"/>
      <c r="AP277" s="42"/>
      <c r="AQ277" s="42"/>
      <c r="AR277" s="42"/>
      <c r="AS277" s="50"/>
      <c r="AT277" s="39"/>
      <c r="AU277" s="39"/>
      <c r="AV277" s="49"/>
      <c r="AW277" s="39"/>
      <c r="AX277" s="39">
        <v>10</v>
      </c>
      <c r="AY277" s="30">
        <f>(J277*10)/100</f>
        <v>144690227.28</v>
      </c>
      <c r="AZ277" s="42" t="s">
        <v>434</v>
      </c>
    </row>
    <row r="278" spans="1:52" ht="48" customHeight="1" x14ac:dyDescent="0.25">
      <c r="A278" s="61" t="s">
        <v>1860</v>
      </c>
      <c r="B278" s="62">
        <v>45322</v>
      </c>
      <c r="C278" s="42">
        <v>1688</v>
      </c>
      <c r="D278" s="39" t="s">
        <v>434</v>
      </c>
      <c r="E278" s="41" t="s">
        <v>1861</v>
      </c>
      <c r="F278" s="39" t="s">
        <v>434</v>
      </c>
      <c r="G278" s="39" t="s">
        <v>434</v>
      </c>
      <c r="H278" s="39" t="s">
        <v>434</v>
      </c>
      <c r="I278" s="36" t="s">
        <v>1862</v>
      </c>
      <c r="J278" s="63">
        <v>3496393.9</v>
      </c>
      <c r="K278" s="43">
        <v>0</v>
      </c>
      <c r="L278" s="56">
        <v>0</v>
      </c>
      <c r="M278" s="56">
        <v>0</v>
      </c>
      <c r="N278" s="44">
        <f t="shared" si="51"/>
        <v>100</v>
      </c>
      <c r="O278" s="45">
        <f t="shared" si="55"/>
        <v>3496393.9</v>
      </c>
      <c r="P278" s="43"/>
      <c r="Q278" s="45">
        <f t="shared" si="56"/>
        <v>3496393.9</v>
      </c>
      <c r="R278" s="43">
        <v>0</v>
      </c>
      <c r="S278" s="30">
        <f t="shared" si="50"/>
        <v>0</v>
      </c>
      <c r="T278" s="30">
        <f t="shared" si="49"/>
        <v>0</v>
      </c>
      <c r="U278" s="30">
        <v>127.1</v>
      </c>
      <c r="V278" s="43">
        <f>T278/X278</f>
        <v>0</v>
      </c>
      <c r="W278" s="43">
        <f t="shared" si="52"/>
        <v>0</v>
      </c>
      <c r="X278" s="43">
        <f t="shared" si="57"/>
        <v>27509</v>
      </c>
      <c r="Y278" s="43">
        <v>27509</v>
      </c>
      <c r="Z278" s="43">
        <v>0</v>
      </c>
      <c r="AA278" s="43">
        <v>0</v>
      </c>
      <c r="AB278" s="43"/>
      <c r="AC278" s="43">
        <f t="shared" si="53"/>
        <v>0</v>
      </c>
      <c r="AD278" s="43"/>
      <c r="AE278" s="43">
        <f t="shared" si="54"/>
        <v>0</v>
      </c>
      <c r="AF278" s="43" t="e">
        <f t="shared" si="58"/>
        <v>#DIV/0!</v>
      </c>
      <c r="AG278" s="43" t="e">
        <f t="shared" si="59"/>
        <v>#DIV/0!</v>
      </c>
      <c r="AH278" s="38">
        <v>45383</v>
      </c>
      <c r="AI278" s="38"/>
      <c r="AJ278" s="38"/>
      <c r="AK278" s="38"/>
      <c r="AL278" s="38"/>
      <c r="AM278" s="48"/>
      <c r="AN278" s="42"/>
      <c r="AO278" s="42"/>
      <c r="AP278" s="42"/>
      <c r="AQ278" s="42"/>
      <c r="AR278" s="42"/>
      <c r="AS278" s="50"/>
      <c r="AT278" s="39"/>
      <c r="AU278" s="39"/>
      <c r="AV278" s="49"/>
      <c r="AW278" s="39"/>
      <c r="AX278" s="39">
        <v>10</v>
      </c>
      <c r="AY278" s="30">
        <f>(J278*10)/100</f>
        <v>349639.39</v>
      </c>
      <c r="AZ278" s="42" t="s">
        <v>434</v>
      </c>
    </row>
    <row r="279" spans="1:52" ht="48" customHeight="1" x14ac:dyDescent="0.25">
      <c r="A279" s="61" t="s">
        <v>1863</v>
      </c>
      <c r="B279" s="62">
        <v>45322</v>
      </c>
      <c r="C279" s="42">
        <v>1688</v>
      </c>
      <c r="D279" s="37"/>
      <c r="E279" s="41" t="s">
        <v>1864</v>
      </c>
      <c r="F279" s="38"/>
      <c r="G279" s="39"/>
      <c r="H279" s="42"/>
      <c r="I279" s="36" t="s">
        <v>1865</v>
      </c>
      <c r="J279" s="63">
        <v>311730449.25</v>
      </c>
      <c r="K279" s="43">
        <v>0</v>
      </c>
      <c r="L279" s="56">
        <v>0</v>
      </c>
      <c r="M279" s="56">
        <v>0</v>
      </c>
      <c r="N279" s="44">
        <f t="shared" si="51"/>
        <v>100</v>
      </c>
      <c r="O279" s="45">
        <f t="shared" si="55"/>
        <v>311730449.25</v>
      </c>
      <c r="P279" s="43"/>
      <c r="Q279" s="45">
        <f t="shared" si="56"/>
        <v>311730449.25</v>
      </c>
      <c r="R279" s="43">
        <v>0</v>
      </c>
      <c r="S279" s="30">
        <f t="shared" si="50"/>
        <v>0</v>
      </c>
      <c r="T279" s="30">
        <f t="shared" si="49"/>
        <v>0</v>
      </c>
      <c r="U279" s="30">
        <v>49.15</v>
      </c>
      <c r="V279" s="43">
        <f>T279/X279</f>
        <v>0</v>
      </c>
      <c r="W279" s="43">
        <f t="shared" si="52"/>
        <v>0</v>
      </c>
      <c r="X279" s="43">
        <f t="shared" si="57"/>
        <v>634695</v>
      </c>
      <c r="Y279" s="43">
        <v>634695</v>
      </c>
      <c r="Z279" s="43">
        <v>0</v>
      </c>
      <c r="AA279" s="43">
        <v>0</v>
      </c>
      <c r="AB279" s="43"/>
      <c r="AC279" s="43">
        <f t="shared" si="53"/>
        <v>0</v>
      </c>
      <c r="AD279" s="43"/>
      <c r="AE279" s="43">
        <f t="shared" si="54"/>
        <v>0</v>
      </c>
      <c r="AF279" s="43" t="e">
        <f t="shared" si="58"/>
        <v>#DIV/0!</v>
      </c>
      <c r="AG279" s="43" t="e">
        <f t="shared" si="59"/>
        <v>#DIV/0!</v>
      </c>
      <c r="AH279" s="38">
        <v>45641</v>
      </c>
      <c r="AI279" s="38"/>
      <c r="AJ279" s="38"/>
      <c r="AK279" s="38"/>
      <c r="AL279" s="38"/>
      <c r="AM279" s="48"/>
      <c r="AN279" s="42"/>
      <c r="AO279" s="42"/>
      <c r="AP279" s="42"/>
      <c r="AQ279" s="42"/>
      <c r="AR279" s="42"/>
      <c r="AS279" s="50"/>
      <c r="AT279" s="39"/>
      <c r="AU279" s="39"/>
      <c r="AV279" s="49"/>
      <c r="AW279" s="39"/>
      <c r="AX279" s="39">
        <v>10</v>
      </c>
      <c r="AY279" s="30">
        <f>(J279*10)/100</f>
        <v>31173044.925000001</v>
      </c>
      <c r="AZ279" s="42"/>
    </row>
    <row r="280" spans="1:52" ht="48" customHeight="1" x14ac:dyDescent="0.25">
      <c r="A280" s="61" t="s">
        <v>1866</v>
      </c>
      <c r="B280" s="62">
        <v>45322</v>
      </c>
      <c r="C280" s="42" t="s">
        <v>435</v>
      </c>
      <c r="D280" s="39" t="s">
        <v>434</v>
      </c>
      <c r="E280" s="41" t="s">
        <v>1867</v>
      </c>
      <c r="F280" s="39" t="s">
        <v>434</v>
      </c>
      <c r="G280" s="39" t="s">
        <v>434</v>
      </c>
      <c r="H280" s="39" t="s">
        <v>434</v>
      </c>
      <c r="I280" s="65" t="s">
        <v>1274</v>
      </c>
      <c r="J280" s="63">
        <v>2935272</v>
      </c>
      <c r="K280" s="43">
        <v>0</v>
      </c>
      <c r="L280" s="56">
        <v>0</v>
      </c>
      <c r="M280" s="56">
        <v>0</v>
      </c>
      <c r="N280" s="44">
        <f t="shared" si="51"/>
        <v>100</v>
      </c>
      <c r="O280" s="45">
        <f t="shared" si="55"/>
        <v>2935272</v>
      </c>
      <c r="P280" s="43"/>
      <c r="Q280" s="45">
        <f t="shared" si="56"/>
        <v>2935272</v>
      </c>
      <c r="R280" s="43">
        <v>0</v>
      </c>
      <c r="S280" s="30">
        <f t="shared" si="50"/>
        <v>0</v>
      </c>
      <c r="T280" s="30">
        <f t="shared" si="50"/>
        <v>0</v>
      </c>
      <c r="U280" s="30">
        <v>64.37</v>
      </c>
      <c r="V280" s="43">
        <f>T280/X280</f>
        <v>0</v>
      </c>
      <c r="W280" s="43">
        <f t="shared" si="52"/>
        <v>0</v>
      </c>
      <c r="X280" s="43">
        <f t="shared" si="57"/>
        <v>45600</v>
      </c>
      <c r="Y280" s="43">
        <v>45600</v>
      </c>
      <c r="Z280" s="43">
        <v>0</v>
      </c>
      <c r="AA280" s="43">
        <v>0</v>
      </c>
      <c r="AB280" s="43"/>
      <c r="AC280" s="43">
        <f t="shared" si="53"/>
        <v>0</v>
      </c>
      <c r="AD280" s="43"/>
      <c r="AE280" s="43">
        <f t="shared" si="54"/>
        <v>0</v>
      </c>
      <c r="AF280" s="43" t="e">
        <f t="shared" si="58"/>
        <v>#DIV/0!</v>
      </c>
      <c r="AG280" s="43" t="e">
        <f t="shared" si="59"/>
        <v>#DIV/0!</v>
      </c>
      <c r="AH280" s="38">
        <v>45505</v>
      </c>
      <c r="AI280" s="38"/>
      <c r="AJ280" s="38"/>
      <c r="AK280" s="38"/>
      <c r="AL280" s="38"/>
      <c r="AM280" s="48"/>
      <c r="AN280" s="42"/>
      <c r="AO280" s="42"/>
      <c r="AP280" s="42"/>
      <c r="AQ280" s="42"/>
      <c r="AR280" s="42"/>
      <c r="AS280" s="50"/>
      <c r="AT280" s="39"/>
      <c r="AU280" s="39"/>
      <c r="AV280" s="49"/>
      <c r="AW280" s="39"/>
      <c r="AX280" s="39">
        <v>10</v>
      </c>
      <c r="AY280" s="30">
        <f>(J280*10)/100</f>
        <v>293527.2</v>
      </c>
      <c r="AZ280" s="42" t="s">
        <v>434</v>
      </c>
    </row>
    <row r="281" spans="1:52" ht="48" customHeight="1" x14ac:dyDescent="0.25">
      <c r="A281" s="61" t="s">
        <v>1868</v>
      </c>
      <c r="B281" s="62">
        <v>45322</v>
      </c>
      <c r="C281" s="42" t="s">
        <v>435</v>
      </c>
      <c r="D281" s="37"/>
      <c r="E281" s="41" t="s">
        <v>1869</v>
      </c>
      <c r="F281" s="38"/>
      <c r="G281" s="39"/>
      <c r="H281" s="42"/>
      <c r="I281" s="64" t="s">
        <v>1870</v>
      </c>
      <c r="J281" s="63">
        <v>2261169228.5999999</v>
      </c>
      <c r="K281" s="43">
        <v>0</v>
      </c>
      <c r="L281" s="56">
        <v>0</v>
      </c>
      <c r="M281" s="56">
        <v>0</v>
      </c>
      <c r="N281" s="44">
        <f t="shared" si="51"/>
        <v>100</v>
      </c>
      <c r="O281" s="45">
        <f t="shared" si="55"/>
        <v>2261169228.5999999</v>
      </c>
      <c r="P281" s="43"/>
      <c r="Q281" s="45">
        <f t="shared" si="56"/>
        <v>2261169228.5999999</v>
      </c>
      <c r="R281" s="43">
        <v>0</v>
      </c>
      <c r="S281" s="30">
        <f t="shared" ref="S281:T343" si="60">R281</f>
        <v>0</v>
      </c>
      <c r="T281" s="30">
        <f t="shared" si="60"/>
        <v>0</v>
      </c>
      <c r="U281" s="30">
        <v>206.94</v>
      </c>
      <c r="V281" s="43">
        <f>T281/X281</f>
        <v>0</v>
      </c>
      <c r="W281" s="43">
        <f t="shared" si="52"/>
        <v>0</v>
      </c>
      <c r="X281" s="43">
        <f t="shared" si="57"/>
        <v>10926690</v>
      </c>
      <c r="Y281" s="43">
        <v>10926690</v>
      </c>
      <c r="Z281" s="43">
        <v>0</v>
      </c>
      <c r="AA281" s="43">
        <v>0</v>
      </c>
      <c r="AB281" s="43"/>
      <c r="AC281" s="43">
        <f t="shared" si="53"/>
        <v>0</v>
      </c>
      <c r="AD281" s="43"/>
      <c r="AE281" s="43">
        <f t="shared" si="54"/>
        <v>0</v>
      </c>
      <c r="AF281" s="43" t="e">
        <f t="shared" si="58"/>
        <v>#DIV/0!</v>
      </c>
      <c r="AG281" s="43" t="e">
        <f t="shared" si="59"/>
        <v>#DIV/0!</v>
      </c>
      <c r="AH281" s="38">
        <v>45383</v>
      </c>
      <c r="AI281" s="38"/>
      <c r="AJ281" s="38"/>
      <c r="AK281" s="38"/>
      <c r="AL281" s="38"/>
      <c r="AM281" s="48"/>
      <c r="AN281" s="42"/>
      <c r="AO281" s="42"/>
      <c r="AP281" s="42"/>
      <c r="AQ281" s="42"/>
      <c r="AR281" s="42"/>
      <c r="AS281" s="50"/>
      <c r="AT281" s="39"/>
      <c r="AU281" s="39"/>
      <c r="AV281" s="49"/>
      <c r="AW281" s="39"/>
      <c r="AX281" s="39">
        <v>10</v>
      </c>
      <c r="AY281" s="30">
        <f>(J281*10)/100</f>
        <v>226116922.86000001</v>
      </c>
      <c r="AZ281" s="42"/>
    </row>
    <row r="282" spans="1:52" ht="48" customHeight="1" x14ac:dyDescent="0.25">
      <c r="A282" s="61" t="s">
        <v>1871</v>
      </c>
      <c r="B282" s="62">
        <v>45322</v>
      </c>
      <c r="C282" s="42">
        <v>545</v>
      </c>
      <c r="D282" s="37"/>
      <c r="E282" s="41" t="s">
        <v>1872</v>
      </c>
      <c r="F282" s="38"/>
      <c r="G282" s="39"/>
      <c r="H282" s="42"/>
      <c r="I282" s="65" t="s">
        <v>410</v>
      </c>
      <c r="J282" s="63">
        <v>19720324.800000001</v>
      </c>
      <c r="K282" s="43">
        <v>0</v>
      </c>
      <c r="L282" s="56">
        <v>0</v>
      </c>
      <c r="M282" s="56">
        <v>0</v>
      </c>
      <c r="N282" s="44">
        <f t="shared" si="51"/>
        <v>100</v>
      </c>
      <c r="O282" s="45">
        <f t="shared" si="55"/>
        <v>19720324.800000001</v>
      </c>
      <c r="P282" s="43"/>
      <c r="Q282" s="45">
        <f t="shared" si="56"/>
        <v>19720324.800000001</v>
      </c>
      <c r="R282" s="43">
        <v>0</v>
      </c>
      <c r="S282" s="30">
        <f t="shared" si="60"/>
        <v>0</v>
      </c>
      <c r="T282" s="30">
        <f t="shared" si="60"/>
        <v>0</v>
      </c>
      <c r="U282" s="30">
        <v>6201.36</v>
      </c>
      <c r="V282" s="43">
        <f>T282/X282</f>
        <v>0</v>
      </c>
      <c r="W282" s="43">
        <f t="shared" si="52"/>
        <v>0</v>
      </c>
      <c r="X282" s="43">
        <f t="shared" si="57"/>
        <v>3180</v>
      </c>
      <c r="Y282" s="43">
        <v>3180</v>
      </c>
      <c r="Z282" s="43">
        <v>0</v>
      </c>
      <c r="AA282" s="43">
        <v>0</v>
      </c>
      <c r="AB282" s="43"/>
      <c r="AC282" s="43">
        <f t="shared" si="53"/>
        <v>0</v>
      </c>
      <c r="AD282" s="43"/>
      <c r="AE282" s="43">
        <f t="shared" si="54"/>
        <v>0</v>
      </c>
      <c r="AF282" s="43" t="e">
        <f t="shared" si="58"/>
        <v>#DIV/0!</v>
      </c>
      <c r="AG282" s="43" t="e">
        <f t="shared" si="59"/>
        <v>#DIV/0!</v>
      </c>
      <c r="AH282" s="38">
        <v>45366</v>
      </c>
      <c r="AI282" s="38"/>
      <c r="AJ282" s="38"/>
      <c r="AK282" s="38"/>
      <c r="AL282" s="38"/>
      <c r="AM282" s="48"/>
      <c r="AN282" s="42"/>
      <c r="AO282" s="42"/>
      <c r="AP282" s="42"/>
      <c r="AQ282" s="42"/>
      <c r="AR282" s="42"/>
      <c r="AS282" s="50"/>
      <c r="AT282" s="39"/>
      <c r="AU282" s="39"/>
      <c r="AV282" s="49"/>
      <c r="AW282" s="39" t="s">
        <v>221</v>
      </c>
      <c r="AX282" s="39">
        <v>10</v>
      </c>
      <c r="AY282" s="30">
        <f>(J282*10)/100</f>
        <v>1972032.48</v>
      </c>
      <c r="AZ282" s="42"/>
    </row>
    <row r="283" spans="1:52" ht="48" customHeight="1" x14ac:dyDescent="0.25">
      <c r="A283" s="61" t="s">
        <v>1873</v>
      </c>
      <c r="B283" s="62">
        <v>45322</v>
      </c>
      <c r="C283" s="42">
        <v>545</v>
      </c>
      <c r="D283" s="37"/>
      <c r="E283" s="41" t="s">
        <v>1874</v>
      </c>
      <c r="F283" s="38"/>
      <c r="G283" s="39"/>
      <c r="H283" s="42"/>
      <c r="I283" s="65" t="s">
        <v>410</v>
      </c>
      <c r="J283" s="63">
        <v>18231998.399999999</v>
      </c>
      <c r="K283" s="43">
        <v>0</v>
      </c>
      <c r="L283" s="56">
        <v>0</v>
      </c>
      <c r="M283" s="56">
        <v>0</v>
      </c>
      <c r="N283" s="44">
        <f t="shared" si="51"/>
        <v>100</v>
      </c>
      <c r="O283" s="45">
        <f t="shared" si="55"/>
        <v>18231998.399999999</v>
      </c>
      <c r="P283" s="43"/>
      <c r="Q283" s="45">
        <f t="shared" si="56"/>
        <v>18231998.399999999</v>
      </c>
      <c r="R283" s="43">
        <v>0</v>
      </c>
      <c r="S283" s="30">
        <f t="shared" si="60"/>
        <v>0</v>
      </c>
      <c r="T283" s="30">
        <f t="shared" si="60"/>
        <v>0</v>
      </c>
      <c r="U283" s="30">
        <v>6201.36</v>
      </c>
      <c r="V283" s="43">
        <f>T283/X283</f>
        <v>0</v>
      </c>
      <c r="W283" s="43">
        <f t="shared" si="52"/>
        <v>0</v>
      </c>
      <c r="X283" s="43">
        <f t="shared" si="57"/>
        <v>2940</v>
      </c>
      <c r="Y283" s="43">
        <v>2940</v>
      </c>
      <c r="Z283" s="43">
        <v>0</v>
      </c>
      <c r="AA283" s="43">
        <v>0</v>
      </c>
      <c r="AB283" s="43"/>
      <c r="AC283" s="43">
        <f t="shared" si="53"/>
        <v>0</v>
      </c>
      <c r="AD283" s="43"/>
      <c r="AE283" s="43">
        <f t="shared" si="54"/>
        <v>0</v>
      </c>
      <c r="AF283" s="43" t="e">
        <f t="shared" si="58"/>
        <v>#DIV/0!</v>
      </c>
      <c r="AG283" s="43" t="e">
        <f t="shared" si="59"/>
        <v>#DIV/0!</v>
      </c>
      <c r="AH283" s="38">
        <v>45366</v>
      </c>
      <c r="AI283" s="38"/>
      <c r="AJ283" s="38"/>
      <c r="AK283" s="38"/>
      <c r="AL283" s="38"/>
      <c r="AM283" s="48"/>
      <c r="AN283" s="42"/>
      <c r="AO283" s="42"/>
      <c r="AP283" s="42"/>
      <c r="AQ283" s="42"/>
      <c r="AR283" s="42"/>
      <c r="AS283" s="50"/>
      <c r="AT283" s="39"/>
      <c r="AU283" s="39"/>
      <c r="AV283" s="49"/>
      <c r="AW283" s="39" t="s">
        <v>221</v>
      </c>
      <c r="AX283" s="39">
        <v>10</v>
      </c>
      <c r="AY283" s="30">
        <f>(J283*10)/100</f>
        <v>1823199.84</v>
      </c>
      <c r="AZ283" s="42"/>
    </row>
    <row r="284" spans="1:52" ht="48" customHeight="1" x14ac:dyDescent="0.25">
      <c r="A284" s="61" t="s">
        <v>1875</v>
      </c>
      <c r="B284" s="62">
        <v>45322</v>
      </c>
      <c r="C284" s="42">
        <v>545</v>
      </c>
      <c r="D284" s="37"/>
      <c r="E284" s="41" t="s">
        <v>1876</v>
      </c>
      <c r="F284" s="38"/>
      <c r="G284" s="39"/>
      <c r="H284" s="42"/>
      <c r="I284" s="65" t="s">
        <v>410</v>
      </c>
      <c r="J284" s="63">
        <v>19720324.800000001</v>
      </c>
      <c r="K284" s="43">
        <v>0</v>
      </c>
      <c r="L284" s="56">
        <v>0</v>
      </c>
      <c r="M284" s="56">
        <v>0</v>
      </c>
      <c r="N284" s="44">
        <f t="shared" si="51"/>
        <v>100</v>
      </c>
      <c r="O284" s="45">
        <f t="shared" si="55"/>
        <v>19720324.800000001</v>
      </c>
      <c r="P284" s="43"/>
      <c r="Q284" s="45">
        <f t="shared" si="56"/>
        <v>19720324.800000001</v>
      </c>
      <c r="R284" s="43">
        <v>0</v>
      </c>
      <c r="S284" s="30">
        <f t="shared" si="60"/>
        <v>0</v>
      </c>
      <c r="T284" s="30">
        <f t="shared" si="60"/>
        <v>0</v>
      </c>
      <c r="U284" s="30">
        <v>6201.36</v>
      </c>
      <c r="V284" s="43">
        <f>T284/X284</f>
        <v>0</v>
      </c>
      <c r="W284" s="43">
        <f t="shared" si="52"/>
        <v>0</v>
      </c>
      <c r="X284" s="43">
        <f t="shared" si="57"/>
        <v>3180</v>
      </c>
      <c r="Y284" s="43">
        <v>3180</v>
      </c>
      <c r="Z284" s="43">
        <v>0</v>
      </c>
      <c r="AA284" s="43">
        <v>0</v>
      </c>
      <c r="AB284" s="43"/>
      <c r="AC284" s="43">
        <f t="shared" si="53"/>
        <v>0</v>
      </c>
      <c r="AD284" s="43"/>
      <c r="AE284" s="43">
        <f t="shared" si="54"/>
        <v>0</v>
      </c>
      <c r="AF284" s="43" t="e">
        <f t="shared" si="58"/>
        <v>#DIV/0!</v>
      </c>
      <c r="AG284" s="43" t="e">
        <f t="shared" si="59"/>
        <v>#DIV/0!</v>
      </c>
      <c r="AH284" s="38">
        <v>45366</v>
      </c>
      <c r="AI284" s="38"/>
      <c r="AJ284" s="38"/>
      <c r="AK284" s="38"/>
      <c r="AL284" s="38"/>
      <c r="AM284" s="48"/>
      <c r="AN284" s="42"/>
      <c r="AO284" s="42"/>
      <c r="AP284" s="42"/>
      <c r="AQ284" s="42"/>
      <c r="AR284" s="42"/>
      <c r="AS284" s="50"/>
      <c r="AT284" s="39"/>
      <c r="AU284" s="39"/>
      <c r="AV284" s="49"/>
      <c r="AW284" s="39" t="s">
        <v>221</v>
      </c>
      <c r="AX284" s="39">
        <v>10</v>
      </c>
      <c r="AY284" s="30">
        <f>(J284*10)/100</f>
        <v>1972032.48</v>
      </c>
      <c r="AZ284" s="42"/>
    </row>
    <row r="285" spans="1:52" ht="48" customHeight="1" x14ac:dyDescent="0.25">
      <c r="A285" s="61" t="s">
        <v>1877</v>
      </c>
      <c r="B285" s="62">
        <v>45322</v>
      </c>
      <c r="C285" s="42">
        <v>545</v>
      </c>
      <c r="D285" s="37"/>
      <c r="E285" s="41" t="s">
        <v>1878</v>
      </c>
      <c r="F285" s="38"/>
      <c r="G285" s="39"/>
      <c r="H285" s="42"/>
      <c r="I285" s="65" t="s">
        <v>410</v>
      </c>
      <c r="J285" s="63">
        <v>19348243.199999999</v>
      </c>
      <c r="K285" s="43">
        <v>0</v>
      </c>
      <c r="L285" s="56">
        <v>0</v>
      </c>
      <c r="M285" s="56">
        <v>0</v>
      </c>
      <c r="N285" s="44">
        <f t="shared" si="51"/>
        <v>100</v>
      </c>
      <c r="O285" s="45">
        <f t="shared" si="55"/>
        <v>19348243.199999999</v>
      </c>
      <c r="P285" s="43"/>
      <c r="Q285" s="45">
        <f t="shared" si="56"/>
        <v>19348243.199999999</v>
      </c>
      <c r="R285" s="43">
        <v>0</v>
      </c>
      <c r="S285" s="30">
        <f t="shared" si="60"/>
        <v>0</v>
      </c>
      <c r="T285" s="30">
        <f t="shared" si="60"/>
        <v>0</v>
      </c>
      <c r="U285" s="30">
        <v>6201.36</v>
      </c>
      <c r="V285" s="43">
        <f>T285/X285</f>
        <v>0</v>
      </c>
      <c r="W285" s="43">
        <f t="shared" si="52"/>
        <v>0</v>
      </c>
      <c r="X285" s="43">
        <f t="shared" si="57"/>
        <v>3120</v>
      </c>
      <c r="Y285" s="43">
        <v>3120</v>
      </c>
      <c r="Z285" s="43">
        <v>0</v>
      </c>
      <c r="AA285" s="43">
        <v>0</v>
      </c>
      <c r="AB285" s="43"/>
      <c r="AC285" s="43">
        <f t="shared" si="53"/>
        <v>0</v>
      </c>
      <c r="AD285" s="43"/>
      <c r="AE285" s="43">
        <f t="shared" si="54"/>
        <v>0</v>
      </c>
      <c r="AF285" s="43" t="e">
        <f t="shared" si="58"/>
        <v>#DIV/0!</v>
      </c>
      <c r="AG285" s="43" t="e">
        <f t="shared" si="59"/>
        <v>#DIV/0!</v>
      </c>
      <c r="AH285" s="38">
        <v>45366</v>
      </c>
      <c r="AI285" s="38"/>
      <c r="AJ285" s="38"/>
      <c r="AK285" s="38"/>
      <c r="AL285" s="38"/>
      <c r="AM285" s="48"/>
      <c r="AN285" s="42"/>
      <c r="AO285" s="42"/>
      <c r="AP285" s="42"/>
      <c r="AQ285" s="42"/>
      <c r="AR285" s="42"/>
      <c r="AS285" s="50"/>
      <c r="AT285" s="39"/>
      <c r="AU285" s="39"/>
      <c r="AV285" s="49"/>
      <c r="AW285" s="39" t="s">
        <v>221</v>
      </c>
      <c r="AX285" s="39">
        <v>10</v>
      </c>
      <c r="AY285" s="30">
        <f>(J285*10)/100</f>
        <v>1934824.32</v>
      </c>
      <c r="AZ285" s="42"/>
    </row>
    <row r="286" spans="1:52" ht="48" customHeight="1" x14ac:dyDescent="0.25">
      <c r="A286" s="61" t="s">
        <v>1879</v>
      </c>
      <c r="B286" s="62">
        <v>45322</v>
      </c>
      <c r="C286" s="42">
        <v>545</v>
      </c>
      <c r="D286" s="37"/>
      <c r="E286" s="41" t="s">
        <v>1880</v>
      </c>
      <c r="F286" s="38"/>
      <c r="G286" s="39"/>
      <c r="H286" s="42"/>
      <c r="I286" s="65" t="s">
        <v>410</v>
      </c>
      <c r="J286" s="63">
        <v>19720324.800000001</v>
      </c>
      <c r="K286" s="43">
        <v>0</v>
      </c>
      <c r="L286" s="56">
        <v>0</v>
      </c>
      <c r="M286" s="56">
        <v>0</v>
      </c>
      <c r="N286" s="44">
        <f t="shared" si="51"/>
        <v>100</v>
      </c>
      <c r="O286" s="45">
        <f t="shared" si="55"/>
        <v>19720324.800000001</v>
      </c>
      <c r="P286" s="43"/>
      <c r="Q286" s="45">
        <f t="shared" si="56"/>
        <v>19720324.800000001</v>
      </c>
      <c r="R286" s="43">
        <v>0</v>
      </c>
      <c r="S286" s="30">
        <f t="shared" si="60"/>
        <v>0</v>
      </c>
      <c r="T286" s="30">
        <f t="shared" si="60"/>
        <v>0</v>
      </c>
      <c r="U286" s="30">
        <v>6201.36</v>
      </c>
      <c r="V286" s="43">
        <f>T286/X286</f>
        <v>0</v>
      </c>
      <c r="W286" s="43">
        <f t="shared" si="52"/>
        <v>0</v>
      </c>
      <c r="X286" s="43">
        <f t="shared" si="57"/>
        <v>3180</v>
      </c>
      <c r="Y286" s="43">
        <v>3180</v>
      </c>
      <c r="Z286" s="43">
        <v>0</v>
      </c>
      <c r="AA286" s="43">
        <v>0</v>
      </c>
      <c r="AB286" s="43"/>
      <c r="AC286" s="43">
        <f t="shared" si="53"/>
        <v>0</v>
      </c>
      <c r="AD286" s="43"/>
      <c r="AE286" s="43">
        <f t="shared" si="54"/>
        <v>0</v>
      </c>
      <c r="AF286" s="43" t="e">
        <f t="shared" si="58"/>
        <v>#DIV/0!</v>
      </c>
      <c r="AG286" s="43" t="e">
        <f t="shared" si="59"/>
        <v>#DIV/0!</v>
      </c>
      <c r="AH286" s="38">
        <v>45366</v>
      </c>
      <c r="AI286" s="38"/>
      <c r="AJ286" s="38"/>
      <c r="AK286" s="38"/>
      <c r="AL286" s="38"/>
      <c r="AM286" s="48"/>
      <c r="AN286" s="42"/>
      <c r="AO286" s="42"/>
      <c r="AP286" s="42"/>
      <c r="AQ286" s="42"/>
      <c r="AR286" s="42"/>
      <c r="AS286" s="50"/>
      <c r="AT286" s="39"/>
      <c r="AU286" s="39"/>
      <c r="AV286" s="49"/>
      <c r="AW286" s="39" t="s">
        <v>221</v>
      </c>
      <c r="AX286" s="39">
        <v>10</v>
      </c>
      <c r="AY286" s="30">
        <f>(J286*10)/100</f>
        <v>1972032.48</v>
      </c>
      <c r="AZ286" s="42"/>
    </row>
    <row r="287" spans="1:52" ht="48" customHeight="1" x14ac:dyDescent="0.25">
      <c r="A287" s="61" t="s">
        <v>1881</v>
      </c>
      <c r="B287" s="62">
        <v>45322</v>
      </c>
      <c r="C287" s="42">
        <v>545</v>
      </c>
      <c r="D287" s="37"/>
      <c r="E287" s="41" t="s">
        <v>1882</v>
      </c>
      <c r="F287" s="38"/>
      <c r="G287" s="39"/>
      <c r="H287" s="42"/>
      <c r="I287" s="65" t="s">
        <v>410</v>
      </c>
      <c r="J287" s="63">
        <v>18604080</v>
      </c>
      <c r="K287" s="43">
        <v>0</v>
      </c>
      <c r="L287" s="56">
        <v>0</v>
      </c>
      <c r="M287" s="56">
        <v>0</v>
      </c>
      <c r="N287" s="44">
        <f t="shared" si="51"/>
        <v>100</v>
      </c>
      <c r="O287" s="45">
        <f t="shared" si="55"/>
        <v>18604080</v>
      </c>
      <c r="P287" s="43"/>
      <c r="Q287" s="45">
        <f t="shared" si="56"/>
        <v>18604080</v>
      </c>
      <c r="R287" s="43">
        <v>0</v>
      </c>
      <c r="S287" s="30">
        <f t="shared" si="60"/>
        <v>0</v>
      </c>
      <c r="T287" s="30">
        <f t="shared" si="60"/>
        <v>0</v>
      </c>
      <c r="U287" s="30">
        <v>6201.36</v>
      </c>
      <c r="V287" s="43">
        <f>T287/X287</f>
        <v>0</v>
      </c>
      <c r="W287" s="43">
        <f t="shared" si="52"/>
        <v>0</v>
      </c>
      <c r="X287" s="43">
        <f t="shared" si="57"/>
        <v>3000</v>
      </c>
      <c r="Y287" s="43">
        <v>3000</v>
      </c>
      <c r="Z287" s="43">
        <v>0</v>
      </c>
      <c r="AA287" s="43">
        <v>0</v>
      </c>
      <c r="AB287" s="43"/>
      <c r="AC287" s="43">
        <f t="shared" si="53"/>
        <v>0</v>
      </c>
      <c r="AD287" s="43"/>
      <c r="AE287" s="43">
        <f t="shared" si="54"/>
        <v>0</v>
      </c>
      <c r="AF287" s="43" t="e">
        <f t="shared" si="58"/>
        <v>#DIV/0!</v>
      </c>
      <c r="AG287" s="43" t="e">
        <f t="shared" si="59"/>
        <v>#DIV/0!</v>
      </c>
      <c r="AH287" s="38">
        <v>45366</v>
      </c>
      <c r="AI287" s="38"/>
      <c r="AJ287" s="38"/>
      <c r="AK287" s="38"/>
      <c r="AL287" s="38"/>
      <c r="AM287" s="48"/>
      <c r="AN287" s="42"/>
      <c r="AO287" s="42"/>
      <c r="AP287" s="42"/>
      <c r="AQ287" s="42"/>
      <c r="AR287" s="42"/>
      <c r="AS287" s="50"/>
      <c r="AT287" s="39"/>
      <c r="AU287" s="39"/>
      <c r="AV287" s="49"/>
      <c r="AW287" s="39" t="s">
        <v>221</v>
      </c>
      <c r="AX287" s="39">
        <v>10</v>
      </c>
      <c r="AY287" s="30">
        <f>(J287*10)/100</f>
        <v>1860408</v>
      </c>
      <c r="AZ287" s="42"/>
    </row>
    <row r="288" spans="1:52" ht="48" customHeight="1" x14ac:dyDescent="0.25">
      <c r="A288" s="61" t="s">
        <v>1883</v>
      </c>
      <c r="B288" s="62">
        <v>45322</v>
      </c>
      <c r="C288" s="42">
        <v>545</v>
      </c>
      <c r="D288" s="37"/>
      <c r="E288" s="41" t="s">
        <v>1884</v>
      </c>
      <c r="F288" s="38"/>
      <c r="G288" s="39"/>
      <c r="H288" s="42"/>
      <c r="I288" s="65" t="s">
        <v>410</v>
      </c>
      <c r="J288" s="63">
        <v>18231998.399999999</v>
      </c>
      <c r="K288" s="43">
        <v>0</v>
      </c>
      <c r="L288" s="56">
        <v>0</v>
      </c>
      <c r="M288" s="56">
        <v>0</v>
      </c>
      <c r="N288" s="44">
        <f t="shared" ref="N288:N351" si="61">((J288-P288)/J288)*100</f>
        <v>100</v>
      </c>
      <c r="O288" s="45">
        <f t="shared" si="55"/>
        <v>18231998.399999999</v>
      </c>
      <c r="P288" s="43"/>
      <c r="Q288" s="45">
        <f t="shared" si="56"/>
        <v>18231998.399999999</v>
      </c>
      <c r="R288" s="43">
        <v>0</v>
      </c>
      <c r="S288" s="30">
        <f t="shared" si="60"/>
        <v>0</v>
      </c>
      <c r="T288" s="30">
        <f t="shared" si="60"/>
        <v>0</v>
      </c>
      <c r="U288" s="30">
        <v>6201.36</v>
      </c>
      <c r="V288" s="43">
        <f>T288/X288</f>
        <v>0</v>
      </c>
      <c r="W288" s="43">
        <f t="shared" si="52"/>
        <v>0</v>
      </c>
      <c r="X288" s="43">
        <f t="shared" si="57"/>
        <v>2940</v>
      </c>
      <c r="Y288" s="43">
        <v>2940</v>
      </c>
      <c r="Z288" s="43">
        <v>0</v>
      </c>
      <c r="AA288" s="43">
        <v>0</v>
      </c>
      <c r="AB288" s="43"/>
      <c r="AC288" s="43">
        <f t="shared" si="53"/>
        <v>0</v>
      </c>
      <c r="AD288" s="43"/>
      <c r="AE288" s="43">
        <f t="shared" si="54"/>
        <v>0</v>
      </c>
      <c r="AF288" s="43" t="e">
        <f t="shared" si="58"/>
        <v>#DIV/0!</v>
      </c>
      <c r="AG288" s="43" t="e">
        <f t="shared" si="59"/>
        <v>#DIV/0!</v>
      </c>
      <c r="AH288" s="38">
        <v>45366</v>
      </c>
      <c r="AI288" s="38"/>
      <c r="AJ288" s="38"/>
      <c r="AK288" s="38"/>
      <c r="AL288" s="38"/>
      <c r="AM288" s="48"/>
      <c r="AN288" s="42"/>
      <c r="AO288" s="42"/>
      <c r="AP288" s="42"/>
      <c r="AQ288" s="42"/>
      <c r="AR288" s="42"/>
      <c r="AS288" s="50"/>
      <c r="AT288" s="39"/>
      <c r="AU288" s="39"/>
      <c r="AV288" s="49"/>
      <c r="AW288" s="39" t="s">
        <v>221</v>
      </c>
      <c r="AX288" s="39">
        <v>10</v>
      </c>
      <c r="AY288" s="30">
        <f>(J288*10)/100</f>
        <v>1823199.84</v>
      </c>
      <c r="AZ288" s="42"/>
    </row>
    <row r="289" spans="1:52" ht="48" customHeight="1" x14ac:dyDescent="0.25">
      <c r="A289" s="61" t="s">
        <v>1885</v>
      </c>
      <c r="B289" s="62">
        <v>45323</v>
      </c>
      <c r="C289" s="42">
        <v>1416</v>
      </c>
      <c r="D289" s="37"/>
      <c r="E289" s="41" t="s">
        <v>1886</v>
      </c>
      <c r="F289" s="38"/>
      <c r="G289" s="39"/>
      <c r="H289" s="42"/>
      <c r="I289" s="64" t="s">
        <v>1887</v>
      </c>
      <c r="J289" s="63">
        <v>491040</v>
      </c>
      <c r="K289" s="43">
        <v>0</v>
      </c>
      <c r="L289" s="56">
        <v>0</v>
      </c>
      <c r="M289" s="56">
        <v>0</v>
      </c>
      <c r="N289" s="44">
        <f t="shared" si="61"/>
        <v>100</v>
      </c>
      <c r="O289" s="45">
        <f t="shared" si="55"/>
        <v>491040</v>
      </c>
      <c r="P289" s="43"/>
      <c r="Q289" s="45">
        <f t="shared" si="56"/>
        <v>491040</v>
      </c>
      <c r="R289" s="43">
        <v>0</v>
      </c>
      <c r="S289" s="30">
        <f t="shared" si="60"/>
        <v>0</v>
      </c>
      <c r="T289" s="30">
        <f t="shared" si="60"/>
        <v>0</v>
      </c>
      <c r="U289" s="30">
        <v>10.56</v>
      </c>
      <c r="V289" s="43">
        <f>T289/X289</f>
        <v>0</v>
      </c>
      <c r="W289" s="43">
        <f t="shared" si="52"/>
        <v>0</v>
      </c>
      <c r="X289" s="43">
        <f t="shared" si="57"/>
        <v>46500</v>
      </c>
      <c r="Y289" s="43">
        <v>46500</v>
      </c>
      <c r="Z289" s="43">
        <v>0</v>
      </c>
      <c r="AA289" s="43">
        <v>0</v>
      </c>
      <c r="AB289" s="43">
        <v>10500</v>
      </c>
      <c r="AC289" s="43">
        <f t="shared" si="53"/>
        <v>0</v>
      </c>
      <c r="AD289" s="43">
        <v>36000</v>
      </c>
      <c r="AE289" s="43">
        <f t="shared" si="54"/>
        <v>0</v>
      </c>
      <c r="AF289" s="43" t="e">
        <f t="shared" si="58"/>
        <v>#DIV/0!</v>
      </c>
      <c r="AG289" s="43" t="e">
        <f t="shared" si="59"/>
        <v>#DIV/0!</v>
      </c>
      <c r="AH289" s="38">
        <v>45366</v>
      </c>
      <c r="AI289" s="38"/>
      <c r="AJ289" s="38"/>
      <c r="AK289" s="38"/>
      <c r="AL289" s="38"/>
      <c r="AM289" s="48"/>
      <c r="AN289" s="42"/>
      <c r="AO289" s="42"/>
      <c r="AP289" s="42"/>
      <c r="AQ289" s="42"/>
      <c r="AR289" s="42"/>
      <c r="AS289" s="50"/>
      <c r="AT289" s="39"/>
      <c r="AU289" s="39"/>
      <c r="AV289" s="49"/>
      <c r="AW289" s="39"/>
      <c r="AX289" s="39">
        <v>10</v>
      </c>
      <c r="AY289" s="30">
        <f>(J289*10)/100</f>
        <v>49104</v>
      </c>
      <c r="AZ289" s="42"/>
    </row>
    <row r="290" spans="1:52" ht="48" customHeight="1" x14ac:dyDescent="0.25">
      <c r="A290" s="61" t="s">
        <v>1888</v>
      </c>
      <c r="B290" s="62">
        <v>45323</v>
      </c>
      <c r="C290" s="42">
        <v>1416</v>
      </c>
      <c r="D290" s="37"/>
      <c r="E290" s="41" t="s">
        <v>1889</v>
      </c>
      <c r="F290" s="38"/>
      <c r="G290" s="39"/>
      <c r="H290" s="42"/>
      <c r="I290" s="64" t="s">
        <v>1890</v>
      </c>
      <c r="J290" s="63">
        <v>94198500</v>
      </c>
      <c r="K290" s="43">
        <v>0</v>
      </c>
      <c r="L290" s="56">
        <v>0</v>
      </c>
      <c r="M290" s="56">
        <v>0</v>
      </c>
      <c r="N290" s="44">
        <f t="shared" si="61"/>
        <v>100</v>
      </c>
      <c r="O290" s="45">
        <f t="shared" si="55"/>
        <v>94198500</v>
      </c>
      <c r="P290" s="43"/>
      <c r="Q290" s="45">
        <f t="shared" si="56"/>
        <v>94198500</v>
      </c>
      <c r="R290" s="43">
        <v>0</v>
      </c>
      <c r="S290" s="30">
        <f t="shared" si="60"/>
        <v>0</v>
      </c>
      <c r="T290" s="30">
        <f t="shared" si="60"/>
        <v>0</v>
      </c>
      <c r="U290" s="30">
        <v>7.26</v>
      </c>
      <c r="V290" s="43">
        <f>T290/X290</f>
        <v>0</v>
      </c>
      <c r="W290" s="43">
        <f t="shared" si="52"/>
        <v>0</v>
      </c>
      <c r="X290" s="43">
        <f t="shared" si="57"/>
        <v>2185800</v>
      </c>
      <c r="Y290" s="43">
        <v>10800</v>
      </c>
      <c r="Z290" s="43">
        <v>2175000</v>
      </c>
      <c r="AA290" s="43">
        <v>0</v>
      </c>
      <c r="AB290" s="43">
        <v>0</v>
      </c>
      <c r="AC290" s="43">
        <f t="shared" si="53"/>
        <v>0</v>
      </c>
      <c r="AD290" s="43">
        <v>12975000</v>
      </c>
      <c r="AE290" s="43">
        <f t="shared" si="54"/>
        <v>0</v>
      </c>
      <c r="AF290" s="43" t="e">
        <f t="shared" si="58"/>
        <v>#DIV/0!</v>
      </c>
      <c r="AG290" s="43" t="e">
        <f t="shared" si="59"/>
        <v>#DIV/0!</v>
      </c>
      <c r="AH290" s="38">
        <v>45366</v>
      </c>
      <c r="AI290" s="38">
        <v>45432</v>
      </c>
      <c r="AJ290" s="38"/>
      <c r="AK290" s="38"/>
      <c r="AL290" s="38"/>
      <c r="AM290" s="48"/>
      <c r="AN290" s="42"/>
      <c r="AO290" s="42"/>
      <c r="AP290" s="42"/>
      <c r="AQ290" s="42"/>
      <c r="AR290" s="42"/>
      <c r="AS290" s="50"/>
      <c r="AT290" s="39"/>
      <c r="AU290" s="39"/>
      <c r="AV290" s="49"/>
      <c r="AW290" s="39"/>
      <c r="AX290" s="39">
        <v>10</v>
      </c>
      <c r="AY290" s="30">
        <f>(J290*10)/100</f>
        <v>9419850</v>
      </c>
      <c r="AZ290" s="42"/>
    </row>
    <row r="291" spans="1:52" ht="48" customHeight="1" x14ac:dyDescent="0.25">
      <c r="A291" s="61" t="s">
        <v>1891</v>
      </c>
      <c r="B291" s="62">
        <v>45323</v>
      </c>
      <c r="C291" s="42" t="s">
        <v>435</v>
      </c>
      <c r="D291" s="37"/>
      <c r="E291" s="41" t="s">
        <v>1892</v>
      </c>
      <c r="F291" s="38"/>
      <c r="G291" s="39"/>
      <c r="H291" s="42"/>
      <c r="I291" s="65" t="s">
        <v>1893</v>
      </c>
      <c r="J291" s="63">
        <v>2453204734.1999998</v>
      </c>
      <c r="K291" s="43">
        <v>0</v>
      </c>
      <c r="L291" s="56">
        <v>0</v>
      </c>
      <c r="M291" s="56">
        <v>0</v>
      </c>
      <c r="N291" s="44">
        <f t="shared" si="61"/>
        <v>100</v>
      </c>
      <c r="O291" s="45">
        <f t="shared" si="55"/>
        <v>2453204734.1999998</v>
      </c>
      <c r="P291" s="43"/>
      <c r="Q291" s="45">
        <f t="shared" si="56"/>
        <v>2453204734.1999998</v>
      </c>
      <c r="R291" s="43">
        <v>0</v>
      </c>
      <c r="S291" s="30">
        <f t="shared" si="60"/>
        <v>0</v>
      </c>
      <c r="T291" s="30">
        <f t="shared" si="60"/>
        <v>0</v>
      </c>
      <c r="U291" s="30">
        <v>183.31</v>
      </c>
      <c r="V291" s="43">
        <f>T291/X291</f>
        <v>0</v>
      </c>
      <c r="W291" s="43">
        <f t="shared" si="52"/>
        <v>0</v>
      </c>
      <c r="X291" s="43">
        <f t="shared" si="57"/>
        <v>13382820</v>
      </c>
      <c r="Y291" s="43">
        <v>13382820</v>
      </c>
      <c r="Z291" s="43">
        <v>0</v>
      </c>
      <c r="AA291" s="43">
        <v>0</v>
      </c>
      <c r="AB291" s="43"/>
      <c r="AC291" s="43">
        <f t="shared" si="53"/>
        <v>0</v>
      </c>
      <c r="AD291" s="43"/>
      <c r="AE291" s="43">
        <f t="shared" si="54"/>
        <v>0</v>
      </c>
      <c r="AF291" s="43" t="e">
        <f t="shared" si="58"/>
        <v>#DIV/0!</v>
      </c>
      <c r="AG291" s="43" t="e">
        <f t="shared" si="59"/>
        <v>#DIV/0!</v>
      </c>
      <c r="AH291" s="38">
        <v>45397</v>
      </c>
      <c r="AI291" s="38"/>
      <c r="AJ291" s="38"/>
      <c r="AK291" s="38"/>
      <c r="AL291" s="38"/>
      <c r="AM291" s="48"/>
      <c r="AN291" s="42"/>
      <c r="AO291" s="42"/>
      <c r="AP291" s="42"/>
      <c r="AQ291" s="42"/>
      <c r="AR291" s="42"/>
      <c r="AS291" s="50"/>
      <c r="AT291" s="39"/>
      <c r="AU291" s="39"/>
      <c r="AV291" s="49"/>
      <c r="AW291" s="39"/>
      <c r="AX291" s="39">
        <v>10</v>
      </c>
      <c r="AY291" s="30">
        <f>(J291*10)/100</f>
        <v>245320473.41999999</v>
      </c>
      <c r="AZ291" s="42"/>
    </row>
    <row r="292" spans="1:52" ht="48" customHeight="1" x14ac:dyDescent="0.25">
      <c r="A292" s="61" t="s">
        <v>1894</v>
      </c>
      <c r="B292" s="62">
        <v>45323</v>
      </c>
      <c r="C292" s="42">
        <v>1416</v>
      </c>
      <c r="D292" s="37"/>
      <c r="E292" s="41" t="s">
        <v>1895</v>
      </c>
      <c r="F292" s="38"/>
      <c r="G292" s="39"/>
      <c r="H292" s="42"/>
      <c r="I292" s="64" t="s">
        <v>1896</v>
      </c>
      <c r="J292" s="63">
        <v>1349562136</v>
      </c>
      <c r="K292" s="43">
        <v>0</v>
      </c>
      <c r="L292" s="56">
        <v>0</v>
      </c>
      <c r="M292" s="56">
        <v>0</v>
      </c>
      <c r="N292" s="44">
        <f t="shared" si="61"/>
        <v>100</v>
      </c>
      <c r="O292" s="45">
        <f t="shared" si="55"/>
        <v>1349562136</v>
      </c>
      <c r="P292" s="43"/>
      <c r="Q292" s="45">
        <f t="shared" si="56"/>
        <v>1349562136</v>
      </c>
      <c r="R292" s="43">
        <v>0</v>
      </c>
      <c r="S292" s="30">
        <f t="shared" si="60"/>
        <v>0</v>
      </c>
      <c r="T292" s="30">
        <f t="shared" si="60"/>
        <v>0</v>
      </c>
      <c r="U292" s="30" t="s">
        <v>1897</v>
      </c>
      <c r="V292" s="43">
        <f>T292/X292</f>
        <v>0</v>
      </c>
      <c r="W292" s="43">
        <f t="shared" si="52"/>
        <v>0</v>
      </c>
      <c r="X292" s="43">
        <f t="shared" si="57"/>
        <v>53279200</v>
      </c>
      <c r="Y292" s="43">
        <v>53279200</v>
      </c>
      <c r="Z292" s="43">
        <v>0</v>
      </c>
      <c r="AA292" s="43">
        <v>0</v>
      </c>
      <c r="AB292" s="43">
        <v>37443200</v>
      </c>
      <c r="AC292" s="43">
        <f t="shared" si="53"/>
        <v>0</v>
      </c>
      <c r="AD292" s="43">
        <v>15836000</v>
      </c>
      <c r="AE292" s="43">
        <f t="shared" si="54"/>
        <v>0</v>
      </c>
      <c r="AF292" s="43" t="e">
        <f t="shared" si="58"/>
        <v>#DIV/0!</v>
      </c>
      <c r="AG292" s="43" t="e">
        <f t="shared" si="59"/>
        <v>#DIV/0!</v>
      </c>
      <c r="AH292" s="38">
        <v>45383</v>
      </c>
      <c r="AI292" s="38"/>
      <c r="AJ292" s="38"/>
      <c r="AK292" s="38"/>
      <c r="AL292" s="38"/>
      <c r="AM292" s="48"/>
      <c r="AN292" s="42"/>
      <c r="AO292" s="42"/>
      <c r="AP292" s="42"/>
      <c r="AQ292" s="42"/>
      <c r="AR292" s="42"/>
      <c r="AS292" s="50"/>
      <c r="AT292" s="39"/>
      <c r="AU292" s="39"/>
      <c r="AV292" s="49"/>
      <c r="AW292" s="39"/>
      <c r="AX292" s="39">
        <v>10</v>
      </c>
      <c r="AY292" s="30">
        <f>(J292*10)/100</f>
        <v>134956213.59999999</v>
      </c>
      <c r="AZ292" s="42"/>
    </row>
    <row r="293" spans="1:52" ht="48" customHeight="1" x14ac:dyDescent="0.25">
      <c r="A293" s="61" t="s">
        <v>1898</v>
      </c>
      <c r="B293" s="62">
        <v>45323</v>
      </c>
      <c r="C293" s="42">
        <v>1416</v>
      </c>
      <c r="D293" s="37" t="s">
        <v>434</v>
      </c>
      <c r="E293" s="41" t="s">
        <v>1899</v>
      </c>
      <c r="F293" s="38" t="s">
        <v>434</v>
      </c>
      <c r="G293" s="39" t="s">
        <v>434</v>
      </c>
      <c r="H293" s="42" t="s">
        <v>434</v>
      </c>
      <c r="I293" s="64" t="s">
        <v>1900</v>
      </c>
      <c r="J293" s="63">
        <v>3107256738.3000002</v>
      </c>
      <c r="K293" s="43">
        <v>0</v>
      </c>
      <c r="L293" s="56">
        <v>0</v>
      </c>
      <c r="M293" s="56">
        <v>0</v>
      </c>
      <c r="N293" s="44">
        <f t="shared" si="61"/>
        <v>100</v>
      </c>
      <c r="O293" s="45">
        <f t="shared" si="55"/>
        <v>3107256738.3000002</v>
      </c>
      <c r="P293" s="43"/>
      <c r="Q293" s="45">
        <f t="shared" si="56"/>
        <v>3107256738.3000002</v>
      </c>
      <c r="R293" s="43">
        <v>0</v>
      </c>
      <c r="S293" s="30">
        <f t="shared" si="60"/>
        <v>0</v>
      </c>
      <c r="T293" s="30">
        <f t="shared" si="60"/>
        <v>0</v>
      </c>
      <c r="U293" s="30">
        <v>63582.09</v>
      </c>
      <c r="V293" s="43">
        <f>T293/X293</f>
        <v>0</v>
      </c>
      <c r="W293" s="43">
        <f t="shared" si="52"/>
        <v>0</v>
      </c>
      <c r="X293" s="43">
        <f t="shared" si="57"/>
        <v>48870</v>
      </c>
      <c r="Y293" s="43">
        <f>9126+1374</f>
        <v>10500</v>
      </c>
      <c r="Z293" s="43">
        <f>33375+4995</f>
        <v>38370</v>
      </c>
      <c r="AA293" s="43">
        <v>0</v>
      </c>
      <c r="AB293" s="43"/>
      <c r="AC293" s="43">
        <f t="shared" si="53"/>
        <v>0</v>
      </c>
      <c r="AD293" s="43"/>
      <c r="AE293" s="43">
        <f t="shared" si="54"/>
        <v>0</v>
      </c>
      <c r="AF293" s="43" t="e">
        <f t="shared" si="58"/>
        <v>#DIV/0!</v>
      </c>
      <c r="AG293" s="43" t="e">
        <f t="shared" si="59"/>
        <v>#DIV/0!</v>
      </c>
      <c r="AH293" s="38">
        <v>45366</v>
      </c>
      <c r="AI293" s="38">
        <v>45443</v>
      </c>
      <c r="AJ293" s="38"/>
      <c r="AK293" s="38"/>
      <c r="AL293" s="38"/>
      <c r="AM293" s="48"/>
      <c r="AN293" s="42"/>
      <c r="AO293" s="42"/>
      <c r="AP293" s="42"/>
      <c r="AQ293" s="42"/>
      <c r="AR293" s="42"/>
      <c r="AS293" s="50"/>
      <c r="AT293" s="39"/>
      <c r="AU293" s="39"/>
      <c r="AV293" s="49"/>
      <c r="AW293" s="39"/>
      <c r="AX293" s="39">
        <v>10</v>
      </c>
      <c r="AY293" s="30">
        <f>(J293*10)/100</f>
        <v>310725673.82999998</v>
      </c>
      <c r="AZ293" s="42" t="s">
        <v>434</v>
      </c>
    </row>
    <row r="294" spans="1:52" ht="48" customHeight="1" x14ac:dyDescent="0.25">
      <c r="A294" s="61" t="s">
        <v>1901</v>
      </c>
      <c r="B294" s="62">
        <v>45323</v>
      </c>
      <c r="C294" s="42">
        <v>545</v>
      </c>
      <c r="D294" s="37"/>
      <c r="E294" s="41" t="s">
        <v>1902</v>
      </c>
      <c r="F294" s="38"/>
      <c r="G294" s="39"/>
      <c r="H294" s="42"/>
      <c r="I294" s="64" t="s">
        <v>1903</v>
      </c>
      <c r="J294" s="63">
        <v>120806571.59999999</v>
      </c>
      <c r="K294" s="43">
        <v>0</v>
      </c>
      <c r="L294" s="56">
        <v>0</v>
      </c>
      <c r="M294" s="56">
        <v>0</v>
      </c>
      <c r="N294" s="44">
        <f t="shared" si="61"/>
        <v>100</v>
      </c>
      <c r="O294" s="45">
        <f t="shared" si="55"/>
        <v>120806571.59999999</v>
      </c>
      <c r="P294" s="43"/>
      <c r="Q294" s="45">
        <f t="shared" si="56"/>
        <v>120806571.59999999</v>
      </c>
      <c r="R294" s="43">
        <v>0</v>
      </c>
      <c r="S294" s="30">
        <f t="shared" si="60"/>
        <v>0</v>
      </c>
      <c r="T294" s="30">
        <f t="shared" si="60"/>
        <v>0</v>
      </c>
      <c r="U294" s="30">
        <v>25813.37</v>
      </c>
      <c r="V294" s="43">
        <f>T294/X294</f>
        <v>0</v>
      </c>
      <c r="W294" s="43">
        <f t="shared" si="52"/>
        <v>0</v>
      </c>
      <c r="X294" s="43">
        <f t="shared" si="57"/>
        <v>4680</v>
      </c>
      <c r="Y294" s="43">
        <v>4680</v>
      </c>
      <c r="Z294" s="43">
        <v>0</v>
      </c>
      <c r="AA294" s="43">
        <v>0</v>
      </c>
      <c r="AB294" s="43"/>
      <c r="AC294" s="43">
        <f t="shared" si="53"/>
        <v>0</v>
      </c>
      <c r="AD294" s="43"/>
      <c r="AE294" s="43">
        <f t="shared" si="54"/>
        <v>0</v>
      </c>
      <c r="AF294" s="43" t="e">
        <f t="shared" si="58"/>
        <v>#DIV/0!</v>
      </c>
      <c r="AG294" s="43" t="e">
        <f t="shared" si="59"/>
        <v>#DIV/0!</v>
      </c>
      <c r="AH294" s="38">
        <v>45366</v>
      </c>
      <c r="AI294" s="38"/>
      <c r="AJ294" s="38"/>
      <c r="AK294" s="38"/>
      <c r="AL294" s="38"/>
      <c r="AM294" s="48"/>
      <c r="AN294" s="42"/>
      <c r="AO294" s="42"/>
      <c r="AP294" s="42"/>
      <c r="AQ294" s="42"/>
      <c r="AR294" s="42"/>
      <c r="AS294" s="50"/>
      <c r="AT294" s="39"/>
      <c r="AU294" s="39"/>
      <c r="AV294" s="49"/>
      <c r="AW294" s="39"/>
      <c r="AX294" s="39">
        <v>10</v>
      </c>
      <c r="AY294" s="30">
        <f>(J294*10)/100</f>
        <v>12080657.16</v>
      </c>
      <c r="AZ294" s="42"/>
    </row>
    <row r="295" spans="1:52" ht="48" customHeight="1" x14ac:dyDescent="0.25">
      <c r="A295" s="61" t="s">
        <v>1904</v>
      </c>
      <c r="B295" s="62">
        <v>45323</v>
      </c>
      <c r="C295" s="42">
        <v>1416</v>
      </c>
      <c r="D295" s="37"/>
      <c r="E295" s="41" t="s">
        <v>1905</v>
      </c>
      <c r="F295" s="38"/>
      <c r="G295" s="39"/>
      <c r="H295" s="42"/>
      <c r="I295" s="64" t="s">
        <v>1890</v>
      </c>
      <c r="J295" s="63">
        <v>116475810</v>
      </c>
      <c r="K295" s="43">
        <v>0</v>
      </c>
      <c r="L295" s="56">
        <v>0</v>
      </c>
      <c r="M295" s="56">
        <v>0</v>
      </c>
      <c r="N295" s="44">
        <f t="shared" si="61"/>
        <v>100</v>
      </c>
      <c r="O295" s="45">
        <f t="shared" si="55"/>
        <v>116475810</v>
      </c>
      <c r="P295" s="43"/>
      <c r="Q295" s="45">
        <f t="shared" si="56"/>
        <v>116475810</v>
      </c>
      <c r="R295" s="43">
        <v>0</v>
      </c>
      <c r="S295" s="30">
        <f t="shared" si="60"/>
        <v>0</v>
      </c>
      <c r="T295" s="30">
        <f t="shared" si="60"/>
        <v>0</v>
      </c>
      <c r="U295" s="30">
        <v>7.26</v>
      </c>
      <c r="V295" s="43">
        <f>T295/X295</f>
        <v>0</v>
      </c>
      <c r="W295" s="43">
        <f t="shared" si="52"/>
        <v>0</v>
      </c>
      <c r="X295" s="43">
        <f t="shared" si="57"/>
        <v>16043500</v>
      </c>
      <c r="Y295" s="43">
        <v>16043500</v>
      </c>
      <c r="Z295" s="43">
        <v>0</v>
      </c>
      <c r="AA295" s="43">
        <v>0</v>
      </c>
      <c r="AB295" s="43">
        <v>16043500</v>
      </c>
      <c r="AC295" s="43">
        <f t="shared" si="53"/>
        <v>0</v>
      </c>
      <c r="AD295" s="43">
        <v>0</v>
      </c>
      <c r="AE295" s="43">
        <f t="shared" si="54"/>
        <v>0</v>
      </c>
      <c r="AF295" s="43" t="e">
        <f t="shared" si="58"/>
        <v>#DIV/0!</v>
      </c>
      <c r="AG295" s="43" t="e">
        <f t="shared" si="59"/>
        <v>#DIV/0!</v>
      </c>
      <c r="AH295" s="38">
        <v>45366</v>
      </c>
      <c r="AI295" s="38"/>
      <c r="AJ295" s="38"/>
      <c r="AK295" s="38"/>
      <c r="AL295" s="38"/>
      <c r="AM295" s="48"/>
      <c r="AN295" s="42"/>
      <c r="AO295" s="42"/>
      <c r="AP295" s="42"/>
      <c r="AQ295" s="42"/>
      <c r="AR295" s="42"/>
      <c r="AS295" s="50"/>
      <c r="AT295" s="39"/>
      <c r="AU295" s="39"/>
      <c r="AV295" s="49"/>
      <c r="AW295" s="39"/>
      <c r="AX295" s="39">
        <v>10</v>
      </c>
      <c r="AY295" s="30">
        <f>(J295*10)/100</f>
        <v>11647581</v>
      </c>
      <c r="AZ295" s="42"/>
    </row>
    <row r="296" spans="1:52" ht="48" customHeight="1" x14ac:dyDescent="0.25">
      <c r="A296" s="61" t="s">
        <v>1906</v>
      </c>
      <c r="B296" s="62">
        <v>45323</v>
      </c>
      <c r="C296" s="42">
        <v>1416</v>
      </c>
      <c r="D296" s="37"/>
      <c r="E296" s="41" t="s">
        <v>1907</v>
      </c>
      <c r="F296" s="38"/>
      <c r="G296" s="39"/>
      <c r="H296" s="42"/>
      <c r="I296" s="64" t="s">
        <v>1908</v>
      </c>
      <c r="J296" s="63">
        <v>18636961.5</v>
      </c>
      <c r="K296" s="43">
        <v>0</v>
      </c>
      <c r="L296" s="56">
        <v>0</v>
      </c>
      <c r="M296" s="56">
        <v>0</v>
      </c>
      <c r="N296" s="44">
        <f t="shared" si="61"/>
        <v>100</v>
      </c>
      <c r="O296" s="45">
        <f t="shared" si="55"/>
        <v>18636961.5</v>
      </c>
      <c r="P296" s="43"/>
      <c r="Q296" s="45">
        <f t="shared" si="56"/>
        <v>18636961.5</v>
      </c>
      <c r="R296" s="43">
        <v>0</v>
      </c>
      <c r="S296" s="30">
        <f t="shared" si="60"/>
        <v>0</v>
      </c>
      <c r="T296" s="30">
        <f t="shared" si="60"/>
        <v>0</v>
      </c>
      <c r="U296" s="30">
        <v>22.71</v>
      </c>
      <c r="V296" s="43">
        <f>T296/X296</f>
        <v>0</v>
      </c>
      <c r="W296" s="43">
        <f t="shared" si="52"/>
        <v>0</v>
      </c>
      <c r="X296" s="43">
        <f t="shared" si="57"/>
        <v>820650</v>
      </c>
      <c r="Y296" s="43">
        <v>820650</v>
      </c>
      <c r="Z296" s="43">
        <v>0</v>
      </c>
      <c r="AA296" s="43">
        <v>0</v>
      </c>
      <c r="AB296" s="43">
        <v>33950</v>
      </c>
      <c r="AC296" s="43">
        <f t="shared" si="53"/>
        <v>0</v>
      </c>
      <c r="AD296" s="43">
        <v>786700</v>
      </c>
      <c r="AE296" s="43">
        <f t="shared" si="54"/>
        <v>0</v>
      </c>
      <c r="AF296" s="43" t="e">
        <f t="shared" si="58"/>
        <v>#DIV/0!</v>
      </c>
      <c r="AG296" s="43" t="e">
        <f t="shared" si="59"/>
        <v>#DIV/0!</v>
      </c>
      <c r="AH296" s="38">
        <v>45366</v>
      </c>
      <c r="AI296" s="38"/>
      <c r="AJ296" s="38"/>
      <c r="AK296" s="38"/>
      <c r="AL296" s="38"/>
      <c r="AM296" s="48"/>
      <c r="AN296" s="42"/>
      <c r="AO296" s="42"/>
      <c r="AP296" s="42"/>
      <c r="AQ296" s="42"/>
      <c r="AR296" s="42"/>
      <c r="AS296" s="50"/>
      <c r="AT296" s="39"/>
      <c r="AU296" s="39"/>
      <c r="AV296" s="49"/>
      <c r="AW296" s="39"/>
      <c r="AX296" s="39">
        <v>10</v>
      </c>
      <c r="AY296" s="30">
        <f>(J296*10)/100</f>
        <v>1863696.15</v>
      </c>
      <c r="AZ296" s="42"/>
    </row>
    <row r="297" spans="1:52" ht="48" customHeight="1" x14ac:dyDescent="0.25">
      <c r="A297" s="61" t="s">
        <v>1909</v>
      </c>
      <c r="B297" s="62">
        <v>45323</v>
      </c>
      <c r="C297" s="42">
        <v>1416</v>
      </c>
      <c r="D297" s="37"/>
      <c r="E297" s="41" t="s">
        <v>1910</v>
      </c>
      <c r="F297" s="38"/>
      <c r="G297" s="39"/>
      <c r="H297" s="42"/>
      <c r="I297" s="64" t="s">
        <v>1911</v>
      </c>
      <c r="J297" s="63">
        <v>63183728.159999996</v>
      </c>
      <c r="K297" s="43">
        <v>0</v>
      </c>
      <c r="L297" s="56">
        <v>0</v>
      </c>
      <c r="M297" s="56">
        <v>0</v>
      </c>
      <c r="N297" s="44">
        <f t="shared" si="61"/>
        <v>100</v>
      </c>
      <c r="O297" s="45">
        <f t="shared" si="55"/>
        <v>63183728.159999996</v>
      </c>
      <c r="P297" s="43"/>
      <c r="Q297" s="45">
        <f t="shared" si="56"/>
        <v>63183728.159999996</v>
      </c>
      <c r="R297" s="43">
        <v>0</v>
      </c>
      <c r="S297" s="30">
        <f t="shared" si="60"/>
        <v>0</v>
      </c>
      <c r="T297" s="30">
        <f t="shared" si="60"/>
        <v>0</v>
      </c>
      <c r="U297" s="30">
        <v>12792.3</v>
      </c>
      <c r="V297" s="43">
        <f>T297/X297</f>
        <v>0</v>
      </c>
      <c r="W297" s="43">
        <f t="shared" si="52"/>
        <v>0</v>
      </c>
      <c r="X297" s="43">
        <f t="shared" si="57"/>
        <v>4939.2</v>
      </c>
      <c r="Y297" s="43">
        <v>4939.2</v>
      </c>
      <c r="Z297" s="43">
        <v>0</v>
      </c>
      <c r="AA297" s="43">
        <v>0</v>
      </c>
      <c r="AB297" s="43">
        <v>3705.6</v>
      </c>
      <c r="AC297" s="43">
        <f t="shared" si="53"/>
        <v>0</v>
      </c>
      <c r="AD297" s="43">
        <v>1233.5999999999999</v>
      </c>
      <c r="AE297" s="43">
        <f t="shared" si="54"/>
        <v>0</v>
      </c>
      <c r="AF297" s="43" t="e">
        <f t="shared" si="58"/>
        <v>#DIV/0!</v>
      </c>
      <c r="AG297" s="43" t="e">
        <f t="shared" si="59"/>
        <v>#DIV/0!</v>
      </c>
      <c r="AH297" s="38">
        <v>45427</v>
      </c>
      <c r="AI297" s="38"/>
      <c r="AJ297" s="38"/>
      <c r="AK297" s="38"/>
      <c r="AL297" s="38"/>
      <c r="AM297" s="48"/>
      <c r="AN297" s="42"/>
      <c r="AO297" s="42"/>
      <c r="AP297" s="42"/>
      <c r="AQ297" s="42"/>
      <c r="AR297" s="42"/>
      <c r="AS297" s="50"/>
      <c r="AT297" s="39"/>
      <c r="AU297" s="39"/>
      <c r="AV297" s="49"/>
      <c r="AW297" s="39"/>
      <c r="AX297" s="39">
        <v>10</v>
      </c>
      <c r="AY297" s="30">
        <f>(J297*10)/100</f>
        <v>6318372.8159999987</v>
      </c>
      <c r="AZ297" s="42"/>
    </row>
    <row r="298" spans="1:52" ht="48" customHeight="1" x14ac:dyDescent="0.25">
      <c r="A298" s="61" t="s">
        <v>1912</v>
      </c>
      <c r="B298" s="62">
        <v>45323</v>
      </c>
      <c r="C298" s="42">
        <v>1416</v>
      </c>
      <c r="D298" s="37"/>
      <c r="E298" s="41" t="s">
        <v>1913</v>
      </c>
      <c r="F298" s="38"/>
      <c r="G298" s="39"/>
      <c r="H298" s="42"/>
      <c r="I298" s="64" t="s">
        <v>1914</v>
      </c>
      <c r="J298" s="63">
        <v>146587500</v>
      </c>
      <c r="K298" s="43">
        <v>0</v>
      </c>
      <c r="L298" s="56">
        <v>0</v>
      </c>
      <c r="M298" s="56">
        <v>0</v>
      </c>
      <c r="N298" s="44">
        <f t="shared" si="61"/>
        <v>100</v>
      </c>
      <c r="O298" s="45">
        <f t="shared" si="55"/>
        <v>146587500</v>
      </c>
      <c r="P298" s="43"/>
      <c r="Q298" s="45">
        <f t="shared" si="56"/>
        <v>146587500</v>
      </c>
      <c r="R298" s="43">
        <v>0</v>
      </c>
      <c r="S298" s="30">
        <f t="shared" si="60"/>
        <v>0</v>
      </c>
      <c r="T298" s="30">
        <f t="shared" si="60"/>
        <v>0</v>
      </c>
      <c r="U298" s="30">
        <v>13.03</v>
      </c>
      <c r="V298" s="43">
        <f>T298/X298</f>
        <v>0</v>
      </c>
      <c r="W298" s="43">
        <f t="shared" si="52"/>
        <v>0</v>
      </c>
      <c r="X298" s="43">
        <f t="shared" si="57"/>
        <v>11250000</v>
      </c>
      <c r="Y298" s="43">
        <v>11250000</v>
      </c>
      <c r="Z298" s="43">
        <v>0</v>
      </c>
      <c r="AA298" s="43">
        <v>0</v>
      </c>
      <c r="AB298" s="43">
        <v>7194500</v>
      </c>
      <c r="AC298" s="43">
        <f>AB298*V298</f>
        <v>0</v>
      </c>
      <c r="AD298" s="43">
        <v>4055500</v>
      </c>
      <c r="AE298" s="43">
        <f t="shared" si="54"/>
        <v>0</v>
      </c>
      <c r="AF298" s="43" t="e">
        <f t="shared" si="58"/>
        <v>#DIV/0!</v>
      </c>
      <c r="AG298" s="43" t="e">
        <f t="shared" si="59"/>
        <v>#DIV/0!</v>
      </c>
      <c r="AH298" s="38">
        <v>45382</v>
      </c>
      <c r="AI298" s="38"/>
      <c r="AJ298" s="38"/>
      <c r="AK298" s="38"/>
      <c r="AL298" s="38"/>
      <c r="AM298" s="48"/>
      <c r="AN298" s="42"/>
      <c r="AO298" s="42"/>
      <c r="AP298" s="42"/>
      <c r="AQ298" s="42"/>
      <c r="AR298" s="42"/>
      <c r="AS298" s="50"/>
      <c r="AT298" s="39"/>
      <c r="AU298" s="39"/>
      <c r="AV298" s="49"/>
      <c r="AW298" s="39"/>
      <c r="AX298" s="39">
        <v>10</v>
      </c>
      <c r="AY298" s="30">
        <f>(J298*10)/100</f>
        <v>14658750</v>
      </c>
      <c r="AZ298" s="42"/>
    </row>
    <row r="299" spans="1:52" ht="48" customHeight="1" x14ac:dyDescent="0.25">
      <c r="A299" s="61" t="s">
        <v>1915</v>
      </c>
      <c r="B299" s="62">
        <v>45324</v>
      </c>
      <c r="C299" s="42" t="s">
        <v>496</v>
      </c>
      <c r="D299" s="37"/>
      <c r="E299" s="41" t="s">
        <v>1916</v>
      </c>
      <c r="F299" s="38"/>
      <c r="G299" s="39"/>
      <c r="H299" s="42"/>
      <c r="I299" s="64" t="s">
        <v>1917</v>
      </c>
      <c r="J299" s="63">
        <v>247826882.88</v>
      </c>
      <c r="K299" s="43">
        <v>0</v>
      </c>
      <c r="L299" s="56">
        <v>0</v>
      </c>
      <c r="M299" s="56">
        <v>0</v>
      </c>
      <c r="N299" s="44">
        <f t="shared" si="61"/>
        <v>100</v>
      </c>
      <c r="O299" s="45">
        <f t="shared" si="55"/>
        <v>247826882.88</v>
      </c>
      <c r="P299" s="43"/>
      <c r="Q299" s="45">
        <f t="shared" si="56"/>
        <v>247826882.88</v>
      </c>
      <c r="R299" s="43">
        <v>0</v>
      </c>
      <c r="S299" s="30">
        <f t="shared" si="60"/>
        <v>0</v>
      </c>
      <c r="T299" s="30">
        <f t="shared" si="60"/>
        <v>0</v>
      </c>
      <c r="U299" s="30">
        <v>144.66</v>
      </c>
      <c r="V299" s="43">
        <f>T299/X299</f>
        <v>0</v>
      </c>
      <c r="W299" s="43">
        <f t="shared" si="52"/>
        <v>0</v>
      </c>
      <c r="X299" s="43">
        <f t="shared" si="57"/>
        <v>1713168</v>
      </c>
      <c r="Y299" s="43">
        <v>576000</v>
      </c>
      <c r="Z299" s="43">
        <v>576000</v>
      </c>
      <c r="AA299" s="43">
        <v>561168</v>
      </c>
      <c r="AB299" s="43"/>
      <c r="AC299" s="43">
        <f t="shared" si="53"/>
        <v>0</v>
      </c>
      <c r="AD299" s="43"/>
      <c r="AE299" s="43">
        <f t="shared" si="54"/>
        <v>0</v>
      </c>
      <c r="AF299" s="43" t="e">
        <f t="shared" si="58"/>
        <v>#DIV/0!</v>
      </c>
      <c r="AG299" s="43" t="e">
        <f t="shared" si="59"/>
        <v>#DIV/0!</v>
      </c>
      <c r="AH299" s="38">
        <v>45383</v>
      </c>
      <c r="AI299" s="38">
        <v>45474</v>
      </c>
      <c r="AJ299" s="38">
        <v>45550</v>
      </c>
      <c r="AK299" s="38"/>
      <c r="AL299" s="38"/>
      <c r="AM299" s="48"/>
      <c r="AN299" s="42"/>
      <c r="AO299" s="42"/>
      <c r="AP299" s="42"/>
      <c r="AQ299" s="42"/>
      <c r="AR299" s="42"/>
      <c r="AS299" s="50"/>
      <c r="AT299" s="39"/>
      <c r="AU299" s="39"/>
      <c r="AV299" s="49"/>
      <c r="AW299" s="39"/>
      <c r="AX299" s="39">
        <v>10</v>
      </c>
      <c r="AY299" s="30">
        <f>(J299*10)/100</f>
        <v>24782688.288000003</v>
      </c>
      <c r="AZ299" s="42"/>
    </row>
    <row r="300" spans="1:52" ht="48" customHeight="1" x14ac:dyDescent="0.25">
      <c r="A300" s="61" t="s">
        <v>1918</v>
      </c>
      <c r="B300" s="62">
        <v>45324</v>
      </c>
      <c r="C300" s="42" t="s">
        <v>496</v>
      </c>
      <c r="D300" s="37"/>
      <c r="E300" s="41" t="s">
        <v>1919</v>
      </c>
      <c r="F300" s="38"/>
      <c r="G300" s="39"/>
      <c r="H300" s="42"/>
      <c r="I300" s="64" t="s">
        <v>1920</v>
      </c>
      <c r="J300" s="63">
        <v>9795456</v>
      </c>
      <c r="K300" s="43">
        <v>0</v>
      </c>
      <c r="L300" s="56">
        <v>0</v>
      </c>
      <c r="M300" s="56">
        <v>0</v>
      </c>
      <c r="N300" s="44">
        <f t="shared" si="61"/>
        <v>100</v>
      </c>
      <c r="O300" s="45">
        <f t="shared" si="55"/>
        <v>9795456</v>
      </c>
      <c r="P300" s="43"/>
      <c r="Q300" s="45">
        <f t="shared" si="56"/>
        <v>9795456</v>
      </c>
      <c r="R300" s="43">
        <v>0</v>
      </c>
      <c r="S300" s="30">
        <f t="shared" si="60"/>
        <v>0</v>
      </c>
      <c r="T300" s="30">
        <f t="shared" si="60"/>
        <v>0</v>
      </c>
      <c r="U300" s="30">
        <v>5.28</v>
      </c>
      <c r="V300" s="43">
        <f>T300/X300</f>
        <v>0</v>
      </c>
      <c r="W300" s="43">
        <f t="shared" si="52"/>
        <v>0</v>
      </c>
      <c r="X300" s="43">
        <f t="shared" si="57"/>
        <v>1855200</v>
      </c>
      <c r="Y300" s="43">
        <v>1855200</v>
      </c>
      <c r="Z300" s="43">
        <v>0</v>
      </c>
      <c r="AA300" s="43">
        <v>0</v>
      </c>
      <c r="AB300" s="43"/>
      <c r="AC300" s="43">
        <f t="shared" si="53"/>
        <v>0</v>
      </c>
      <c r="AD300" s="43"/>
      <c r="AE300" s="43">
        <f t="shared" si="54"/>
        <v>0</v>
      </c>
      <c r="AF300" s="43" t="e">
        <f t="shared" si="58"/>
        <v>#DIV/0!</v>
      </c>
      <c r="AG300" s="43" t="e">
        <f t="shared" si="59"/>
        <v>#DIV/0!</v>
      </c>
      <c r="AH300" s="38">
        <v>45383</v>
      </c>
      <c r="AI300" s="38"/>
      <c r="AJ300" s="38"/>
      <c r="AK300" s="38"/>
      <c r="AL300" s="38"/>
      <c r="AM300" s="48"/>
      <c r="AN300" s="42"/>
      <c r="AO300" s="42"/>
      <c r="AP300" s="42"/>
      <c r="AQ300" s="42"/>
      <c r="AR300" s="42"/>
      <c r="AS300" s="50"/>
      <c r="AT300" s="39"/>
      <c r="AU300" s="39"/>
      <c r="AV300" s="49"/>
      <c r="AW300" s="39"/>
      <c r="AX300" s="39">
        <v>10</v>
      </c>
      <c r="AY300" s="30">
        <f>(J300*10)/100</f>
        <v>979545.59999999998</v>
      </c>
      <c r="AZ300" s="42"/>
    </row>
    <row r="301" spans="1:52" ht="48" customHeight="1" x14ac:dyDescent="0.25">
      <c r="A301" s="61" t="s">
        <v>1921</v>
      </c>
      <c r="B301" s="62">
        <v>45324</v>
      </c>
      <c r="C301" s="42" t="s">
        <v>496</v>
      </c>
      <c r="D301" s="37" t="s">
        <v>434</v>
      </c>
      <c r="E301" s="41" t="s">
        <v>1922</v>
      </c>
      <c r="F301" s="38" t="s">
        <v>434</v>
      </c>
      <c r="G301" s="39" t="s">
        <v>434</v>
      </c>
      <c r="H301" s="42" t="s">
        <v>434</v>
      </c>
      <c r="I301" s="65" t="s">
        <v>1923</v>
      </c>
      <c r="J301" s="63">
        <v>12375990</v>
      </c>
      <c r="K301" s="43">
        <v>0</v>
      </c>
      <c r="L301" s="56">
        <v>0</v>
      </c>
      <c r="M301" s="56">
        <v>0</v>
      </c>
      <c r="N301" s="44">
        <f t="shared" si="61"/>
        <v>100</v>
      </c>
      <c r="O301" s="45">
        <f t="shared" si="55"/>
        <v>12375990</v>
      </c>
      <c r="P301" s="43"/>
      <c r="Q301" s="45">
        <f t="shared" si="56"/>
        <v>12375990</v>
      </c>
      <c r="R301" s="43">
        <v>0</v>
      </c>
      <c r="S301" s="30">
        <f t="shared" si="60"/>
        <v>0</v>
      </c>
      <c r="T301" s="30">
        <f t="shared" si="60"/>
        <v>0</v>
      </c>
      <c r="U301" s="30">
        <v>49.5</v>
      </c>
      <c r="V301" s="43">
        <f>T301/X301</f>
        <v>0</v>
      </c>
      <c r="W301" s="43">
        <f t="shared" si="52"/>
        <v>0</v>
      </c>
      <c r="X301" s="43">
        <f t="shared" si="57"/>
        <v>250020</v>
      </c>
      <c r="Y301" s="43">
        <v>250020</v>
      </c>
      <c r="Z301" s="43">
        <v>0</v>
      </c>
      <c r="AA301" s="43">
        <v>0</v>
      </c>
      <c r="AB301" s="43"/>
      <c r="AC301" s="43">
        <f t="shared" si="53"/>
        <v>0</v>
      </c>
      <c r="AD301" s="43"/>
      <c r="AE301" s="43">
        <f t="shared" si="54"/>
        <v>0</v>
      </c>
      <c r="AF301" s="43" t="e">
        <f t="shared" si="58"/>
        <v>#DIV/0!</v>
      </c>
      <c r="AG301" s="43" t="e">
        <f t="shared" si="59"/>
        <v>#DIV/0!</v>
      </c>
      <c r="AH301" s="38">
        <v>45383</v>
      </c>
      <c r="AI301" s="38"/>
      <c r="AJ301" s="38"/>
      <c r="AK301" s="38"/>
      <c r="AL301" s="38"/>
      <c r="AM301" s="48"/>
      <c r="AN301" s="42"/>
      <c r="AO301" s="42"/>
      <c r="AP301" s="42"/>
      <c r="AQ301" s="42"/>
      <c r="AR301" s="42"/>
      <c r="AS301" s="50"/>
      <c r="AT301" s="39"/>
      <c r="AU301" s="39"/>
      <c r="AV301" s="49"/>
      <c r="AW301" s="39"/>
      <c r="AX301" s="39">
        <v>10</v>
      </c>
      <c r="AY301" s="30">
        <f>(J301*10)/100</f>
        <v>1237599</v>
      </c>
      <c r="AZ301" s="42" t="s">
        <v>434</v>
      </c>
    </row>
    <row r="302" spans="1:52" ht="48" customHeight="1" x14ac:dyDescent="0.25">
      <c r="A302" s="61" t="s">
        <v>1924</v>
      </c>
      <c r="B302" s="62">
        <v>45324</v>
      </c>
      <c r="C302" s="42">
        <v>1416</v>
      </c>
      <c r="D302" s="37"/>
      <c r="E302" s="41" t="s">
        <v>1925</v>
      </c>
      <c r="F302" s="38"/>
      <c r="G302" s="39"/>
      <c r="H302" s="42"/>
      <c r="I302" s="64" t="s">
        <v>1926</v>
      </c>
      <c r="J302" s="63">
        <v>763941360</v>
      </c>
      <c r="K302" s="43">
        <v>0</v>
      </c>
      <c r="L302" s="56">
        <v>0</v>
      </c>
      <c r="M302" s="56">
        <v>0</v>
      </c>
      <c r="N302" s="44">
        <f t="shared" si="61"/>
        <v>100</v>
      </c>
      <c r="O302" s="45">
        <f t="shared" si="55"/>
        <v>763941360</v>
      </c>
      <c r="P302" s="43"/>
      <c r="Q302" s="45">
        <f t="shared" si="56"/>
        <v>763941360</v>
      </c>
      <c r="R302" s="43">
        <v>0</v>
      </c>
      <c r="S302" s="30">
        <f t="shared" si="60"/>
        <v>0</v>
      </c>
      <c r="T302" s="30">
        <f t="shared" si="60"/>
        <v>0</v>
      </c>
      <c r="U302" s="30">
        <v>7.28</v>
      </c>
      <c r="V302" s="43">
        <f>T302/X302</f>
        <v>0</v>
      </c>
      <c r="W302" s="43">
        <f t="shared" si="52"/>
        <v>0</v>
      </c>
      <c r="X302" s="43">
        <f t="shared" si="57"/>
        <v>104937000</v>
      </c>
      <c r="Y302" s="43">
        <v>73121000</v>
      </c>
      <c r="Z302" s="43">
        <v>31816000</v>
      </c>
      <c r="AA302" s="43">
        <v>0</v>
      </c>
      <c r="AB302" s="43">
        <v>0</v>
      </c>
      <c r="AC302" s="43">
        <f t="shared" si="53"/>
        <v>0</v>
      </c>
      <c r="AD302" s="43">
        <f>73121000+31816000</f>
        <v>104937000</v>
      </c>
      <c r="AE302" s="43">
        <f t="shared" si="54"/>
        <v>0</v>
      </c>
      <c r="AF302" s="43" t="e">
        <f t="shared" si="58"/>
        <v>#DIV/0!</v>
      </c>
      <c r="AG302" s="43" t="e">
        <f t="shared" si="59"/>
        <v>#DIV/0!</v>
      </c>
      <c r="AH302" s="38">
        <v>45366</v>
      </c>
      <c r="AI302" s="38">
        <v>45432</v>
      </c>
      <c r="AJ302" s="38"/>
      <c r="AK302" s="38"/>
      <c r="AL302" s="38"/>
      <c r="AM302" s="48"/>
      <c r="AN302" s="42"/>
      <c r="AO302" s="42"/>
      <c r="AP302" s="42"/>
      <c r="AQ302" s="42"/>
      <c r="AR302" s="42"/>
      <c r="AS302" s="50"/>
      <c r="AT302" s="39"/>
      <c r="AU302" s="39"/>
      <c r="AV302" s="49"/>
      <c r="AW302" s="39"/>
      <c r="AX302" s="39">
        <v>10</v>
      </c>
      <c r="AY302" s="30">
        <f>(J302*10)/100</f>
        <v>76394136</v>
      </c>
      <c r="AZ302" s="42"/>
    </row>
    <row r="303" spans="1:52" ht="48" customHeight="1" x14ac:dyDescent="0.25">
      <c r="A303" s="61" t="s">
        <v>1927</v>
      </c>
      <c r="B303" s="62">
        <v>45324</v>
      </c>
      <c r="C303" s="42">
        <v>1416</v>
      </c>
      <c r="D303" s="37" t="s">
        <v>434</v>
      </c>
      <c r="E303" s="41" t="s">
        <v>1928</v>
      </c>
      <c r="F303" s="38" t="s">
        <v>434</v>
      </c>
      <c r="G303" s="39" t="s">
        <v>434</v>
      </c>
      <c r="H303" s="42" t="s">
        <v>434</v>
      </c>
      <c r="I303" s="64" t="s">
        <v>1929</v>
      </c>
      <c r="J303" s="63">
        <v>169078328.09999999</v>
      </c>
      <c r="K303" s="43">
        <v>0</v>
      </c>
      <c r="L303" s="56">
        <v>0</v>
      </c>
      <c r="M303" s="56">
        <v>0</v>
      </c>
      <c r="N303" s="44">
        <f t="shared" si="61"/>
        <v>100</v>
      </c>
      <c r="O303" s="45">
        <f t="shared" si="55"/>
        <v>169078328.09999999</v>
      </c>
      <c r="P303" s="43"/>
      <c r="Q303" s="45">
        <f t="shared" si="56"/>
        <v>169078328.09999999</v>
      </c>
      <c r="R303" s="43">
        <v>0</v>
      </c>
      <c r="S303" s="30">
        <f t="shared" si="60"/>
        <v>0</v>
      </c>
      <c r="T303" s="30">
        <f t="shared" si="60"/>
        <v>0</v>
      </c>
      <c r="U303" s="30">
        <v>3221.46</v>
      </c>
      <c r="V303" s="43">
        <f>T303/X303</f>
        <v>0</v>
      </c>
      <c r="W303" s="43">
        <f t="shared" si="52"/>
        <v>0</v>
      </c>
      <c r="X303" s="43">
        <f t="shared" si="57"/>
        <v>52485</v>
      </c>
      <c r="Y303" s="43">
        <v>17665</v>
      </c>
      <c r="Z303" s="43">
        <v>34820</v>
      </c>
      <c r="AA303" s="43">
        <v>0</v>
      </c>
      <c r="AB303" s="43"/>
      <c r="AC303" s="43">
        <f t="shared" si="53"/>
        <v>0</v>
      </c>
      <c r="AD303" s="43">
        <v>0</v>
      </c>
      <c r="AE303" s="43">
        <f t="shared" si="54"/>
        <v>0</v>
      </c>
      <c r="AF303" s="43" t="e">
        <f t="shared" si="58"/>
        <v>#DIV/0!</v>
      </c>
      <c r="AG303" s="43" t="e">
        <f t="shared" si="59"/>
        <v>#DIV/0!</v>
      </c>
      <c r="AH303" s="38">
        <v>45352</v>
      </c>
      <c r="AI303" s="38">
        <v>45444</v>
      </c>
      <c r="AJ303" s="38"/>
      <c r="AK303" s="38"/>
      <c r="AL303" s="38"/>
      <c r="AM303" s="48"/>
      <c r="AN303" s="42"/>
      <c r="AO303" s="42"/>
      <c r="AP303" s="42"/>
      <c r="AQ303" s="42"/>
      <c r="AR303" s="42"/>
      <c r="AS303" s="50"/>
      <c r="AT303" s="39"/>
      <c r="AU303" s="39"/>
      <c r="AV303" s="49"/>
      <c r="AW303" s="39"/>
      <c r="AX303" s="39">
        <v>10</v>
      </c>
      <c r="AY303" s="30">
        <f>(J303*10)/100</f>
        <v>16907832.809999999</v>
      </c>
      <c r="AZ303" s="42" t="s">
        <v>434</v>
      </c>
    </row>
    <row r="304" spans="1:52" ht="63.75" customHeight="1" x14ac:dyDescent="0.25">
      <c r="A304" s="46" t="s">
        <v>1930</v>
      </c>
      <c r="B304" s="38">
        <v>45327</v>
      </c>
      <c r="C304" s="39">
        <v>1416</v>
      </c>
      <c r="D304" s="37"/>
      <c r="E304" s="41" t="s">
        <v>1931</v>
      </c>
      <c r="F304" s="38"/>
      <c r="G304" s="39"/>
      <c r="H304" s="42"/>
      <c r="I304" s="42" t="s">
        <v>724</v>
      </c>
      <c r="J304" s="43">
        <v>251473040</v>
      </c>
      <c r="K304" s="43">
        <v>0</v>
      </c>
      <c r="L304" s="56">
        <v>0</v>
      </c>
      <c r="M304" s="56">
        <v>0</v>
      </c>
      <c r="N304" s="44">
        <f t="shared" si="61"/>
        <v>100</v>
      </c>
      <c r="O304" s="45">
        <f t="shared" si="55"/>
        <v>251473040</v>
      </c>
      <c r="P304" s="43"/>
      <c r="Q304" s="45">
        <f t="shared" si="56"/>
        <v>251473040</v>
      </c>
      <c r="R304" s="43">
        <v>0</v>
      </c>
      <c r="S304" s="30">
        <f t="shared" si="60"/>
        <v>0</v>
      </c>
      <c r="T304" s="30">
        <f t="shared" si="60"/>
        <v>0</v>
      </c>
      <c r="U304" s="30">
        <v>7.28</v>
      </c>
      <c r="V304" s="43">
        <f>T304/X304</f>
        <v>0</v>
      </c>
      <c r="W304" s="43">
        <f t="shared" si="52"/>
        <v>0</v>
      </c>
      <c r="X304" s="43">
        <f t="shared" si="57"/>
        <v>34543000</v>
      </c>
      <c r="Y304" s="43">
        <v>34543000</v>
      </c>
      <c r="Z304" s="43">
        <v>0</v>
      </c>
      <c r="AA304" s="43">
        <v>0</v>
      </c>
      <c r="AB304" s="43">
        <v>34543000</v>
      </c>
      <c r="AC304" s="43">
        <f t="shared" si="53"/>
        <v>0</v>
      </c>
      <c r="AD304" s="43">
        <v>0</v>
      </c>
      <c r="AE304" s="43">
        <f t="shared" si="54"/>
        <v>0</v>
      </c>
      <c r="AF304" s="43" t="e">
        <f t="shared" si="58"/>
        <v>#DIV/0!</v>
      </c>
      <c r="AG304" s="43" t="e">
        <f t="shared" si="59"/>
        <v>#DIV/0!</v>
      </c>
      <c r="AH304" s="38">
        <v>45366</v>
      </c>
      <c r="AI304" s="38"/>
      <c r="AJ304" s="38"/>
      <c r="AK304" s="38">
        <v>45397</v>
      </c>
      <c r="AL304" s="38"/>
      <c r="AM304" s="48"/>
      <c r="AN304" s="42"/>
      <c r="AO304" s="42"/>
      <c r="AP304" s="42"/>
      <c r="AQ304" s="42"/>
      <c r="AR304" s="42"/>
      <c r="AS304" s="50"/>
      <c r="AT304" s="39"/>
      <c r="AU304" s="39"/>
      <c r="AV304" s="49"/>
      <c r="AW304" s="39"/>
      <c r="AX304" s="39">
        <v>10</v>
      </c>
      <c r="AY304" s="30">
        <f>(J304*10)/100</f>
        <v>25147304</v>
      </c>
      <c r="AZ304" s="42"/>
    </row>
    <row r="305" spans="1:52" ht="15.75" customHeight="1" x14ac:dyDescent="0.25">
      <c r="A305" s="46" t="s">
        <v>1932</v>
      </c>
      <c r="B305" s="38">
        <v>45327</v>
      </c>
      <c r="C305" s="42" t="s">
        <v>496</v>
      </c>
      <c r="D305" s="37"/>
      <c r="E305" s="41" t="s">
        <v>1933</v>
      </c>
      <c r="F305" s="38"/>
      <c r="G305" s="39"/>
      <c r="H305" s="42"/>
      <c r="I305" s="42" t="s">
        <v>1934</v>
      </c>
      <c r="J305" s="43">
        <v>509832688</v>
      </c>
      <c r="K305" s="43">
        <v>0</v>
      </c>
      <c r="L305" s="56">
        <v>0</v>
      </c>
      <c r="M305" s="56">
        <v>0</v>
      </c>
      <c r="N305" s="44">
        <f t="shared" si="61"/>
        <v>100</v>
      </c>
      <c r="O305" s="45">
        <f t="shared" si="55"/>
        <v>509832688</v>
      </c>
      <c r="P305" s="43"/>
      <c r="Q305" s="45">
        <f t="shared" si="56"/>
        <v>509832688</v>
      </c>
      <c r="R305" s="43">
        <v>0</v>
      </c>
      <c r="S305" s="30">
        <f t="shared" si="60"/>
        <v>0</v>
      </c>
      <c r="T305" s="30">
        <f t="shared" si="60"/>
        <v>0</v>
      </c>
      <c r="U305" s="30">
        <f>T305/X305</f>
        <v>0</v>
      </c>
      <c r="V305" s="43">
        <f>T305/X305</f>
        <v>0</v>
      </c>
      <c r="W305" s="43">
        <f t="shared" si="52"/>
        <v>0</v>
      </c>
      <c r="X305" s="43">
        <f t="shared" si="57"/>
        <v>887360</v>
      </c>
      <c r="Y305" s="43">
        <v>887360</v>
      </c>
      <c r="Z305" s="43">
        <v>0</v>
      </c>
      <c r="AA305" s="43">
        <v>0</v>
      </c>
      <c r="AB305" s="43"/>
      <c r="AC305" s="43">
        <f t="shared" si="53"/>
        <v>0</v>
      </c>
      <c r="AD305" s="43"/>
      <c r="AE305" s="43">
        <f t="shared" si="54"/>
        <v>0</v>
      </c>
      <c r="AF305" s="43" t="e">
        <f t="shared" si="58"/>
        <v>#DIV/0!</v>
      </c>
      <c r="AG305" s="43" t="e">
        <f t="shared" si="59"/>
        <v>#DIV/0!</v>
      </c>
      <c r="AH305" s="38">
        <v>45397</v>
      </c>
      <c r="AI305" s="38"/>
      <c r="AJ305" s="38"/>
      <c r="AK305" s="38"/>
      <c r="AL305" s="38"/>
      <c r="AM305" s="48"/>
      <c r="AN305" s="42"/>
      <c r="AO305" s="42"/>
      <c r="AP305" s="42"/>
      <c r="AQ305" s="42"/>
      <c r="AR305" s="42"/>
      <c r="AS305" s="50"/>
      <c r="AT305" s="39"/>
      <c r="AU305" s="39"/>
      <c r="AV305" s="49"/>
      <c r="AW305" s="39"/>
      <c r="AX305" s="39">
        <v>10</v>
      </c>
      <c r="AY305" s="30">
        <f>(J305*10)/100</f>
        <v>50983268.799999997</v>
      </c>
      <c r="AZ305" s="42"/>
    </row>
    <row r="306" spans="1:52" ht="107.25" customHeight="1" x14ac:dyDescent="0.25">
      <c r="A306" s="46" t="s">
        <v>1935</v>
      </c>
      <c r="B306" s="38">
        <v>45327</v>
      </c>
      <c r="C306" s="42" t="s">
        <v>496</v>
      </c>
      <c r="D306" s="37"/>
      <c r="E306" s="41" t="s">
        <v>1936</v>
      </c>
      <c r="F306" s="38"/>
      <c r="G306" s="39"/>
      <c r="H306" s="42"/>
      <c r="I306" s="42" t="s">
        <v>1937</v>
      </c>
      <c r="J306" s="43">
        <v>12153240</v>
      </c>
      <c r="K306" s="43">
        <v>0</v>
      </c>
      <c r="L306" s="56">
        <v>0</v>
      </c>
      <c r="M306" s="56">
        <v>0</v>
      </c>
      <c r="N306" s="44">
        <f t="shared" si="61"/>
        <v>100</v>
      </c>
      <c r="O306" s="45">
        <f t="shared" si="55"/>
        <v>12153240</v>
      </c>
      <c r="P306" s="43"/>
      <c r="Q306" s="45">
        <f t="shared" si="56"/>
        <v>12153240</v>
      </c>
      <c r="R306" s="43">
        <v>0</v>
      </c>
      <c r="S306" s="30">
        <f t="shared" si="60"/>
        <v>0</v>
      </c>
      <c r="T306" s="30">
        <f t="shared" si="60"/>
        <v>0</v>
      </c>
      <c r="U306" s="30">
        <f>T306/X306</f>
        <v>0</v>
      </c>
      <c r="V306" s="43">
        <f>T306/X306</f>
        <v>0</v>
      </c>
      <c r="W306" s="43">
        <f t="shared" si="52"/>
        <v>0</v>
      </c>
      <c r="X306" s="43">
        <f t="shared" si="57"/>
        <v>30690</v>
      </c>
      <c r="Y306" s="43">
        <v>30690</v>
      </c>
      <c r="Z306" s="43">
        <v>0</v>
      </c>
      <c r="AA306" s="43">
        <v>0</v>
      </c>
      <c r="AB306" s="43"/>
      <c r="AC306" s="43">
        <f t="shared" si="53"/>
        <v>0</v>
      </c>
      <c r="AD306" s="43"/>
      <c r="AE306" s="43">
        <f t="shared" si="54"/>
        <v>0</v>
      </c>
      <c r="AF306" s="43" t="e">
        <f t="shared" si="58"/>
        <v>#DIV/0!</v>
      </c>
      <c r="AG306" s="43" t="e">
        <f t="shared" si="59"/>
        <v>#DIV/0!</v>
      </c>
      <c r="AH306" s="38">
        <v>45383</v>
      </c>
      <c r="AI306" s="38"/>
      <c r="AJ306" s="38"/>
      <c r="AK306" s="38"/>
      <c r="AL306" s="38"/>
      <c r="AM306" s="48"/>
      <c r="AN306" s="42"/>
      <c r="AO306" s="42"/>
      <c r="AP306" s="42"/>
      <c r="AQ306" s="42"/>
      <c r="AR306" s="42"/>
      <c r="AS306" s="50"/>
      <c r="AT306" s="39"/>
      <c r="AU306" s="39"/>
      <c r="AV306" s="49"/>
      <c r="AW306" s="39"/>
      <c r="AX306" s="39">
        <v>10</v>
      </c>
      <c r="AY306" s="30">
        <f>(J306*10)/100</f>
        <v>1215324</v>
      </c>
      <c r="AZ306" s="42"/>
    </row>
    <row r="307" spans="1:52" ht="39" customHeight="1" x14ac:dyDescent="0.25">
      <c r="A307" s="61" t="s">
        <v>1938</v>
      </c>
      <c r="B307" s="62">
        <v>45327</v>
      </c>
      <c r="C307" s="42" t="s">
        <v>496</v>
      </c>
      <c r="D307" s="37"/>
      <c r="E307" s="41" t="s">
        <v>1939</v>
      </c>
      <c r="F307" s="38"/>
      <c r="G307" s="39"/>
      <c r="H307" s="42"/>
      <c r="I307" s="65" t="s">
        <v>1940</v>
      </c>
      <c r="J307" s="63">
        <v>54510610</v>
      </c>
      <c r="K307" s="43">
        <v>0</v>
      </c>
      <c r="L307" s="56">
        <v>0</v>
      </c>
      <c r="M307" s="56">
        <v>0</v>
      </c>
      <c r="N307" s="44">
        <f t="shared" si="61"/>
        <v>100</v>
      </c>
      <c r="O307" s="45">
        <f t="shared" si="55"/>
        <v>54510610</v>
      </c>
      <c r="P307" s="43"/>
      <c r="Q307" s="45">
        <f t="shared" si="56"/>
        <v>54510610</v>
      </c>
      <c r="R307" s="43">
        <v>0</v>
      </c>
      <c r="S307" s="30">
        <f t="shared" si="60"/>
        <v>0</v>
      </c>
      <c r="T307" s="30">
        <f t="shared" si="60"/>
        <v>0</v>
      </c>
      <c r="U307" s="30" t="e">
        <f>T307/X307</f>
        <v>#DIV/0!</v>
      </c>
      <c r="V307" s="43" t="e">
        <f>T307/X307</f>
        <v>#DIV/0!</v>
      </c>
      <c r="W307" s="43" t="e">
        <f t="shared" si="52"/>
        <v>#DIV/0!</v>
      </c>
      <c r="X307" s="43">
        <f t="shared" si="57"/>
        <v>0</v>
      </c>
      <c r="Y307" s="43">
        <v>0</v>
      </c>
      <c r="Z307" s="43">
        <v>0</v>
      </c>
      <c r="AA307" s="43">
        <v>0</v>
      </c>
      <c r="AB307" s="43"/>
      <c r="AC307" s="43" t="e">
        <f t="shared" si="53"/>
        <v>#DIV/0!</v>
      </c>
      <c r="AD307" s="43"/>
      <c r="AE307" s="43" t="e">
        <f t="shared" si="54"/>
        <v>#DIV/0!</v>
      </c>
      <c r="AF307" s="43" t="e">
        <f t="shared" si="58"/>
        <v>#DIV/0!</v>
      </c>
      <c r="AG307" s="43" t="e">
        <f t="shared" si="59"/>
        <v>#DIV/0!</v>
      </c>
      <c r="AH307" s="38">
        <v>45383</v>
      </c>
      <c r="AI307" s="38"/>
      <c r="AJ307" s="38"/>
      <c r="AK307" s="38"/>
      <c r="AL307" s="38"/>
      <c r="AM307" s="48"/>
      <c r="AN307" s="42"/>
      <c r="AO307" s="42"/>
      <c r="AP307" s="42"/>
      <c r="AQ307" s="42"/>
      <c r="AR307" s="42"/>
      <c r="AS307" s="50"/>
      <c r="AT307" s="39"/>
      <c r="AU307" s="39"/>
      <c r="AV307" s="49"/>
      <c r="AW307" s="39"/>
      <c r="AX307" s="39">
        <v>10</v>
      </c>
      <c r="AY307" s="30">
        <f>(J307*10)/100</f>
        <v>5451061</v>
      </c>
      <c r="AZ307" s="42"/>
    </row>
    <row r="308" spans="1:52" ht="39" customHeight="1" x14ac:dyDescent="0.25">
      <c r="A308" s="61" t="s">
        <v>1941</v>
      </c>
      <c r="B308" s="62">
        <v>45327</v>
      </c>
      <c r="C308" s="42">
        <v>1688</v>
      </c>
      <c r="D308" s="37"/>
      <c r="E308" s="41" t="s">
        <v>1942</v>
      </c>
      <c r="F308" s="38"/>
      <c r="G308" s="39"/>
      <c r="H308" s="42"/>
      <c r="I308" s="64" t="s">
        <v>1943</v>
      </c>
      <c r="J308" s="63">
        <v>514258.4</v>
      </c>
      <c r="K308" s="43">
        <v>0</v>
      </c>
      <c r="L308" s="56">
        <v>0</v>
      </c>
      <c r="M308" s="56">
        <v>0</v>
      </c>
      <c r="N308" s="44">
        <f t="shared" si="61"/>
        <v>100</v>
      </c>
      <c r="O308" s="45">
        <f t="shared" si="55"/>
        <v>514258.4</v>
      </c>
      <c r="P308" s="43"/>
      <c r="Q308" s="45">
        <f t="shared" si="56"/>
        <v>514258.4</v>
      </c>
      <c r="R308" s="43">
        <v>0</v>
      </c>
      <c r="S308" s="30">
        <f t="shared" si="60"/>
        <v>0</v>
      </c>
      <c r="T308" s="30">
        <f t="shared" si="60"/>
        <v>0</v>
      </c>
      <c r="U308" s="30" t="e">
        <f>T308/X308</f>
        <v>#DIV/0!</v>
      </c>
      <c r="V308" s="43" t="e">
        <f>T308/X308</f>
        <v>#DIV/0!</v>
      </c>
      <c r="W308" s="43" t="e">
        <f t="shared" si="52"/>
        <v>#DIV/0!</v>
      </c>
      <c r="X308" s="43">
        <f t="shared" si="57"/>
        <v>0</v>
      </c>
      <c r="Y308" s="43">
        <v>0</v>
      </c>
      <c r="Z308" s="43">
        <v>0</v>
      </c>
      <c r="AA308" s="43">
        <v>0</v>
      </c>
      <c r="AB308" s="43"/>
      <c r="AC308" s="43" t="e">
        <f t="shared" si="53"/>
        <v>#DIV/0!</v>
      </c>
      <c r="AD308" s="43"/>
      <c r="AE308" s="43" t="e">
        <f t="shared" si="54"/>
        <v>#DIV/0!</v>
      </c>
      <c r="AF308" s="43" t="e">
        <f t="shared" si="58"/>
        <v>#DIV/0!</v>
      </c>
      <c r="AG308" s="43" t="e">
        <f t="shared" si="59"/>
        <v>#DIV/0!</v>
      </c>
      <c r="AH308" s="38">
        <v>45383</v>
      </c>
      <c r="AI308" s="38"/>
      <c r="AJ308" s="38"/>
      <c r="AK308" s="38"/>
      <c r="AL308" s="38"/>
      <c r="AM308" s="48"/>
      <c r="AN308" s="42"/>
      <c r="AO308" s="42"/>
      <c r="AP308" s="42"/>
      <c r="AQ308" s="42"/>
      <c r="AR308" s="42"/>
      <c r="AS308" s="50"/>
      <c r="AT308" s="39"/>
      <c r="AU308" s="39"/>
      <c r="AV308" s="49"/>
      <c r="AW308" s="39"/>
      <c r="AX308" s="39">
        <v>10</v>
      </c>
      <c r="AY308" s="30">
        <f>(J308*10)/100</f>
        <v>51425.84</v>
      </c>
      <c r="AZ308" s="42"/>
    </row>
    <row r="309" spans="1:52" ht="39" customHeight="1" x14ac:dyDescent="0.25">
      <c r="A309" s="61" t="s">
        <v>1944</v>
      </c>
      <c r="B309" s="62">
        <v>45328</v>
      </c>
      <c r="C309" s="42" t="s">
        <v>496</v>
      </c>
      <c r="D309" s="37"/>
      <c r="E309" s="41" t="s">
        <v>1945</v>
      </c>
      <c r="F309" s="38"/>
      <c r="G309" s="39"/>
      <c r="H309" s="42"/>
      <c r="I309" s="64" t="s">
        <v>1946</v>
      </c>
      <c r="J309" s="63">
        <v>1729855.6</v>
      </c>
      <c r="K309" s="43">
        <v>0</v>
      </c>
      <c r="L309" s="56">
        <v>0</v>
      </c>
      <c r="M309" s="56">
        <v>0</v>
      </c>
      <c r="N309" s="44">
        <f t="shared" si="61"/>
        <v>100</v>
      </c>
      <c r="O309" s="45">
        <f t="shared" si="55"/>
        <v>1729855.6</v>
      </c>
      <c r="P309" s="43"/>
      <c r="Q309" s="45">
        <f t="shared" si="56"/>
        <v>1729855.6</v>
      </c>
      <c r="R309" s="43">
        <v>0</v>
      </c>
      <c r="S309" s="30">
        <f t="shared" si="60"/>
        <v>0</v>
      </c>
      <c r="T309" s="30">
        <f t="shared" si="60"/>
        <v>0</v>
      </c>
      <c r="U309" s="30" t="e">
        <f>T309/X309</f>
        <v>#DIV/0!</v>
      </c>
      <c r="V309" s="43" t="e">
        <f>T309/X309</f>
        <v>#DIV/0!</v>
      </c>
      <c r="W309" s="43" t="e">
        <f t="shared" si="52"/>
        <v>#DIV/0!</v>
      </c>
      <c r="X309" s="43">
        <f t="shared" si="57"/>
        <v>0</v>
      </c>
      <c r="Y309" s="43">
        <v>0</v>
      </c>
      <c r="Z309" s="43">
        <v>0</v>
      </c>
      <c r="AA309" s="43">
        <v>0</v>
      </c>
      <c r="AB309" s="43"/>
      <c r="AC309" s="43" t="e">
        <f t="shared" si="53"/>
        <v>#DIV/0!</v>
      </c>
      <c r="AD309" s="43"/>
      <c r="AE309" s="43" t="e">
        <f t="shared" si="54"/>
        <v>#DIV/0!</v>
      </c>
      <c r="AF309" s="43" t="e">
        <f t="shared" si="58"/>
        <v>#DIV/0!</v>
      </c>
      <c r="AG309" s="43" t="e">
        <f t="shared" si="59"/>
        <v>#DIV/0!</v>
      </c>
      <c r="AH309" s="38">
        <v>45397</v>
      </c>
      <c r="AI309" s="38"/>
      <c r="AJ309" s="38"/>
      <c r="AK309" s="38"/>
      <c r="AL309" s="38"/>
      <c r="AM309" s="48"/>
      <c r="AN309" s="42"/>
      <c r="AO309" s="42"/>
      <c r="AP309" s="42"/>
      <c r="AQ309" s="42"/>
      <c r="AR309" s="42"/>
      <c r="AS309" s="50"/>
      <c r="AT309" s="39"/>
      <c r="AU309" s="39"/>
      <c r="AV309" s="49"/>
      <c r="AW309" s="39"/>
      <c r="AX309" s="39">
        <v>10</v>
      </c>
      <c r="AY309" s="30">
        <f>(J309*10)/100</f>
        <v>172985.56</v>
      </c>
      <c r="AZ309" s="42"/>
    </row>
    <row r="310" spans="1:52" ht="39" customHeight="1" x14ac:dyDescent="0.25">
      <c r="A310" s="61" t="s">
        <v>1947</v>
      </c>
      <c r="B310" s="62">
        <v>45328</v>
      </c>
      <c r="C310" s="42" t="s">
        <v>496</v>
      </c>
      <c r="D310" s="37"/>
      <c r="E310" s="41" t="s">
        <v>1948</v>
      </c>
      <c r="F310" s="38"/>
      <c r="G310" s="39"/>
      <c r="H310" s="42"/>
      <c r="I310" s="65" t="s">
        <v>1949</v>
      </c>
      <c r="J310" s="63">
        <v>145426006.90000001</v>
      </c>
      <c r="K310" s="43">
        <v>0</v>
      </c>
      <c r="L310" s="56">
        <v>0</v>
      </c>
      <c r="M310" s="56">
        <v>0</v>
      </c>
      <c r="N310" s="44">
        <f t="shared" si="61"/>
        <v>100</v>
      </c>
      <c r="O310" s="45">
        <f t="shared" si="55"/>
        <v>145426006.90000001</v>
      </c>
      <c r="P310" s="43"/>
      <c r="Q310" s="45">
        <f t="shared" si="56"/>
        <v>145426006.90000001</v>
      </c>
      <c r="R310" s="43">
        <v>0</v>
      </c>
      <c r="S310" s="30">
        <f t="shared" si="60"/>
        <v>0</v>
      </c>
      <c r="T310" s="30">
        <f t="shared" si="60"/>
        <v>0</v>
      </c>
      <c r="U310" s="30" t="e">
        <f>T310/X310</f>
        <v>#DIV/0!</v>
      </c>
      <c r="V310" s="43" t="e">
        <f>T310/X310</f>
        <v>#DIV/0!</v>
      </c>
      <c r="W310" s="43" t="e">
        <f t="shared" si="52"/>
        <v>#DIV/0!</v>
      </c>
      <c r="X310" s="43">
        <f t="shared" si="57"/>
        <v>0</v>
      </c>
      <c r="Y310" s="43">
        <v>0</v>
      </c>
      <c r="Z310" s="43">
        <v>0</v>
      </c>
      <c r="AA310" s="43">
        <v>0</v>
      </c>
      <c r="AB310" s="43"/>
      <c r="AC310" s="43" t="e">
        <f t="shared" si="53"/>
        <v>#DIV/0!</v>
      </c>
      <c r="AD310" s="43"/>
      <c r="AE310" s="43" t="e">
        <f t="shared" si="54"/>
        <v>#DIV/0!</v>
      </c>
      <c r="AF310" s="43" t="e">
        <f t="shared" si="58"/>
        <v>#DIV/0!</v>
      </c>
      <c r="AG310" s="43" t="e">
        <f t="shared" si="59"/>
        <v>#DIV/0!</v>
      </c>
      <c r="AH310" s="38">
        <v>45397</v>
      </c>
      <c r="AI310" s="38"/>
      <c r="AJ310" s="38"/>
      <c r="AK310" s="38"/>
      <c r="AL310" s="38"/>
      <c r="AM310" s="48"/>
      <c r="AN310" s="42"/>
      <c r="AO310" s="42"/>
      <c r="AP310" s="42"/>
      <c r="AQ310" s="42"/>
      <c r="AR310" s="42"/>
      <c r="AS310" s="50"/>
      <c r="AT310" s="39"/>
      <c r="AU310" s="39"/>
      <c r="AV310" s="49"/>
      <c r="AW310" s="39"/>
      <c r="AX310" s="39">
        <v>10</v>
      </c>
      <c r="AY310" s="30">
        <f>(J310*10)/100</f>
        <v>14542600.689999999</v>
      </c>
      <c r="AZ310" s="42"/>
    </row>
    <row r="311" spans="1:52" ht="39" customHeight="1" x14ac:dyDescent="0.25">
      <c r="A311" s="61" t="s">
        <v>1950</v>
      </c>
      <c r="B311" s="62">
        <v>45328</v>
      </c>
      <c r="C311" s="42" t="s">
        <v>496</v>
      </c>
      <c r="D311" s="37"/>
      <c r="E311" s="41" t="s">
        <v>1951</v>
      </c>
      <c r="F311" s="38"/>
      <c r="G311" s="39"/>
      <c r="H311" s="42"/>
      <c r="I311" s="64" t="s">
        <v>1952</v>
      </c>
      <c r="J311" s="63">
        <v>1656207.3</v>
      </c>
      <c r="K311" s="43">
        <v>0</v>
      </c>
      <c r="L311" s="56">
        <v>0</v>
      </c>
      <c r="M311" s="56">
        <v>0</v>
      </c>
      <c r="N311" s="44">
        <f t="shared" si="61"/>
        <v>100</v>
      </c>
      <c r="O311" s="45">
        <f t="shared" si="55"/>
        <v>1656207.3</v>
      </c>
      <c r="P311" s="43"/>
      <c r="Q311" s="45">
        <f t="shared" si="56"/>
        <v>1656207.3</v>
      </c>
      <c r="R311" s="43">
        <v>0</v>
      </c>
      <c r="S311" s="30">
        <f t="shared" si="60"/>
        <v>0</v>
      </c>
      <c r="T311" s="30">
        <f t="shared" si="60"/>
        <v>0</v>
      </c>
      <c r="U311" s="30" t="e">
        <f>T311/X311</f>
        <v>#DIV/0!</v>
      </c>
      <c r="V311" s="43" t="e">
        <f>T311/X311</f>
        <v>#DIV/0!</v>
      </c>
      <c r="W311" s="43" t="e">
        <f t="shared" si="52"/>
        <v>#DIV/0!</v>
      </c>
      <c r="X311" s="43">
        <f t="shared" si="57"/>
        <v>0</v>
      </c>
      <c r="Y311" s="43">
        <v>0</v>
      </c>
      <c r="Z311" s="43">
        <v>0</v>
      </c>
      <c r="AA311" s="43">
        <v>0</v>
      </c>
      <c r="AB311" s="43"/>
      <c r="AC311" s="43" t="e">
        <f t="shared" si="53"/>
        <v>#DIV/0!</v>
      </c>
      <c r="AD311" s="43"/>
      <c r="AE311" s="43" t="e">
        <f t="shared" si="54"/>
        <v>#DIV/0!</v>
      </c>
      <c r="AF311" s="43" t="e">
        <f t="shared" si="58"/>
        <v>#DIV/0!</v>
      </c>
      <c r="AG311" s="43" t="e">
        <f t="shared" si="59"/>
        <v>#DIV/0!</v>
      </c>
      <c r="AH311" s="38">
        <v>45397</v>
      </c>
      <c r="AI311" s="38"/>
      <c r="AJ311" s="38"/>
      <c r="AK311" s="38"/>
      <c r="AL311" s="38"/>
      <c r="AM311" s="48"/>
      <c r="AN311" s="42"/>
      <c r="AO311" s="42"/>
      <c r="AP311" s="42"/>
      <c r="AQ311" s="42"/>
      <c r="AR311" s="42"/>
      <c r="AS311" s="50"/>
      <c r="AT311" s="39"/>
      <c r="AU311" s="39"/>
      <c r="AV311" s="49"/>
      <c r="AW311" s="39"/>
      <c r="AX311" s="39">
        <v>10</v>
      </c>
      <c r="AY311" s="30">
        <f>(J311*10)/100</f>
        <v>165620.73000000001</v>
      </c>
      <c r="AZ311" s="42"/>
    </row>
    <row r="312" spans="1:52" ht="39" customHeight="1" x14ac:dyDescent="0.25">
      <c r="A312" s="61" t="s">
        <v>1953</v>
      </c>
      <c r="B312" s="62">
        <v>45328</v>
      </c>
      <c r="C312" s="42" t="s">
        <v>1954</v>
      </c>
      <c r="D312" s="39" t="s">
        <v>434</v>
      </c>
      <c r="E312" s="41" t="s">
        <v>1955</v>
      </c>
      <c r="F312" s="39" t="s">
        <v>434</v>
      </c>
      <c r="G312" s="39" t="s">
        <v>434</v>
      </c>
      <c r="H312" s="39" t="s">
        <v>434</v>
      </c>
      <c r="I312" s="66" t="s">
        <v>1956</v>
      </c>
      <c r="J312" s="67">
        <v>9820.7999999999993</v>
      </c>
      <c r="K312" s="43">
        <v>0</v>
      </c>
      <c r="L312" s="56">
        <v>0</v>
      </c>
      <c r="M312" s="56">
        <v>0</v>
      </c>
      <c r="N312" s="44">
        <f t="shared" si="61"/>
        <v>100</v>
      </c>
      <c r="O312" s="45">
        <f t="shared" si="55"/>
        <v>9820.7999999999993</v>
      </c>
      <c r="P312" s="43"/>
      <c r="Q312" s="45">
        <f t="shared" si="56"/>
        <v>9820.7999999999993</v>
      </c>
      <c r="R312" s="43">
        <v>0</v>
      </c>
      <c r="S312" s="30">
        <f t="shared" si="60"/>
        <v>0</v>
      </c>
      <c r="T312" s="30">
        <f t="shared" si="60"/>
        <v>0</v>
      </c>
      <c r="U312" s="30" t="e">
        <f>T312/X312</f>
        <v>#DIV/0!</v>
      </c>
      <c r="V312" s="43" t="e">
        <f>T312/X312</f>
        <v>#DIV/0!</v>
      </c>
      <c r="W312" s="43" t="e">
        <f t="shared" si="52"/>
        <v>#DIV/0!</v>
      </c>
      <c r="X312" s="43">
        <f t="shared" si="57"/>
        <v>0</v>
      </c>
      <c r="Y312" s="43">
        <v>0</v>
      </c>
      <c r="Z312" s="43">
        <v>0</v>
      </c>
      <c r="AA312" s="43">
        <v>0</v>
      </c>
      <c r="AB312" s="43"/>
      <c r="AC312" s="43" t="e">
        <f t="shared" si="53"/>
        <v>#DIV/0!</v>
      </c>
      <c r="AD312" s="43"/>
      <c r="AE312" s="43" t="e">
        <f t="shared" si="54"/>
        <v>#DIV/0!</v>
      </c>
      <c r="AF312" s="43" t="e">
        <f t="shared" si="58"/>
        <v>#DIV/0!</v>
      </c>
      <c r="AG312" s="43" t="e">
        <f t="shared" si="59"/>
        <v>#DIV/0!</v>
      </c>
      <c r="AH312" s="38">
        <v>45397</v>
      </c>
      <c r="AI312" s="38"/>
      <c r="AJ312" s="38"/>
      <c r="AK312" s="38"/>
      <c r="AL312" s="38"/>
      <c r="AM312" s="48"/>
      <c r="AN312" s="42"/>
      <c r="AO312" s="42"/>
      <c r="AP312" s="42"/>
      <c r="AQ312" s="42"/>
      <c r="AR312" s="42"/>
      <c r="AS312" s="50"/>
      <c r="AT312" s="39"/>
      <c r="AU312" s="39"/>
      <c r="AV312" s="49"/>
      <c r="AW312" s="39"/>
      <c r="AX312" s="39">
        <v>10</v>
      </c>
      <c r="AY312" s="30">
        <f>(J312*10)/100</f>
        <v>982.08</v>
      </c>
      <c r="AZ312" s="42" t="s">
        <v>434</v>
      </c>
    </row>
    <row r="313" spans="1:52" ht="39" customHeight="1" x14ac:dyDescent="0.25">
      <c r="A313" s="61" t="s">
        <v>1957</v>
      </c>
      <c r="B313" s="62">
        <v>45328</v>
      </c>
      <c r="C313" s="42">
        <v>545</v>
      </c>
      <c r="D313" s="37"/>
      <c r="E313" s="41" t="s">
        <v>1958</v>
      </c>
      <c r="F313" s="38"/>
      <c r="G313" s="39"/>
      <c r="H313" s="42"/>
      <c r="I313" s="64" t="s">
        <v>1339</v>
      </c>
      <c r="J313" s="63">
        <v>62321212.799999997</v>
      </c>
      <c r="K313" s="43">
        <v>0</v>
      </c>
      <c r="L313" s="56">
        <v>0</v>
      </c>
      <c r="M313" s="56">
        <v>0</v>
      </c>
      <c r="N313" s="44">
        <f t="shared" si="61"/>
        <v>100</v>
      </c>
      <c r="O313" s="45">
        <f t="shared" si="55"/>
        <v>62321212.799999997</v>
      </c>
      <c r="P313" s="43"/>
      <c r="Q313" s="45">
        <f t="shared" si="56"/>
        <v>62321212.799999997</v>
      </c>
      <c r="R313" s="43">
        <v>0</v>
      </c>
      <c r="S313" s="30">
        <f t="shared" si="60"/>
        <v>0</v>
      </c>
      <c r="T313" s="30">
        <f t="shared" si="60"/>
        <v>0</v>
      </c>
      <c r="U313" s="30" t="e">
        <f>T313/X313</f>
        <v>#DIV/0!</v>
      </c>
      <c r="V313" s="43" t="e">
        <f>T313/X313</f>
        <v>#DIV/0!</v>
      </c>
      <c r="W313" s="43" t="e">
        <f t="shared" si="52"/>
        <v>#DIV/0!</v>
      </c>
      <c r="X313" s="43">
        <f t="shared" si="57"/>
        <v>0</v>
      </c>
      <c r="Y313" s="43">
        <v>0</v>
      </c>
      <c r="Z313" s="43">
        <v>0</v>
      </c>
      <c r="AA313" s="43">
        <v>0</v>
      </c>
      <c r="AB313" s="43"/>
      <c r="AC313" s="43" t="e">
        <f t="shared" si="53"/>
        <v>#DIV/0!</v>
      </c>
      <c r="AD313" s="43"/>
      <c r="AE313" s="43" t="e">
        <f t="shared" si="54"/>
        <v>#DIV/0!</v>
      </c>
      <c r="AF313" s="43" t="e">
        <f t="shared" si="58"/>
        <v>#DIV/0!</v>
      </c>
      <c r="AG313" s="43" t="e">
        <f t="shared" si="59"/>
        <v>#DIV/0!</v>
      </c>
      <c r="AH313" s="38">
        <v>45371</v>
      </c>
      <c r="AI313" s="38"/>
      <c r="AJ313" s="38"/>
      <c r="AK313" s="38"/>
      <c r="AL313" s="38"/>
      <c r="AM313" s="48"/>
      <c r="AN313" s="42"/>
      <c r="AO313" s="42"/>
      <c r="AP313" s="42"/>
      <c r="AQ313" s="42"/>
      <c r="AR313" s="42"/>
      <c r="AS313" s="50"/>
      <c r="AT313" s="39"/>
      <c r="AU313" s="39"/>
      <c r="AV313" s="49"/>
      <c r="AW313" s="39"/>
      <c r="AX313" s="39">
        <v>10</v>
      </c>
      <c r="AY313" s="30">
        <f>(J313*10)/100</f>
        <v>6232121.2800000003</v>
      </c>
      <c r="AZ313" s="42"/>
    </row>
    <row r="314" spans="1:52" ht="39" customHeight="1" x14ac:dyDescent="0.25">
      <c r="A314" s="61" t="s">
        <v>1959</v>
      </c>
      <c r="B314" s="62">
        <v>45329</v>
      </c>
      <c r="C314" s="42" t="s">
        <v>1960</v>
      </c>
      <c r="D314" s="39" t="s">
        <v>434</v>
      </c>
      <c r="E314" s="41" t="s">
        <v>1961</v>
      </c>
      <c r="F314" s="39" t="s">
        <v>434</v>
      </c>
      <c r="G314" s="39" t="s">
        <v>434</v>
      </c>
      <c r="H314" s="39" t="s">
        <v>434</v>
      </c>
      <c r="I314" s="64" t="s">
        <v>1917</v>
      </c>
      <c r="J314" s="63">
        <v>8860135.6799999997</v>
      </c>
      <c r="K314" s="43">
        <v>0</v>
      </c>
      <c r="L314" s="56">
        <v>0</v>
      </c>
      <c r="M314" s="56">
        <v>0</v>
      </c>
      <c r="N314" s="44">
        <f t="shared" si="61"/>
        <v>100</v>
      </c>
      <c r="O314" s="45">
        <f t="shared" si="55"/>
        <v>8860135.6799999997</v>
      </c>
      <c r="P314" s="43"/>
      <c r="Q314" s="45">
        <f t="shared" si="56"/>
        <v>8860135.6799999997</v>
      </c>
      <c r="R314" s="43">
        <v>0</v>
      </c>
      <c r="S314" s="30">
        <f t="shared" si="60"/>
        <v>0</v>
      </c>
      <c r="T314" s="30">
        <f t="shared" si="60"/>
        <v>0</v>
      </c>
      <c r="U314" s="30" t="e">
        <f>T314/X314</f>
        <v>#DIV/0!</v>
      </c>
      <c r="V314" s="43" t="e">
        <f>T314/X314</f>
        <v>#DIV/0!</v>
      </c>
      <c r="W314" s="43" t="e">
        <f t="shared" si="52"/>
        <v>#DIV/0!</v>
      </c>
      <c r="X314" s="43">
        <f t="shared" si="57"/>
        <v>0</v>
      </c>
      <c r="Y314" s="43">
        <v>0</v>
      </c>
      <c r="Z314" s="43">
        <v>0</v>
      </c>
      <c r="AA314" s="43">
        <v>0</v>
      </c>
      <c r="AB314" s="43"/>
      <c r="AC314" s="43" t="e">
        <f t="shared" si="53"/>
        <v>#DIV/0!</v>
      </c>
      <c r="AD314" s="43"/>
      <c r="AE314" s="43" t="e">
        <f t="shared" si="54"/>
        <v>#DIV/0!</v>
      </c>
      <c r="AF314" s="43" t="e">
        <f t="shared" si="58"/>
        <v>#DIV/0!</v>
      </c>
      <c r="AG314" s="43" t="e">
        <f t="shared" si="59"/>
        <v>#DIV/0!</v>
      </c>
      <c r="AH314" s="38">
        <v>45397</v>
      </c>
      <c r="AI314" s="38"/>
      <c r="AJ314" s="38"/>
      <c r="AK314" s="38"/>
      <c r="AL314" s="38"/>
      <c r="AM314" s="48"/>
      <c r="AN314" s="42"/>
      <c r="AO314" s="42"/>
      <c r="AP314" s="42"/>
      <c r="AQ314" s="42"/>
      <c r="AR314" s="42"/>
      <c r="AS314" s="50"/>
      <c r="AT314" s="39"/>
      <c r="AU314" s="39"/>
      <c r="AV314" s="49"/>
      <c r="AW314" s="39"/>
      <c r="AX314" s="39">
        <v>10</v>
      </c>
      <c r="AY314" s="30">
        <f>(J314*10)/100</f>
        <v>886013.56799999997</v>
      </c>
      <c r="AZ314" s="42" t="s">
        <v>434</v>
      </c>
    </row>
    <row r="315" spans="1:52" ht="39" customHeight="1" x14ac:dyDescent="0.25">
      <c r="A315" s="61" t="s">
        <v>1962</v>
      </c>
      <c r="B315" s="62">
        <v>45329</v>
      </c>
      <c r="C315" s="42" t="s">
        <v>1954</v>
      </c>
      <c r="D315" s="37" t="s">
        <v>1963</v>
      </c>
      <c r="E315" s="41" t="s">
        <v>1964</v>
      </c>
      <c r="F315" s="38">
        <v>45341</v>
      </c>
      <c r="G315" s="39" t="s">
        <v>1965</v>
      </c>
      <c r="H315" s="59" t="s">
        <v>1966</v>
      </c>
      <c r="I315" s="64" t="s">
        <v>1580</v>
      </c>
      <c r="J315" s="63">
        <v>2434080</v>
      </c>
      <c r="K315" s="43">
        <v>0</v>
      </c>
      <c r="L315" s="56">
        <v>0</v>
      </c>
      <c r="M315" s="56">
        <v>0</v>
      </c>
      <c r="N315" s="44">
        <f t="shared" si="61"/>
        <v>14.099783080260304</v>
      </c>
      <c r="O315" s="45">
        <f t="shared" si="55"/>
        <v>343200</v>
      </c>
      <c r="P315" s="43">
        <v>2090880</v>
      </c>
      <c r="Q315" s="45">
        <f t="shared" si="56"/>
        <v>343200</v>
      </c>
      <c r="R315" s="43">
        <v>2090880</v>
      </c>
      <c r="S315" s="30">
        <f t="shared" si="60"/>
        <v>2090880</v>
      </c>
      <c r="T315" s="30">
        <f t="shared" si="60"/>
        <v>2090880</v>
      </c>
      <c r="U315" s="30">
        <f>T315/X315</f>
        <v>19.8</v>
      </c>
      <c r="V315" s="43">
        <f>T315/X315</f>
        <v>19.8</v>
      </c>
      <c r="W315" s="43">
        <f t="shared" si="52"/>
        <v>990</v>
      </c>
      <c r="X315" s="43">
        <f t="shared" si="57"/>
        <v>105600</v>
      </c>
      <c r="Y315" s="43">
        <v>105600</v>
      </c>
      <c r="Z315" s="43">
        <v>0</v>
      </c>
      <c r="AA315" s="43">
        <v>0</v>
      </c>
      <c r="AB315" s="43">
        <v>0</v>
      </c>
      <c r="AC315" s="43">
        <f t="shared" si="53"/>
        <v>0</v>
      </c>
      <c r="AD315" s="43">
        <v>0</v>
      </c>
      <c r="AE315" s="43">
        <f t="shared" si="54"/>
        <v>0</v>
      </c>
      <c r="AF315" s="43">
        <f t="shared" si="58"/>
        <v>2112</v>
      </c>
      <c r="AG315" s="43">
        <f t="shared" si="59"/>
        <v>2112</v>
      </c>
      <c r="AH315" s="38">
        <v>45397</v>
      </c>
      <c r="AI315" s="38"/>
      <c r="AJ315" s="38"/>
      <c r="AK315" s="38">
        <v>45427</v>
      </c>
      <c r="AL315" s="38"/>
      <c r="AM315" s="48"/>
      <c r="AN315" s="42"/>
      <c r="AO315" s="42" t="s">
        <v>1967</v>
      </c>
      <c r="AP315" s="42" t="s">
        <v>1968</v>
      </c>
      <c r="AQ315" s="42" t="s">
        <v>1969</v>
      </c>
      <c r="AR315" s="42" t="s">
        <v>82</v>
      </c>
      <c r="AS315" s="50">
        <v>100</v>
      </c>
      <c r="AT315" s="39">
        <v>0</v>
      </c>
      <c r="AU315" s="39" t="s">
        <v>389</v>
      </c>
      <c r="AV315" s="49">
        <v>50</v>
      </c>
      <c r="AW315" s="39" t="s">
        <v>221</v>
      </c>
      <c r="AX315" s="39">
        <v>10</v>
      </c>
      <c r="AY315" s="30">
        <f>(J315*10)/100</f>
        <v>243408</v>
      </c>
      <c r="AZ315" s="42" t="s">
        <v>405</v>
      </c>
    </row>
    <row r="316" spans="1:52" ht="39" customHeight="1" x14ac:dyDescent="0.25">
      <c r="A316" s="61" t="s">
        <v>1970</v>
      </c>
      <c r="B316" s="62">
        <v>45329</v>
      </c>
      <c r="C316" s="42" t="s">
        <v>1954</v>
      </c>
      <c r="D316" s="39" t="s">
        <v>434</v>
      </c>
      <c r="E316" s="41" t="s">
        <v>1971</v>
      </c>
      <c r="F316" s="39" t="s">
        <v>434</v>
      </c>
      <c r="G316" s="39" t="s">
        <v>434</v>
      </c>
      <c r="H316" s="39" t="s">
        <v>434</v>
      </c>
      <c r="I316" s="64" t="s">
        <v>1712</v>
      </c>
      <c r="J316" s="63">
        <v>4644</v>
      </c>
      <c r="K316" s="43">
        <v>0</v>
      </c>
      <c r="L316" s="56">
        <v>0</v>
      </c>
      <c r="M316" s="56">
        <v>0</v>
      </c>
      <c r="N316" s="44">
        <f t="shared" si="61"/>
        <v>100</v>
      </c>
      <c r="O316" s="45">
        <f t="shared" si="55"/>
        <v>4644</v>
      </c>
      <c r="P316" s="43"/>
      <c r="Q316" s="45">
        <f t="shared" si="56"/>
        <v>4644</v>
      </c>
      <c r="R316" s="43">
        <v>0</v>
      </c>
      <c r="S316" s="30">
        <f t="shared" si="60"/>
        <v>0</v>
      </c>
      <c r="T316" s="30">
        <f t="shared" si="60"/>
        <v>0</v>
      </c>
      <c r="U316" s="30" t="e">
        <f>T316/X316</f>
        <v>#DIV/0!</v>
      </c>
      <c r="V316" s="43" t="e">
        <f>T316/X316</f>
        <v>#DIV/0!</v>
      </c>
      <c r="W316" s="43" t="e">
        <f t="shared" si="52"/>
        <v>#DIV/0!</v>
      </c>
      <c r="X316" s="43">
        <f t="shared" si="57"/>
        <v>0</v>
      </c>
      <c r="Y316" s="43">
        <v>0</v>
      </c>
      <c r="Z316" s="43">
        <v>0</v>
      </c>
      <c r="AA316" s="43">
        <v>0</v>
      </c>
      <c r="AB316" s="43"/>
      <c r="AC316" s="43" t="e">
        <f t="shared" si="53"/>
        <v>#DIV/0!</v>
      </c>
      <c r="AD316" s="43"/>
      <c r="AE316" s="43" t="e">
        <f t="shared" si="54"/>
        <v>#DIV/0!</v>
      </c>
      <c r="AF316" s="43" t="e">
        <f t="shared" si="58"/>
        <v>#DIV/0!</v>
      </c>
      <c r="AG316" s="43" t="e">
        <f t="shared" si="59"/>
        <v>#DIV/0!</v>
      </c>
      <c r="AH316" s="38">
        <v>45397</v>
      </c>
      <c r="AI316" s="38"/>
      <c r="AJ316" s="38"/>
      <c r="AK316" s="38"/>
      <c r="AL316" s="38"/>
      <c r="AM316" s="48"/>
      <c r="AN316" s="42"/>
      <c r="AO316" s="42"/>
      <c r="AP316" s="42"/>
      <c r="AQ316" s="42"/>
      <c r="AR316" s="42"/>
      <c r="AS316" s="50"/>
      <c r="AT316" s="39"/>
      <c r="AU316" s="39"/>
      <c r="AV316" s="49"/>
      <c r="AW316" s="39"/>
      <c r="AX316" s="39">
        <v>10</v>
      </c>
      <c r="AY316" s="30">
        <f>(J316*10)/100</f>
        <v>464.4</v>
      </c>
      <c r="AZ316" s="42"/>
    </row>
    <row r="317" spans="1:52" ht="39" customHeight="1" x14ac:dyDescent="0.25">
      <c r="A317" s="61" t="s">
        <v>1972</v>
      </c>
      <c r="B317" s="62">
        <v>45329</v>
      </c>
      <c r="C317" s="42" t="s">
        <v>1960</v>
      </c>
      <c r="D317" s="37" t="s">
        <v>1973</v>
      </c>
      <c r="E317" s="41" t="s">
        <v>1974</v>
      </c>
      <c r="F317" s="38">
        <v>45341</v>
      </c>
      <c r="G317" s="39" t="s">
        <v>1975</v>
      </c>
      <c r="H317" s="42" t="s">
        <v>1129</v>
      </c>
      <c r="I317" s="65" t="s">
        <v>1940</v>
      </c>
      <c r="J317" s="63">
        <v>3873870</v>
      </c>
      <c r="K317" s="43">
        <v>0</v>
      </c>
      <c r="L317" s="56">
        <v>0</v>
      </c>
      <c r="M317" s="56">
        <v>0</v>
      </c>
      <c r="N317" s="44">
        <f t="shared" si="61"/>
        <v>0</v>
      </c>
      <c r="O317" s="45">
        <f t="shared" si="55"/>
        <v>0</v>
      </c>
      <c r="P317" s="63">
        <v>3873870</v>
      </c>
      <c r="Q317" s="45">
        <f t="shared" si="56"/>
        <v>0</v>
      </c>
      <c r="R317" s="63">
        <v>3873870</v>
      </c>
      <c r="S317" s="30">
        <f t="shared" si="60"/>
        <v>3873870</v>
      </c>
      <c r="T317" s="30">
        <f t="shared" si="60"/>
        <v>3873870</v>
      </c>
      <c r="U317" s="30">
        <f>T317/X317</f>
        <v>77</v>
      </c>
      <c r="V317" s="43">
        <f>T317/X317</f>
        <v>77</v>
      </c>
      <c r="W317" s="43">
        <f t="shared" si="52"/>
        <v>7700</v>
      </c>
      <c r="X317" s="43">
        <f t="shared" si="57"/>
        <v>50310</v>
      </c>
      <c r="Y317" s="43">
        <v>50310</v>
      </c>
      <c r="Z317" s="43">
        <v>0</v>
      </c>
      <c r="AA317" s="43">
        <v>0</v>
      </c>
      <c r="AB317" s="43">
        <v>0</v>
      </c>
      <c r="AC317" s="43">
        <f t="shared" si="53"/>
        <v>0</v>
      </c>
      <c r="AD317" s="43">
        <v>0</v>
      </c>
      <c r="AE317" s="43">
        <f t="shared" si="54"/>
        <v>0</v>
      </c>
      <c r="AF317" s="43">
        <f t="shared" si="58"/>
        <v>503.1</v>
      </c>
      <c r="AG317" s="43">
        <f t="shared" si="59"/>
        <v>504</v>
      </c>
      <c r="AH317" s="38">
        <v>45397</v>
      </c>
      <c r="AI317" s="38"/>
      <c r="AJ317" s="38"/>
      <c r="AK317" s="38">
        <v>45427</v>
      </c>
      <c r="AL317" s="38"/>
      <c r="AM317" s="48"/>
      <c r="AN317" s="42"/>
      <c r="AO317" s="42" t="s">
        <v>1976</v>
      </c>
      <c r="AP317" s="42" t="s">
        <v>1977</v>
      </c>
      <c r="AQ317" s="42" t="s">
        <v>1978</v>
      </c>
      <c r="AR317" s="42" t="s">
        <v>82</v>
      </c>
      <c r="AS317" s="50">
        <v>100</v>
      </c>
      <c r="AT317" s="39">
        <v>0</v>
      </c>
      <c r="AU317" s="39" t="s">
        <v>389</v>
      </c>
      <c r="AV317" s="49">
        <v>100</v>
      </c>
      <c r="AW317" s="39" t="s">
        <v>221</v>
      </c>
      <c r="AX317" s="39">
        <v>10</v>
      </c>
      <c r="AY317" s="30">
        <f>(J317*10)/100</f>
        <v>387387</v>
      </c>
      <c r="AZ317" s="42" t="s">
        <v>405</v>
      </c>
    </row>
    <row r="318" spans="1:52" ht="39" customHeight="1" x14ac:dyDescent="0.25">
      <c r="A318" s="61" t="s">
        <v>1979</v>
      </c>
      <c r="B318" s="62">
        <v>45329</v>
      </c>
      <c r="C318" s="42" t="s">
        <v>1960</v>
      </c>
      <c r="D318" s="37" t="s">
        <v>1980</v>
      </c>
      <c r="E318" s="41" t="s">
        <v>1981</v>
      </c>
      <c r="F318" s="38">
        <v>45341</v>
      </c>
      <c r="G318" s="39" t="s">
        <v>1982</v>
      </c>
      <c r="H318" s="42" t="s">
        <v>1129</v>
      </c>
      <c r="I318" s="64" t="s">
        <v>1946</v>
      </c>
      <c r="J318" s="63">
        <v>18761.599999999999</v>
      </c>
      <c r="K318" s="43">
        <v>0</v>
      </c>
      <c r="L318" s="56">
        <v>0</v>
      </c>
      <c r="M318" s="56">
        <v>0</v>
      </c>
      <c r="N318" s="44">
        <f t="shared" si="61"/>
        <v>0</v>
      </c>
      <c r="O318" s="45">
        <f t="shared" si="55"/>
        <v>0</v>
      </c>
      <c r="P318" s="43">
        <v>18761.599999999999</v>
      </c>
      <c r="Q318" s="45">
        <f t="shared" si="56"/>
        <v>0</v>
      </c>
      <c r="R318" s="43">
        <v>18761.599999999999</v>
      </c>
      <c r="S318" s="30">
        <f t="shared" si="60"/>
        <v>18761.599999999999</v>
      </c>
      <c r="T318" s="30">
        <f t="shared" si="60"/>
        <v>18761.599999999999</v>
      </c>
      <c r="U318" s="30">
        <f>T318/X318</f>
        <v>180.39999999999998</v>
      </c>
      <c r="V318" s="43">
        <f>T318/X318</f>
        <v>180.39999999999998</v>
      </c>
      <c r="W318" s="43">
        <f t="shared" si="52"/>
        <v>90.199999999999989</v>
      </c>
      <c r="X318" s="43">
        <f t="shared" si="57"/>
        <v>104</v>
      </c>
      <c r="Y318" s="43">
        <v>104</v>
      </c>
      <c r="Z318" s="43">
        <v>0</v>
      </c>
      <c r="AA318" s="43">
        <v>0</v>
      </c>
      <c r="AB318" s="43">
        <v>0</v>
      </c>
      <c r="AC318" s="43">
        <f t="shared" si="53"/>
        <v>0</v>
      </c>
      <c r="AD318" s="43">
        <v>0</v>
      </c>
      <c r="AE318" s="43">
        <f t="shared" si="54"/>
        <v>0</v>
      </c>
      <c r="AF318" s="43">
        <f t="shared" si="58"/>
        <v>208</v>
      </c>
      <c r="AG318" s="43">
        <f t="shared" si="59"/>
        <v>208</v>
      </c>
      <c r="AH318" s="38">
        <v>45397</v>
      </c>
      <c r="AI318" s="38"/>
      <c r="AJ318" s="38"/>
      <c r="AK318" s="38">
        <v>45427</v>
      </c>
      <c r="AL318" s="38"/>
      <c r="AM318" s="48"/>
      <c r="AN318" s="42"/>
      <c r="AO318" s="42" t="s">
        <v>1983</v>
      </c>
      <c r="AP318" s="42" t="s">
        <v>1984</v>
      </c>
      <c r="AQ318" s="42" t="s">
        <v>1985</v>
      </c>
      <c r="AR318" s="42" t="s">
        <v>82</v>
      </c>
      <c r="AS318" s="50">
        <v>100</v>
      </c>
      <c r="AT318" s="39">
        <v>0</v>
      </c>
      <c r="AU318" s="39" t="s">
        <v>346</v>
      </c>
      <c r="AV318" s="54">
        <v>0.5</v>
      </c>
      <c r="AW318" s="39" t="s">
        <v>221</v>
      </c>
      <c r="AX318" s="39">
        <v>10</v>
      </c>
      <c r="AY318" s="30">
        <f>(J318*10)/100</f>
        <v>1876.16</v>
      </c>
      <c r="AZ318" s="42" t="s">
        <v>405</v>
      </c>
    </row>
    <row r="319" spans="1:52" ht="39" customHeight="1" x14ac:dyDescent="0.25">
      <c r="A319" s="61" t="s">
        <v>1986</v>
      </c>
      <c r="B319" s="62">
        <v>45329</v>
      </c>
      <c r="C319" s="42" t="s">
        <v>1954</v>
      </c>
      <c r="D319" s="39" t="s">
        <v>434</v>
      </c>
      <c r="E319" s="41" t="s">
        <v>1987</v>
      </c>
      <c r="F319" s="39" t="s">
        <v>434</v>
      </c>
      <c r="G319" s="39" t="s">
        <v>434</v>
      </c>
      <c r="H319" s="39" t="s">
        <v>434</v>
      </c>
      <c r="I319" s="65" t="s">
        <v>494</v>
      </c>
      <c r="J319" s="63">
        <v>18191.7</v>
      </c>
      <c r="K319" s="43">
        <v>0</v>
      </c>
      <c r="L319" s="56">
        <v>0</v>
      </c>
      <c r="M319" s="56">
        <v>0</v>
      </c>
      <c r="N319" s="44">
        <f t="shared" si="61"/>
        <v>100</v>
      </c>
      <c r="O319" s="45">
        <f t="shared" si="55"/>
        <v>18191.7</v>
      </c>
      <c r="P319" s="43"/>
      <c r="Q319" s="45">
        <f t="shared" si="56"/>
        <v>18191.7</v>
      </c>
      <c r="R319" s="43">
        <v>0</v>
      </c>
      <c r="S319" s="30">
        <f t="shared" si="60"/>
        <v>0</v>
      </c>
      <c r="T319" s="30">
        <f t="shared" si="60"/>
        <v>0</v>
      </c>
      <c r="U319" s="30" t="e">
        <f>T319/X319</f>
        <v>#DIV/0!</v>
      </c>
      <c r="V319" s="43" t="e">
        <f>T319/X319</f>
        <v>#DIV/0!</v>
      </c>
      <c r="W319" s="43" t="e">
        <f t="shared" si="52"/>
        <v>#DIV/0!</v>
      </c>
      <c r="X319" s="43">
        <f t="shared" si="57"/>
        <v>0</v>
      </c>
      <c r="Y319" s="43">
        <v>0</v>
      </c>
      <c r="Z319" s="43">
        <v>0</v>
      </c>
      <c r="AA319" s="43">
        <v>0</v>
      </c>
      <c r="AB319" s="43"/>
      <c r="AC319" s="43" t="e">
        <f t="shared" si="53"/>
        <v>#DIV/0!</v>
      </c>
      <c r="AD319" s="43"/>
      <c r="AE319" s="43" t="e">
        <f t="shared" si="54"/>
        <v>#DIV/0!</v>
      </c>
      <c r="AF319" s="43" t="e">
        <f t="shared" si="58"/>
        <v>#DIV/0!</v>
      </c>
      <c r="AG319" s="43" t="e">
        <f t="shared" si="59"/>
        <v>#DIV/0!</v>
      </c>
      <c r="AH319" s="38">
        <v>45397</v>
      </c>
      <c r="AI319" s="38"/>
      <c r="AJ319" s="38"/>
      <c r="AK319" s="38"/>
      <c r="AL319" s="38"/>
      <c r="AM319" s="48"/>
      <c r="AN319" s="42"/>
      <c r="AO319" s="42"/>
      <c r="AP319" s="42"/>
      <c r="AQ319" s="42"/>
      <c r="AR319" s="42"/>
      <c r="AS319" s="50"/>
      <c r="AT319" s="39"/>
      <c r="AU319" s="39"/>
      <c r="AV319" s="49"/>
      <c r="AW319" s="39"/>
      <c r="AX319" s="39">
        <v>10</v>
      </c>
      <c r="AY319" s="30">
        <f>(J319*10)/100</f>
        <v>1819.17</v>
      </c>
      <c r="AZ319" s="42" t="s">
        <v>434</v>
      </c>
    </row>
    <row r="320" spans="1:52" ht="39" customHeight="1" x14ac:dyDescent="0.25">
      <c r="A320" s="61" t="s">
        <v>1988</v>
      </c>
      <c r="B320" s="62">
        <v>45329</v>
      </c>
      <c r="C320" s="42" t="s">
        <v>1960</v>
      </c>
      <c r="D320" s="39" t="s">
        <v>434</v>
      </c>
      <c r="E320" s="41" t="s">
        <v>1989</v>
      </c>
      <c r="F320" s="39" t="s">
        <v>434</v>
      </c>
      <c r="G320" s="39" t="s">
        <v>434</v>
      </c>
      <c r="H320" s="39" t="s">
        <v>434</v>
      </c>
      <c r="I320" s="64" t="s">
        <v>1990</v>
      </c>
      <c r="J320" s="63">
        <v>336050</v>
      </c>
      <c r="K320" s="43">
        <v>0</v>
      </c>
      <c r="L320" s="56">
        <v>0</v>
      </c>
      <c r="M320" s="56">
        <v>0</v>
      </c>
      <c r="N320" s="44">
        <f t="shared" si="61"/>
        <v>100</v>
      </c>
      <c r="O320" s="45">
        <f t="shared" si="55"/>
        <v>336050</v>
      </c>
      <c r="P320" s="43"/>
      <c r="Q320" s="45">
        <f t="shared" si="56"/>
        <v>336050</v>
      </c>
      <c r="R320" s="43">
        <v>0</v>
      </c>
      <c r="S320" s="30">
        <f t="shared" si="60"/>
        <v>0</v>
      </c>
      <c r="T320" s="30">
        <f t="shared" si="60"/>
        <v>0</v>
      </c>
      <c r="U320" s="30" t="e">
        <f>T320/X320</f>
        <v>#DIV/0!</v>
      </c>
      <c r="V320" s="43" t="e">
        <f>T320/X320</f>
        <v>#DIV/0!</v>
      </c>
      <c r="W320" s="43" t="e">
        <f t="shared" si="52"/>
        <v>#DIV/0!</v>
      </c>
      <c r="X320" s="43">
        <f t="shared" si="57"/>
        <v>0</v>
      </c>
      <c r="Y320" s="43">
        <v>0</v>
      </c>
      <c r="Z320" s="43">
        <v>0</v>
      </c>
      <c r="AA320" s="43">
        <v>0</v>
      </c>
      <c r="AB320" s="43"/>
      <c r="AC320" s="43" t="e">
        <f t="shared" si="53"/>
        <v>#DIV/0!</v>
      </c>
      <c r="AD320" s="43"/>
      <c r="AE320" s="43" t="e">
        <f t="shared" si="54"/>
        <v>#DIV/0!</v>
      </c>
      <c r="AF320" s="43" t="e">
        <f t="shared" si="58"/>
        <v>#DIV/0!</v>
      </c>
      <c r="AG320" s="43" t="e">
        <f t="shared" si="59"/>
        <v>#DIV/0!</v>
      </c>
      <c r="AH320" s="38">
        <v>45397</v>
      </c>
      <c r="AI320" s="38"/>
      <c r="AJ320" s="38"/>
      <c r="AK320" s="38"/>
      <c r="AL320" s="38"/>
      <c r="AM320" s="48"/>
      <c r="AN320" s="42"/>
      <c r="AO320" s="42"/>
      <c r="AP320" s="42"/>
      <c r="AQ320" s="42"/>
      <c r="AR320" s="42"/>
      <c r="AS320" s="50"/>
      <c r="AT320" s="39"/>
      <c r="AU320" s="39"/>
      <c r="AV320" s="49"/>
      <c r="AW320" s="39"/>
      <c r="AX320" s="39">
        <v>10</v>
      </c>
      <c r="AY320" s="30">
        <f>(J320*10)/100</f>
        <v>33605</v>
      </c>
      <c r="AZ320" s="42" t="s">
        <v>434</v>
      </c>
    </row>
    <row r="321" spans="1:52" ht="39" customHeight="1" x14ac:dyDescent="0.25">
      <c r="A321" s="61" t="s">
        <v>1991</v>
      </c>
      <c r="B321" s="62">
        <v>45329</v>
      </c>
      <c r="C321" s="42" t="s">
        <v>1954</v>
      </c>
      <c r="D321" s="39" t="s">
        <v>434</v>
      </c>
      <c r="E321" s="41" t="s">
        <v>1992</v>
      </c>
      <c r="F321" s="39" t="s">
        <v>434</v>
      </c>
      <c r="G321" s="39" t="s">
        <v>434</v>
      </c>
      <c r="H321" s="39" t="s">
        <v>434</v>
      </c>
      <c r="I321" s="64" t="s">
        <v>1625</v>
      </c>
      <c r="J321" s="63">
        <v>80173.8</v>
      </c>
      <c r="K321" s="43">
        <v>0</v>
      </c>
      <c r="L321" s="56">
        <v>0</v>
      </c>
      <c r="M321" s="56">
        <v>0</v>
      </c>
      <c r="N321" s="44">
        <f t="shared" si="61"/>
        <v>100</v>
      </c>
      <c r="O321" s="45">
        <f t="shared" si="55"/>
        <v>80173.8</v>
      </c>
      <c r="P321" s="43"/>
      <c r="Q321" s="45">
        <f t="shared" si="56"/>
        <v>80173.8</v>
      </c>
      <c r="R321" s="43">
        <v>0</v>
      </c>
      <c r="S321" s="30">
        <f t="shared" si="60"/>
        <v>0</v>
      </c>
      <c r="T321" s="30">
        <f t="shared" si="60"/>
        <v>0</v>
      </c>
      <c r="U321" s="30" t="e">
        <f>T321/X321</f>
        <v>#DIV/0!</v>
      </c>
      <c r="V321" s="43" t="e">
        <f>T321/X321</f>
        <v>#DIV/0!</v>
      </c>
      <c r="W321" s="43" t="e">
        <f t="shared" si="52"/>
        <v>#DIV/0!</v>
      </c>
      <c r="X321" s="43">
        <f t="shared" si="57"/>
        <v>0</v>
      </c>
      <c r="Y321" s="43">
        <v>0</v>
      </c>
      <c r="Z321" s="43">
        <v>0</v>
      </c>
      <c r="AA321" s="43">
        <v>0</v>
      </c>
      <c r="AB321" s="43"/>
      <c r="AC321" s="43" t="e">
        <f t="shared" si="53"/>
        <v>#DIV/0!</v>
      </c>
      <c r="AD321" s="43"/>
      <c r="AE321" s="43" t="e">
        <f t="shared" si="54"/>
        <v>#DIV/0!</v>
      </c>
      <c r="AF321" s="43" t="e">
        <f t="shared" si="58"/>
        <v>#DIV/0!</v>
      </c>
      <c r="AG321" s="43" t="e">
        <f t="shared" si="59"/>
        <v>#DIV/0!</v>
      </c>
      <c r="AH321" s="38">
        <v>45444</v>
      </c>
      <c r="AI321" s="38"/>
      <c r="AJ321" s="38"/>
      <c r="AK321" s="38"/>
      <c r="AL321" s="38"/>
      <c r="AM321" s="48"/>
      <c r="AN321" s="42"/>
      <c r="AO321" s="42"/>
      <c r="AP321" s="42"/>
      <c r="AQ321" s="42"/>
      <c r="AR321" s="42"/>
      <c r="AS321" s="50"/>
      <c r="AT321" s="39"/>
      <c r="AU321" s="39"/>
      <c r="AV321" s="49"/>
      <c r="AW321" s="39"/>
      <c r="AX321" s="39">
        <v>10</v>
      </c>
      <c r="AY321" s="30">
        <f>(J321*10)/100</f>
        <v>8017.38</v>
      </c>
      <c r="AZ321" s="42" t="s">
        <v>434</v>
      </c>
    </row>
    <row r="322" spans="1:52" ht="39" customHeight="1" x14ac:dyDescent="0.25">
      <c r="A322" s="61" t="s">
        <v>1993</v>
      </c>
      <c r="B322" s="62">
        <v>45329</v>
      </c>
      <c r="C322" s="42" t="s">
        <v>1954</v>
      </c>
      <c r="D322" s="39" t="s">
        <v>434</v>
      </c>
      <c r="E322" s="41" t="s">
        <v>1994</v>
      </c>
      <c r="F322" s="39" t="s">
        <v>434</v>
      </c>
      <c r="G322" s="39" t="s">
        <v>434</v>
      </c>
      <c r="H322" s="39" t="s">
        <v>434</v>
      </c>
      <c r="I322" s="64" t="s">
        <v>1631</v>
      </c>
      <c r="J322" s="63">
        <v>4143700</v>
      </c>
      <c r="K322" s="43">
        <v>0</v>
      </c>
      <c r="L322" s="56">
        <v>0</v>
      </c>
      <c r="M322" s="56">
        <v>0</v>
      </c>
      <c r="N322" s="44">
        <f t="shared" si="61"/>
        <v>100</v>
      </c>
      <c r="O322" s="45">
        <f t="shared" si="55"/>
        <v>4143700</v>
      </c>
      <c r="P322" s="43"/>
      <c r="Q322" s="45">
        <f t="shared" si="56"/>
        <v>4143700</v>
      </c>
      <c r="R322" s="43">
        <v>0</v>
      </c>
      <c r="S322" s="30">
        <f t="shared" si="60"/>
        <v>0</v>
      </c>
      <c r="T322" s="30">
        <f t="shared" si="60"/>
        <v>0</v>
      </c>
      <c r="U322" s="30" t="e">
        <f>T322/X322</f>
        <v>#DIV/0!</v>
      </c>
      <c r="V322" s="43" t="e">
        <f>T322/X322</f>
        <v>#DIV/0!</v>
      </c>
      <c r="W322" s="43" t="e">
        <f t="shared" si="52"/>
        <v>#DIV/0!</v>
      </c>
      <c r="X322" s="43">
        <f t="shared" si="57"/>
        <v>0</v>
      </c>
      <c r="Y322" s="43">
        <v>0</v>
      </c>
      <c r="Z322" s="43">
        <v>0</v>
      </c>
      <c r="AA322" s="43">
        <v>0</v>
      </c>
      <c r="AB322" s="43"/>
      <c r="AC322" s="43" t="e">
        <f t="shared" si="53"/>
        <v>#DIV/0!</v>
      </c>
      <c r="AD322" s="43"/>
      <c r="AE322" s="43" t="e">
        <f t="shared" si="54"/>
        <v>#DIV/0!</v>
      </c>
      <c r="AF322" s="43" t="e">
        <f t="shared" si="58"/>
        <v>#DIV/0!</v>
      </c>
      <c r="AG322" s="43" t="e">
        <f t="shared" si="59"/>
        <v>#DIV/0!</v>
      </c>
      <c r="AH322" s="38">
        <v>45474</v>
      </c>
      <c r="AI322" s="38"/>
      <c r="AJ322" s="38"/>
      <c r="AK322" s="38"/>
      <c r="AL322" s="38"/>
      <c r="AM322" s="48"/>
      <c r="AN322" s="42"/>
      <c r="AO322" s="42"/>
      <c r="AP322" s="42"/>
      <c r="AQ322" s="42"/>
      <c r="AR322" s="42"/>
      <c r="AS322" s="50"/>
      <c r="AT322" s="39"/>
      <c r="AU322" s="39"/>
      <c r="AV322" s="49"/>
      <c r="AW322" s="39"/>
      <c r="AX322" s="39">
        <v>10</v>
      </c>
      <c r="AY322" s="30">
        <f>(J322*10)/100</f>
        <v>414370</v>
      </c>
      <c r="AZ322" s="42" t="s">
        <v>434</v>
      </c>
    </row>
    <row r="323" spans="1:52" ht="39" customHeight="1" x14ac:dyDescent="0.25">
      <c r="A323" s="61" t="s">
        <v>1995</v>
      </c>
      <c r="B323" s="62">
        <v>45330</v>
      </c>
      <c r="C323" s="42" t="s">
        <v>1960</v>
      </c>
      <c r="D323" s="37"/>
      <c r="E323" s="41" t="s">
        <v>1996</v>
      </c>
      <c r="F323" s="38">
        <v>45342</v>
      </c>
      <c r="G323" s="39" t="s">
        <v>1997</v>
      </c>
      <c r="H323" s="42" t="s">
        <v>1129</v>
      </c>
      <c r="I323" s="64" t="s">
        <v>1998</v>
      </c>
      <c r="J323" s="63">
        <v>363739.7</v>
      </c>
      <c r="K323" s="43">
        <v>0</v>
      </c>
      <c r="L323" s="56">
        <v>0</v>
      </c>
      <c r="M323" s="56">
        <v>0</v>
      </c>
      <c r="N323" s="44">
        <f t="shared" si="61"/>
        <v>0</v>
      </c>
      <c r="O323" s="45">
        <f t="shared" si="55"/>
        <v>0</v>
      </c>
      <c r="P323" s="43">
        <v>363739.7</v>
      </c>
      <c r="Q323" s="45">
        <f t="shared" si="56"/>
        <v>0</v>
      </c>
      <c r="R323" s="63">
        <v>363739.7</v>
      </c>
      <c r="S323" s="30">
        <f t="shared" si="60"/>
        <v>363739.7</v>
      </c>
      <c r="T323" s="30">
        <f t="shared" si="60"/>
        <v>363739.7</v>
      </c>
      <c r="U323" s="30">
        <f>T323/X323</f>
        <v>32.39</v>
      </c>
      <c r="V323" s="43">
        <f>T323/X323</f>
        <v>32.39</v>
      </c>
      <c r="W323" s="43">
        <f t="shared" ref="W323:W386" si="62">V323*AV323</f>
        <v>226.73000000000002</v>
      </c>
      <c r="X323" s="43">
        <f t="shared" si="57"/>
        <v>11230</v>
      </c>
      <c r="Y323" s="43">
        <v>11230</v>
      </c>
      <c r="Z323" s="43">
        <v>0</v>
      </c>
      <c r="AA323" s="43">
        <v>0</v>
      </c>
      <c r="AB323" s="43">
        <v>0</v>
      </c>
      <c r="AC323" s="43">
        <f t="shared" si="53"/>
        <v>0</v>
      </c>
      <c r="AD323" s="43">
        <v>0</v>
      </c>
      <c r="AE323" s="43">
        <f t="shared" si="54"/>
        <v>0</v>
      </c>
      <c r="AF323" s="43">
        <f t="shared" si="58"/>
        <v>1604.2857142857142</v>
      </c>
      <c r="AG323" s="43">
        <f t="shared" si="59"/>
        <v>1605</v>
      </c>
      <c r="AH323" s="38">
        <v>45397</v>
      </c>
      <c r="AI323" s="38"/>
      <c r="AJ323" s="38"/>
      <c r="AK323" s="38">
        <v>45427</v>
      </c>
      <c r="AL323" s="38"/>
      <c r="AM323" s="48"/>
      <c r="AN323" s="42"/>
      <c r="AO323" s="42" t="s">
        <v>1999</v>
      </c>
      <c r="AP323" s="42" t="s">
        <v>2000</v>
      </c>
      <c r="AQ323" s="42" t="s">
        <v>2001</v>
      </c>
      <c r="AR323" s="42" t="s">
        <v>82</v>
      </c>
      <c r="AS323" s="50">
        <v>100</v>
      </c>
      <c r="AT323" s="39">
        <v>0</v>
      </c>
      <c r="AU323" s="39" t="s">
        <v>389</v>
      </c>
      <c r="AV323" s="49">
        <v>7</v>
      </c>
      <c r="AW323" s="39" t="s">
        <v>221</v>
      </c>
      <c r="AX323" s="39">
        <v>10</v>
      </c>
      <c r="AY323" s="30">
        <f>(J323*10)/100</f>
        <v>36373.97</v>
      </c>
      <c r="AZ323" s="42" t="s">
        <v>405</v>
      </c>
    </row>
    <row r="324" spans="1:52" ht="39" customHeight="1" x14ac:dyDescent="0.25">
      <c r="A324" s="61" t="s">
        <v>2002</v>
      </c>
      <c r="B324" s="62">
        <v>45330</v>
      </c>
      <c r="C324" s="42" t="s">
        <v>1960</v>
      </c>
      <c r="D324" s="37"/>
      <c r="E324" s="41" t="s">
        <v>2003</v>
      </c>
      <c r="F324" s="38">
        <v>45342</v>
      </c>
      <c r="G324" s="39" t="s">
        <v>2004</v>
      </c>
      <c r="H324" s="42" t="s">
        <v>1129</v>
      </c>
      <c r="I324" s="65" t="s">
        <v>1923</v>
      </c>
      <c r="J324" s="63">
        <v>133650</v>
      </c>
      <c r="K324" s="43">
        <v>0</v>
      </c>
      <c r="L324" s="56">
        <v>0</v>
      </c>
      <c r="M324" s="56">
        <v>0</v>
      </c>
      <c r="N324" s="44">
        <f t="shared" si="61"/>
        <v>0</v>
      </c>
      <c r="O324" s="45">
        <f t="shared" si="55"/>
        <v>0</v>
      </c>
      <c r="P324" s="63">
        <v>133650</v>
      </c>
      <c r="Q324" s="45">
        <f t="shared" si="56"/>
        <v>0</v>
      </c>
      <c r="R324" s="63">
        <v>133650</v>
      </c>
      <c r="S324" s="30">
        <f t="shared" si="60"/>
        <v>133650</v>
      </c>
      <c r="T324" s="30">
        <f t="shared" si="60"/>
        <v>133650</v>
      </c>
      <c r="U324" s="30">
        <f>T324/X324</f>
        <v>49.5</v>
      </c>
      <c r="V324" s="43">
        <f>T324/X324</f>
        <v>49.5</v>
      </c>
      <c r="W324" s="43">
        <f t="shared" si="62"/>
        <v>4950</v>
      </c>
      <c r="X324" s="43">
        <f t="shared" si="57"/>
        <v>2700</v>
      </c>
      <c r="Y324" s="43">
        <v>2700</v>
      </c>
      <c r="Z324" s="43">
        <v>0</v>
      </c>
      <c r="AA324" s="43">
        <v>0</v>
      </c>
      <c r="AB324" s="43">
        <v>0</v>
      </c>
      <c r="AC324" s="43">
        <f t="shared" ref="AC324:AC387" si="63">AB324*V324</f>
        <v>0</v>
      </c>
      <c r="AD324" s="43">
        <v>0</v>
      </c>
      <c r="AE324" s="43">
        <f t="shared" ref="AE324:AE387" si="64">AD324*V324</f>
        <v>0</v>
      </c>
      <c r="AF324" s="43">
        <f t="shared" si="58"/>
        <v>27</v>
      </c>
      <c r="AG324" s="43">
        <f t="shared" si="59"/>
        <v>27</v>
      </c>
      <c r="AH324" s="38">
        <v>45397</v>
      </c>
      <c r="AI324" s="38"/>
      <c r="AJ324" s="38"/>
      <c r="AK324" s="38">
        <v>45427</v>
      </c>
      <c r="AL324" s="38"/>
      <c r="AM324" s="48"/>
      <c r="AN324" s="42"/>
      <c r="AO324" s="42" t="s">
        <v>2005</v>
      </c>
      <c r="AP324" s="42" t="s">
        <v>2006</v>
      </c>
      <c r="AQ324" s="42" t="s">
        <v>2007</v>
      </c>
      <c r="AR324" s="42" t="s">
        <v>82</v>
      </c>
      <c r="AS324" s="50">
        <v>100</v>
      </c>
      <c r="AT324" s="39">
        <v>0</v>
      </c>
      <c r="AU324" s="39" t="s">
        <v>389</v>
      </c>
      <c r="AV324" s="49">
        <v>100</v>
      </c>
      <c r="AW324" s="39" t="s">
        <v>221</v>
      </c>
      <c r="AX324" s="39">
        <v>10</v>
      </c>
      <c r="AY324" s="30">
        <f>(J324*10)/100</f>
        <v>13365</v>
      </c>
      <c r="AZ324" s="42" t="s">
        <v>405</v>
      </c>
    </row>
    <row r="325" spans="1:52" ht="39" customHeight="1" x14ac:dyDescent="0.25">
      <c r="A325" s="61" t="s">
        <v>2008</v>
      </c>
      <c r="B325" s="62">
        <v>45330</v>
      </c>
      <c r="C325" s="42" t="s">
        <v>1954</v>
      </c>
      <c r="D325" s="39" t="s">
        <v>434</v>
      </c>
      <c r="E325" s="41" t="s">
        <v>2009</v>
      </c>
      <c r="F325" s="39" t="s">
        <v>434</v>
      </c>
      <c r="G325" s="39" t="s">
        <v>434</v>
      </c>
      <c r="H325" s="39" t="s">
        <v>434</v>
      </c>
      <c r="I325" s="64" t="s">
        <v>1665</v>
      </c>
      <c r="J325" s="63">
        <v>10444.200000000001</v>
      </c>
      <c r="K325" s="43">
        <v>0</v>
      </c>
      <c r="L325" s="56">
        <v>0</v>
      </c>
      <c r="M325" s="56">
        <v>0</v>
      </c>
      <c r="N325" s="44">
        <f t="shared" si="61"/>
        <v>100</v>
      </c>
      <c r="O325" s="45">
        <f t="shared" si="55"/>
        <v>10444.200000000001</v>
      </c>
      <c r="P325" s="43"/>
      <c r="Q325" s="45">
        <f t="shared" si="56"/>
        <v>10444.200000000001</v>
      </c>
      <c r="R325" s="43">
        <v>0</v>
      </c>
      <c r="S325" s="30">
        <f t="shared" si="60"/>
        <v>0</v>
      </c>
      <c r="T325" s="30">
        <f t="shared" si="60"/>
        <v>0</v>
      </c>
      <c r="U325" s="30" t="e">
        <f>T325/X325</f>
        <v>#DIV/0!</v>
      </c>
      <c r="V325" s="43" t="e">
        <f>T325/X325</f>
        <v>#DIV/0!</v>
      </c>
      <c r="W325" s="43" t="e">
        <f t="shared" si="62"/>
        <v>#DIV/0!</v>
      </c>
      <c r="X325" s="43">
        <f t="shared" si="57"/>
        <v>0</v>
      </c>
      <c r="Y325" s="43">
        <v>0</v>
      </c>
      <c r="Z325" s="43">
        <v>0</v>
      </c>
      <c r="AA325" s="43">
        <v>0</v>
      </c>
      <c r="AB325" s="43"/>
      <c r="AC325" s="43" t="e">
        <f t="shared" si="63"/>
        <v>#DIV/0!</v>
      </c>
      <c r="AD325" s="43"/>
      <c r="AE325" s="43" t="e">
        <f t="shared" si="64"/>
        <v>#DIV/0!</v>
      </c>
      <c r="AF325" s="43" t="e">
        <f t="shared" si="58"/>
        <v>#DIV/0!</v>
      </c>
      <c r="AG325" s="43" t="e">
        <f t="shared" si="59"/>
        <v>#DIV/0!</v>
      </c>
      <c r="AH325" s="38">
        <v>45397</v>
      </c>
      <c r="AI325" s="38"/>
      <c r="AJ325" s="38"/>
      <c r="AK325" s="38"/>
      <c r="AL325" s="38"/>
      <c r="AM325" s="48"/>
      <c r="AN325" s="42"/>
      <c r="AO325" s="42"/>
      <c r="AP325" s="42"/>
      <c r="AQ325" s="42"/>
      <c r="AR325" s="42"/>
      <c r="AS325" s="50"/>
      <c r="AT325" s="39"/>
      <c r="AU325" s="39"/>
      <c r="AV325" s="49"/>
      <c r="AW325" s="39"/>
      <c r="AX325" s="39">
        <v>10</v>
      </c>
      <c r="AY325" s="30">
        <f>(J325*10)/100</f>
        <v>1044.42</v>
      </c>
      <c r="AZ325" s="42"/>
    </row>
    <row r="326" spans="1:52" ht="39" customHeight="1" x14ac:dyDescent="0.25">
      <c r="A326" s="61" t="s">
        <v>2010</v>
      </c>
      <c r="B326" s="62">
        <v>45330</v>
      </c>
      <c r="C326" s="42" t="s">
        <v>496</v>
      </c>
      <c r="D326" s="37"/>
      <c r="E326" s="41" t="s">
        <v>2011</v>
      </c>
      <c r="F326" s="38"/>
      <c r="G326" s="39"/>
      <c r="H326" s="42"/>
      <c r="I326" s="40" t="s">
        <v>499</v>
      </c>
      <c r="J326" s="63">
        <v>24734665.559999999</v>
      </c>
      <c r="K326" s="43">
        <v>0</v>
      </c>
      <c r="L326" s="56">
        <v>0</v>
      </c>
      <c r="M326" s="56">
        <v>0</v>
      </c>
      <c r="N326" s="44">
        <f t="shared" si="61"/>
        <v>100</v>
      </c>
      <c r="O326" s="45">
        <f t="shared" si="55"/>
        <v>24734665.559999999</v>
      </c>
      <c r="P326" s="43"/>
      <c r="Q326" s="45">
        <f t="shared" si="56"/>
        <v>24734665.559999999</v>
      </c>
      <c r="R326" s="43">
        <v>0</v>
      </c>
      <c r="S326" s="30">
        <f t="shared" si="60"/>
        <v>0</v>
      </c>
      <c r="T326" s="30">
        <f t="shared" si="60"/>
        <v>0</v>
      </c>
      <c r="U326" s="30" t="e">
        <f>T326/X326</f>
        <v>#DIV/0!</v>
      </c>
      <c r="V326" s="43" t="e">
        <f>T326/X326</f>
        <v>#DIV/0!</v>
      </c>
      <c r="W326" s="43" t="e">
        <f t="shared" si="62"/>
        <v>#DIV/0!</v>
      </c>
      <c r="X326" s="43">
        <f t="shared" si="57"/>
        <v>0</v>
      </c>
      <c r="Y326" s="43">
        <v>0</v>
      </c>
      <c r="Z326" s="43">
        <v>0</v>
      </c>
      <c r="AA326" s="43">
        <v>0</v>
      </c>
      <c r="AB326" s="43"/>
      <c r="AC326" s="43" t="e">
        <f t="shared" si="63"/>
        <v>#DIV/0!</v>
      </c>
      <c r="AD326" s="43"/>
      <c r="AE326" s="43" t="e">
        <f t="shared" si="64"/>
        <v>#DIV/0!</v>
      </c>
      <c r="AF326" s="43" t="e">
        <f t="shared" si="58"/>
        <v>#DIV/0!</v>
      </c>
      <c r="AG326" s="43" t="e">
        <f t="shared" si="59"/>
        <v>#DIV/0!</v>
      </c>
      <c r="AH326" s="38">
        <v>45397</v>
      </c>
      <c r="AI326" s="38"/>
      <c r="AJ326" s="38"/>
      <c r="AK326" s="38"/>
      <c r="AL326" s="38"/>
      <c r="AM326" s="48"/>
      <c r="AN326" s="42"/>
      <c r="AO326" s="42"/>
      <c r="AP326" s="42"/>
      <c r="AQ326" s="42"/>
      <c r="AR326" s="42"/>
      <c r="AS326" s="50"/>
      <c r="AT326" s="39"/>
      <c r="AU326" s="39"/>
      <c r="AV326" s="49"/>
      <c r="AW326" s="39"/>
      <c r="AX326" s="39">
        <v>10</v>
      </c>
      <c r="AY326" s="30">
        <f>(J326*10)/100</f>
        <v>2473466.5559999999</v>
      </c>
      <c r="AZ326" s="42"/>
    </row>
    <row r="327" spans="1:52" ht="39" customHeight="1" x14ac:dyDescent="0.25">
      <c r="A327" s="61" t="s">
        <v>2012</v>
      </c>
      <c r="B327" s="62">
        <v>45330</v>
      </c>
      <c r="C327" s="42" t="s">
        <v>1954</v>
      </c>
      <c r="D327" s="39" t="s">
        <v>434</v>
      </c>
      <c r="E327" s="41" t="s">
        <v>2013</v>
      </c>
      <c r="F327" s="39" t="s">
        <v>434</v>
      </c>
      <c r="G327" s="39" t="s">
        <v>434</v>
      </c>
      <c r="H327" s="39" t="s">
        <v>434</v>
      </c>
      <c r="I327" s="65" t="s">
        <v>1747</v>
      </c>
      <c r="J327" s="63">
        <v>106913.4</v>
      </c>
      <c r="K327" s="43">
        <v>0</v>
      </c>
      <c r="L327" s="56">
        <v>0</v>
      </c>
      <c r="M327" s="56">
        <v>0</v>
      </c>
      <c r="N327" s="44">
        <f t="shared" si="61"/>
        <v>100</v>
      </c>
      <c r="O327" s="45">
        <f t="shared" si="55"/>
        <v>106913.4</v>
      </c>
      <c r="P327" s="43"/>
      <c r="Q327" s="45">
        <f t="shared" si="56"/>
        <v>106913.4</v>
      </c>
      <c r="R327" s="43">
        <v>0</v>
      </c>
      <c r="S327" s="30">
        <f t="shared" si="60"/>
        <v>0</v>
      </c>
      <c r="T327" s="30">
        <f t="shared" si="60"/>
        <v>0</v>
      </c>
      <c r="U327" s="30" t="e">
        <f>T327/X327</f>
        <v>#DIV/0!</v>
      </c>
      <c r="V327" s="43" t="e">
        <f>T327/X327</f>
        <v>#DIV/0!</v>
      </c>
      <c r="W327" s="43" t="e">
        <f t="shared" si="62"/>
        <v>#DIV/0!</v>
      </c>
      <c r="X327" s="43">
        <f t="shared" si="57"/>
        <v>0</v>
      </c>
      <c r="Y327" s="43">
        <v>0</v>
      </c>
      <c r="Z327" s="43">
        <v>0</v>
      </c>
      <c r="AA327" s="43">
        <v>0</v>
      </c>
      <c r="AB327" s="43"/>
      <c r="AC327" s="43" t="e">
        <f t="shared" si="63"/>
        <v>#DIV/0!</v>
      </c>
      <c r="AD327" s="43"/>
      <c r="AE327" s="43" t="e">
        <f t="shared" si="64"/>
        <v>#DIV/0!</v>
      </c>
      <c r="AF327" s="43" t="e">
        <f t="shared" si="58"/>
        <v>#DIV/0!</v>
      </c>
      <c r="AG327" s="43" t="e">
        <f t="shared" si="59"/>
        <v>#DIV/0!</v>
      </c>
      <c r="AH327" s="38">
        <v>45397</v>
      </c>
      <c r="AI327" s="38"/>
      <c r="AJ327" s="38"/>
      <c r="AK327" s="38"/>
      <c r="AL327" s="38"/>
      <c r="AM327" s="48"/>
      <c r="AN327" s="42"/>
      <c r="AO327" s="42"/>
      <c r="AP327" s="42"/>
      <c r="AQ327" s="42"/>
      <c r="AR327" s="42"/>
      <c r="AS327" s="50"/>
      <c r="AT327" s="39"/>
      <c r="AU327" s="39"/>
      <c r="AV327" s="49"/>
      <c r="AW327" s="39"/>
      <c r="AX327" s="39">
        <v>10</v>
      </c>
      <c r="AY327" s="30">
        <f>(J327*10)/100</f>
        <v>10691.34</v>
      </c>
      <c r="AZ327" s="42" t="s">
        <v>434</v>
      </c>
    </row>
    <row r="328" spans="1:52" ht="39" customHeight="1" x14ac:dyDescent="0.25">
      <c r="A328" s="61" t="s">
        <v>2014</v>
      </c>
      <c r="B328" s="62">
        <v>45330</v>
      </c>
      <c r="C328" s="42" t="s">
        <v>1954</v>
      </c>
      <c r="D328" s="39" t="s">
        <v>434</v>
      </c>
      <c r="E328" s="41" t="s">
        <v>2015</v>
      </c>
      <c r="F328" s="39" t="s">
        <v>434</v>
      </c>
      <c r="G328" s="39" t="s">
        <v>434</v>
      </c>
      <c r="H328" s="39" t="s">
        <v>434</v>
      </c>
      <c r="I328" s="64" t="s">
        <v>1684</v>
      </c>
      <c r="J328" s="63">
        <v>28586.400000000001</v>
      </c>
      <c r="K328" s="43">
        <v>0</v>
      </c>
      <c r="L328" s="56">
        <v>0</v>
      </c>
      <c r="M328" s="56">
        <v>0</v>
      </c>
      <c r="N328" s="44">
        <f t="shared" si="61"/>
        <v>100</v>
      </c>
      <c r="O328" s="45">
        <f t="shared" ref="O328:O391" si="65">J328-P328</f>
        <v>28586.400000000001</v>
      </c>
      <c r="P328" s="43"/>
      <c r="Q328" s="45">
        <f t="shared" ref="Q328:Q391" si="66">J328-R328</f>
        <v>28586.400000000001</v>
      </c>
      <c r="R328" s="43">
        <v>0</v>
      </c>
      <c r="S328" s="30">
        <f t="shared" si="60"/>
        <v>0</v>
      </c>
      <c r="T328" s="30">
        <f t="shared" si="60"/>
        <v>0</v>
      </c>
      <c r="U328" s="30" t="e">
        <f>T328/X328</f>
        <v>#DIV/0!</v>
      </c>
      <c r="V328" s="43" t="e">
        <f>T328/X328</f>
        <v>#DIV/0!</v>
      </c>
      <c r="W328" s="43" t="e">
        <f t="shared" si="62"/>
        <v>#DIV/0!</v>
      </c>
      <c r="X328" s="43">
        <f t="shared" ref="X328:X391" si="67">Y328+Z328+AA328</f>
        <v>0</v>
      </c>
      <c r="Y328" s="43">
        <v>0</v>
      </c>
      <c r="Z328" s="43">
        <v>0</v>
      </c>
      <c r="AA328" s="43">
        <v>0</v>
      </c>
      <c r="AB328" s="43"/>
      <c r="AC328" s="43" t="e">
        <f t="shared" si="63"/>
        <v>#DIV/0!</v>
      </c>
      <c r="AD328" s="43"/>
      <c r="AE328" s="43" t="e">
        <f t="shared" si="64"/>
        <v>#DIV/0!</v>
      </c>
      <c r="AF328" s="43" t="e">
        <f t="shared" si="58"/>
        <v>#DIV/0!</v>
      </c>
      <c r="AG328" s="43" t="e">
        <f t="shared" si="59"/>
        <v>#DIV/0!</v>
      </c>
      <c r="AH328" s="38">
        <v>45397</v>
      </c>
      <c r="AI328" s="38"/>
      <c r="AJ328" s="38"/>
      <c r="AK328" s="38"/>
      <c r="AL328" s="38"/>
      <c r="AM328" s="48"/>
      <c r="AN328" s="42"/>
      <c r="AO328" s="42"/>
      <c r="AP328" s="42"/>
      <c r="AQ328" s="42"/>
      <c r="AR328" s="42"/>
      <c r="AS328" s="50"/>
      <c r="AT328" s="39"/>
      <c r="AU328" s="39"/>
      <c r="AV328" s="49"/>
      <c r="AW328" s="39"/>
      <c r="AX328" s="39">
        <v>10</v>
      </c>
      <c r="AY328" s="30">
        <f>(J328*10)/100</f>
        <v>2858.64</v>
      </c>
      <c r="AZ328" s="42" t="s">
        <v>434</v>
      </c>
    </row>
    <row r="329" spans="1:52" ht="39" customHeight="1" x14ac:dyDescent="0.25">
      <c r="A329" s="61" t="s">
        <v>2016</v>
      </c>
      <c r="B329" s="62">
        <v>45330</v>
      </c>
      <c r="C329" s="42" t="s">
        <v>435</v>
      </c>
      <c r="D329" s="37"/>
      <c r="E329" s="41" t="s">
        <v>2017</v>
      </c>
      <c r="F329" s="38"/>
      <c r="G329" s="39"/>
      <c r="H329" s="42"/>
      <c r="I329" s="64" t="s">
        <v>2018</v>
      </c>
      <c r="J329" s="63">
        <v>20244060</v>
      </c>
      <c r="K329" s="43">
        <v>0</v>
      </c>
      <c r="L329" s="56">
        <v>0</v>
      </c>
      <c r="M329" s="56">
        <v>0</v>
      </c>
      <c r="N329" s="44">
        <f t="shared" si="61"/>
        <v>100</v>
      </c>
      <c r="O329" s="45">
        <f t="shared" si="65"/>
        <v>20244060</v>
      </c>
      <c r="P329" s="43"/>
      <c r="Q329" s="45">
        <f t="shared" si="66"/>
        <v>20244060</v>
      </c>
      <c r="R329" s="43">
        <v>0</v>
      </c>
      <c r="S329" s="30">
        <f t="shared" si="60"/>
        <v>0</v>
      </c>
      <c r="T329" s="30">
        <f t="shared" si="60"/>
        <v>0</v>
      </c>
      <c r="U329" s="30" t="e">
        <f>T329/X329</f>
        <v>#DIV/0!</v>
      </c>
      <c r="V329" s="43" t="e">
        <f>T329/X329</f>
        <v>#DIV/0!</v>
      </c>
      <c r="W329" s="43" t="e">
        <f t="shared" si="62"/>
        <v>#DIV/0!</v>
      </c>
      <c r="X329" s="43">
        <f t="shared" si="67"/>
        <v>0</v>
      </c>
      <c r="Y329" s="43">
        <v>0</v>
      </c>
      <c r="Z329" s="43">
        <v>0</v>
      </c>
      <c r="AA329" s="43">
        <v>0</v>
      </c>
      <c r="AB329" s="43"/>
      <c r="AC329" s="43" t="e">
        <f t="shared" si="63"/>
        <v>#DIV/0!</v>
      </c>
      <c r="AD329" s="43"/>
      <c r="AE329" s="43" t="e">
        <f t="shared" si="64"/>
        <v>#DIV/0!</v>
      </c>
      <c r="AF329" s="43" t="e">
        <f t="shared" si="58"/>
        <v>#DIV/0!</v>
      </c>
      <c r="AG329" s="43" t="e">
        <f t="shared" si="59"/>
        <v>#DIV/0!</v>
      </c>
      <c r="AH329" s="38">
        <v>45397</v>
      </c>
      <c r="AI329" s="38"/>
      <c r="AJ329" s="38"/>
      <c r="AK329" s="38"/>
      <c r="AL329" s="38"/>
      <c r="AM329" s="48"/>
      <c r="AN329" s="42"/>
      <c r="AO329" s="42"/>
      <c r="AP329" s="42"/>
      <c r="AQ329" s="42"/>
      <c r="AR329" s="42"/>
      <c r="AS329" s="50"/>
      <c r="AT329" s="39"/>
      <c r="AU329" s="39"/>
      <c r="AV329" s="49"/>
      <c r="AW329" s="39"/>
      <c r="AX329" s="39">
        <v>10</v>
      </c>
      <c r="AY329" s="30">
        <f>(J329*10)/100</f>
        <v>2024406</v>
      </c>
      <c r="AZ329" s="42"/>
    </row>
    <row r="330" spans="1:52" ht="39" customHeight="1" x14ac:dyDescent="0.25">
      <c r="A330" s="61" t="s">
        <v>2019</v>
      </c>
      <c r="B330" s="62">
        <v>45330</v>
      </c>
      <c r="C330" s="42" t="s">
        <v>1954</v>
      </c>
      <c r="D330" s="39" t="s">
        <v>434</v>
      </c>
      <c r="E330" s="41" t="s">
        <v>2020</v>
      </c>
      <c r="F330" s="39" t="s">
        <v>434</v>
      </c>
      <c r="G330" s="39" t="s">
        <v>434</v>
      </c>
      <c r="H330" s="39" t="s">
        <v>434</v>
      </c>
      <c r="I330" s="64" t="s">
        <v>1722</v>
      </c>
      <c r="J330" s="63">
        <v>38544</v>
      </c>
      <c r="K330" s="43">
        <v>0</v>
      </c>
      <c r="L330" s="56">
        <v>0</v>
      </c>
      <c r="M330" s="56">
        <v>0</v>
      </c>
      <c r="N330" s="44">
        <f t="shared" si="61"/>
        <v>100</v>
      </c>
      <c r="O330" s="45">
        <f t="shared" si="65"/>
        <v>38544</v>
      </c>
      <c r="P330" s="43"/>
      <c r="Q330" s="45">
        <f t="shared" si="66"/>
        <v>38544</v>
      </c>
      <c r="R330" s="43">
        <v>0</v>
      </c>
      <c r="S330" s="30">
        <f t="shared" si="60"/>
        <v>0</v>
      </c>
      <c r="T330" s="30">
        <f t="shared" si="60"/>
        <v>0</v>
      </c>
      <c r="U330" s="30" t="e">
        <f>T330/X330</f>
        <v>#DIV/0!</v>
      </c>
      <c r="V330" s="43" t="e">
        <f>T330/X330</f>
        <v>#DIV/0!</v>
      </c>
      <c r="W330" s="43" t="e">
        <f t="shared" si="62"/>
        <v>#DIV/0!</v>
      </c>
      <c r="X330" s="43">
        <f t="shared" si="67"/>
        <v>0</v>
      </c>
      <c r="Y330" s="43">
        <v>0</v>
      </c>
      <c r="Z330" s="43">
        <v>0</v>
      </c>
      <c r="AA330" s="43">
        <v>0</v>
      </c>
      <c r="AB330" s="43"/>
      <c r="AC330" s="43" t="e">
        <f t="shared" si="63"/>
        <v>#DIV/0!</v>
      </c>
      <c r="AD330" s="43"/>
      <c r="AE330" s="43" t="e">
        <f t="shared" si="64"/>
        <v>#DIV/0!</v>
      </c>
      <c r="AF330" s="43" t="e">
        <f t="shared" si="58"/>
        <v>#DIV/0!</v>
      </c>
      <c r="AG330" s="43" t="e">
        <f t="shared" si="59"/>
        <v>#DIV/0!</v>
      </c>
      <c r="AH330" s="38">
        <v>45397</v>
      </c>
      <c r="AI330" s="38"/>
      <c r="AJ330" s="38"/>
      <c r="AK330" s="38"/>
      <c r="AL330" s="38"/>
      <c r="AM330" s="48"/>
      <c r="AN330" s="42"/>
      <c r="AO330" s="42"/>
      <c r="AP330" s="42"/>
      <c r="AQ330" s="42"/>
      <c r="AR330" s="42"/>
      <c r="AS330" s="50"/>
      <c r="AT330" s="39"/>
      <c r="AU330" s="39"/>
      <c r="AV330" s="49"/>
      <c r="AW330" s="39"/>
      <c r="AX330" s="39">
        <v>10</v>
      </c>
      <c r="AY330" s="30">
        <f>(J330*10)/100</f>
        <v>3854.4</v>
      </c>
      <c r="AZ330" s="42" t="s">
        <v>434</v>
      </c>
    </row>
    <row r="331" spans="1:52" ht="39" customHeight="1" x14ac:dyDescent="0.25">
      <c r="A331" s="61" t="s">
        <v>2021</v>
      </c>
      <c r="B331" s="62">
        <v>45330</v>
      </c>
      <c r="C331" s="42" t="s">
        <v>1954</v>
      </c>
      <c r="D331" s="39" t="s">
        <v>434</v>
      </c>
      <c r="E331" s="41" t="s">
        <v>2022</v>
      </c>
      <c r="F331" s="39" t="s">
        <v>434</v>
      </c>
      <c r="G331" s="39" t="s">
        <v>434</v>
      </c>
      <c r="H331" s="39" t="s">
        <v>434</v>
      </c>
      <c r="I331" s="64" t="s">
        <v>1533</v>
      </c>
      <c r="J331" s="63">
        <v>23408</v>
      </c>
      <c r="K331" s="43">
        <v>0</v>
      </c>
      <c r="L331" s="56">
        <v>0</v>
      </c>
      <c r="M331" s="56">
        <v>0</v>
      </c>
      <c r="N331" s="44">
        <f t="shared" si="61"/>
        <v>100</v>
      </c>
      <c r="O331" s="45">
        <f t="shared" si="65"/>
        <v>23408</v>
      </c>
      <c r="P331" s="43"/>
      <c r="Q331" s="45">
        <f t="shared" si="66"/>
        <v>23408</v>
      </c>
      <c r="R331" s="43">
        <v>0</v>
      </c>
      <c r="S331" s="30">
        <f t="shared" si="60"/>
        <v>0</v>
      </c>
      <c r="T331" s="30">
        <f t="shared" si="60"/>
        <v>0</v>
      </c>
      <c r="U331" s="30" t="e">
        <f>T331/X331</f>
        <v>#DIV/0!</v>
      </c>
      <c r="V331" s="43" t="e">
        <f>T331/X331</f>
        <v>#DIV/0!</v>
      </c>
      <c r="W331" s="43" t="e">
        <f t="shared" si="62"/>
        <v>#DIV/0!</v>
      </c>
      <c r="X331" s="43">
        <f t="shared" si="67"/>
        <v>0</v>
      </c>
      <c r="Y331" s="43">
        <v>0</v>
      </c>
      <c r="Z331" s="43">
        <v>0</v>
      </c>
      <c r="AA331" s="43">
        <v>0</v>
      </c>
      <c r="AB331" s="43"/>
      <c r="AC331" s="43" t="e">
        <f t="shared" si="63"/>
        <v>#DIV/0!</v>
      </c>
      <c r="AD331" s="43"/>
      <c r="AE331" s="43" t="e">
        <f t="shared" si="64"/>
        <v>#DIV/0!</v>
      </c>
      <c r="AF331" s="43" t="e">
        <f t="shared" si="58"/>
        <v>#DIV/0!</v>
      </c>
      <c r="AG331" s="43" t="e">
        <f t="shared" si="59"/>
        <v>#DIV/0!</v>
      </c>
      <c r="AH331" s="38">
        <v>45397</v>
      </c>
      <c r="AI331" s="38"/>
      <c r="AJ331" s="38"/>
      <c r="AK331" s="38"/>
      <c r="AL331" s="38"/>
      <c r="AM331" s="48"/>
      <c r="AN331" s="42"/>
      <c r="AO331" s="42"/>
      <c r="AP331" s="42"/>
      <c r="AQ331" s="42"/>
      <c r="AR331" s="42"/>
      <c r="AS331" s="50"/>
      <c r="AT331" s="39"/>
      <c r="AU331" s="39"/>
      <c r="AV331" s="49"/>
      <c r="AW331" s="39"/>
      <c r="AX331" s="39">
        <v>10</v>
      </c>
      <c r="AY331" s="30">
        <f>(J331*10)/100</f>
        <v>2340.8000000000002</v>
      </c>
      <c r="AZ331" s="42" t="s">
        <v>434</v>
      </c>
    </row>
    <row r="332" spans="1:52" ht="39" customHeight="1" x14ac:dyDescent="0.25">
      <c r="A332" s="61" t="s">
        <v>2023</v>
      </c>
      <c r="B332" s="62">
        <v>45330</v>
      </c>
      <c r="C332" s="42" t="s">
        <v>1954</v>
      </c>
      <c r="D332" s="39" t="s">
        <v>434</v>
      </c>
      <c r="E332" s="41" t="s">
        <v>2024</v>
      </c>
      <c r="F332" s="39" t="s">
        <v>434</v>
      </c>
      <c r="G332" s="39" t="s">
        <v>434</v>
      </c>
      <c r="H332" s="39" t="s">
        <v>434</v>
      </c>
      <c r="I332" s="64" t="s">
        <v>1817</v>
      </c>
      <c r="J332" s="63">
        <v>36465</v>
      </c>
      <c r="K332" s="43">
        <v>0</v>
      </c>
      <c r="L332" s="56">
        <v>0</v>
      </c>
      <c r="M332" s="56">
        <v>0</v>
      </c>
      <c r="N332" s="44">
        <f t="shared" si="61"/>
        <v>100</v>
      </c>
      <c r="O332" s="45">
        <f t="shared" si="65"/>
        <v>36465</v>
      </c>
      <c r="P332" s="43"/>
      <c r="Q332" s="45">
        <f t="shared" si="66"/>
        <v>36465</v>
      </c>
      <c r="R332" s="43">
        <v>0</v>
      </c>
      <c r="S332" s="30">
        <f t="shared" si="60"/>
        <v>0</v>
      </c>
      <c r="T332" s="30">
        <f t="shared" si="60"/>
        <v>0</v>
      </c>
      <c r="U332" s="30" t="e">
        <f>T332/X332</f>
        <v>#DIV/0!</v>
      </c>
      <c r="V332" s="43" t="e">
        <f>T332/X332</f>
        <v>#DIV/0!</v>
      </c>
      <c r="W332" s="43" t="e">
        <f t="shared" si="62"/>
        <v>#DIV/0!</v>
      </c>
      <c r="X332" s="43">
        <f t="shared" si="67"/>
        <v>0</v>
      </c>
      <c r="Y332" s="43">
        <v>0</v>
      </c>
      <c r="Z332" s="43">
        <v>0</v>
      </c>
      <c r="AA332" s="43">
        <v>0</v>
      </c>
      <c r="AB332" s="43"/>
      <c r="AC332" s="43" t="e">
        <f t="shared" si="63"/>
        <v>#DIV/0!</v>
      </c>
      <c r="AD332" s="43"/>
      <c r="AE332" s="43" t="e">
        <f t="shared" si="64"/>
        <v>#DIV/0!</v>
      </c>
      <c r="AF332" s="43" t="e">
        <f t="shared" si="58"/>
        <v>#DIV/0!</v>
      </c>
      <c r="AG332" s="43" t="e">
        <f t="shared" si="59"/>
        <v>#DIV/0!</v>
      </c>
      <c r="AH332" s="38">
        <v>45397</v>
      </c>
      <c r="AI332" s="38"/>
      <c r="AJ332" s="38"/>
      <c r="AK332" s="38"/>
      <c r="AL332" s="38"/>
      <c r="AM332" s="48"/>
      <c r="AN332" s="42"/>
      <c r="AO332" s="42"/>
      <c r="AP332" s="42"/>
      <c r="AQ332" s="42"/>
      <c r="AR332" s="42"/>
      <c r="AS332" s="50"/>
      <c r="AT332" s="39"/>
      <c r="AU332" s="39"/>
      <c r="AV332" s="49"/>
      <c r="AW332" s="39"/>
      <c r="AX332" s="39">
        <v>10</v>
      </c>
      <c r="AY332" s="30">
        <f>(J332*10)/100</f>
        <v>3646.5</v>
      </c>
      <c r="AZ332" s="42" t="s">
        <v>434</v>
      </c>
    </row>
    <row r="333" spans="1:52" ht="41.25" customHeight="1" x14ac:dyDescent="0.25">
      <c r="A333" s="61" t="s">
        <v>2025</v>
      </c>
      <c r="B333" s="62">
        <v>45330</v>
      </c>
      <c r="C333" s="42" t="s">
        <v>1960</v>
      </c>
      <c r="D333" s="37"/>
      <c r="E333" s="41" t="s">
        <v>2026</v>
      </c>
      <c r="F333" s="38">
        <v>45342</v>
      </c>
      <c r="G333" s="39" t="s">
        <v>2027</v>
      </c>
      <c r="H333" s="42" t="s">
        <v>1129</v>
      </c>
      <c r="I333" s="64" t="s">
        <v>2028</v>
      </c>
      <c r="J333" s="63">
        <v>198000</v>
      </c>
      <c r="K333" s="43">
        <v>0</v>
      </c>
      <c r="L333" s="56">
        <v>0</v>
      </c>
      <c r="M333" s="56">
        <v>0</v>
      </c>
      <c r="N333" s="44">
        <f t="shared" si="61"/>
        <v>0</v>
      </c>
      <c r="O333" s="45">
        <f t="shared" si="65"/>
        <v>0</v>
      </c>
      <c r="P333" s="63">
        <v>198000</v>
      </c>
      <c r="Q333" s="45">
        <f t="shared" si="66"/>
        <v>0</v>
      </c>
      <c r="R333" s="63">
        <v>198000</v>
      </c>
      <c r="S333" s="30">
        <f t="shared" si="60"/>
        <v>198000</v>
      </c>
      <c r="T333" s="30">
        <f t="shared" si="60"/>
        <v>198000</v>
      </c>
      <c r="U333" s="30">
        <f>T333/X333</f>
        <v>396</v>
      </c>
      <c r="V333" s="43">
        <f>T333/X333</f>
        <v>396</v>
      </c>
      <c r="W333" s="43">
        <f t="shared" si="62"/>
        <v>39600</v>
      </c>
      <c r="X333" s="43">
        <f t="shared" si="67"/>
        <v>500</v>
      </c>
      <c r="Y333" s="43">
        <v>500</v>
      </c>
      <c r="Z333" s="43">
        <v>0</v>
      </c>
      <c r="AA333" s="43">
        <v>0</v>
      </c>
      <c r="AB333" s="43">
        <v>0</v>
      </c>
      <c r="AC333" s="43">
        <f t="shared" si="63"/>
        <v>0</v>
      </c>
      <c r="AD333" s="43">
        <v>0</v>
      </c>
      <c r="AE333" s="43">
        <f t="shared" si="64"/>
        <v>0</v>
      </c>
      <c r="AF333" s="43">
        <f t="shared" si="58"/>
        <v>5</v>
      </c>
      <c r="AG333" s="43">
        <f t="shared" si="59"/>
        <v>5</v>
      </c>
      <c r="AH333" s="38">
        <v>45397</v>
      </c>
      <c r="AI333" s="38"/>
      <c r="AJ333" s="38"/>
      <c r="AK333" s="38">
        <v>45427</v>
      </c>
      <c r="AL333" s="38"/>
      <c r="AM333" s="48"/>
      <c r="AN333" s="42"/>
      <c r="AO333" s="42" t="s">
        <v>2029</v>
      </c>
      <c r="AP333" s="42" t="s">
        <v>2030</v>
      </c>
      <c r="AQ333" s="42" t="s">
        <v>2031</v>
      </c>
      <c r="AR333" s="42" t="s">
        <v>82</v>
      </c>
      <c r="AS333" s="50">
        <v>100</v>
      </c>
      <c r="AT333" s="39">
        <v>0</v>
      </c>
      <c r="AU333" s="39" t="s">
        <v>389</v>
      </c>
      <c r="AV333" s="49">
        <v>100</v>
      </c>
      <c r="AW333" s="39" t="s">
        <v>221</v>
      </c>
      <c r="AX333" s="39">
        <v>10</v>
      </c>
      <c r="AY333" s="30">
        <f>(J333*10)/100</f>
        <v>19800</v>
      </c>
      <c r="AZ333" s="42" t="s">
        <v>405</v>
      </c>
    </row>
    <row r="334" spans="1:52" ht="41.25" customHeight="1" x14ac:dyDescent="0.25">
      <c r="A334" s="37" t="s">
        <v>2032</v>
      </c>
      <c r="B334" s="38">
        <v>45331</v>
      </c>
      <c r="C334" s="42" t="s">
        <v>1960</v>
      </c>
      <c r="D334" s="37"/>
      <c r="E334" s="41" t="s">
        <v>2033</v>
      </c>
      <c r="F334" s="38">
        <v>45343</v>
      </c>
      <c r="G334" s="39" t="s">
        <v>2034</v>
      </c>
      <c r="H334" s="42" t="s">
        <v>1129</v>
      </c>
      <c r="I334" s="36" t="s">
        <v>1952</v>
      </c>
      <c r="J334" s="43">
        <v>148830</v>
      </c>
      <c r="K334" s="43">
        <v>0</v>
      </c>
      <c r="L334" s="56">
        <v>0</v>
      </c>
      <c r="M334" s="56">
        <v>0</v>
      </c>
      <c r="N334" s="44">
        <f t="shared" si="61"/>
        <v>0</v>
      </c>
      <c r="O334" s="45">
        <f t="shared" si="65"/>
        <v>0</v>
      </c>
      <c r="P334" s="43">
        <v>148830</v>
      </c>
      <c r="Q334" s="45">
        <f t="shared" si="66"/>
        <v>0</v>
      </c>
      <c r="R334" s="43">
        <v>148830</v>
      </c>
      <c r="S334" s="30">
        <f t="shared" si="60"/>
        <v>148830</v>
      </c>
      <c r="T334" s="30">
        <f t="shared" si="60"/>
        <v>148830</v>
      </c>
      <c r="U334" s="30">
        <f>T334/X334</f>
        <v>180.4</v>
      </c>
      <c r="V334" s="43">
        <f>T334/X334</f>
        <v>180.4</v>
      </c>
      <c r="W334" s="43">
        <f t="shared" si="62"/>
        <v>135.30000000000001</v>
      </c>
      <c r="X334" s="43">
        <f t="shared" si="67"/>
        <v>825</v>
      </c>
      <c r="Y334" s="43">
        <v>825</v>
      </c>
      <c r="Z334" s="43">
        <v>0</v>
      </c>
      <c r="AA334" s="43">
        <v>0</v>
      </c>
      <c r="AB334" s="43">
        <v>0</v>
      </c>
      <c r="AC334" s="43">
        <f t="shared" si="63"/>
        <v>0</v>
      </c>
      <c r="AD334" s="43">
        <v>0</v>
      </c>
      <c r="AE334" s="43">
        <f t="shared" si="64"/>
        <v>0</v>
      </c>
      <c r="AF334" s="43">
        <f t="shared" si="58"/>
        <v>1100</v>
      </c>
      <c r="AG334" s="43">
        <f t="shared" si="59"/>
        <v>1100</v>
      </c>
      <c r="AH334" s="38">
        <v>45397</v>
      </c>
      <c r="AI334" s="38"/>
      <c r="AJ334" s="38"/>
      <c r="AK334" s="38">
        <v>45427</v>
      </c>
      <c r="AL334" s="38"/>
      <c r="AM334" s="48"/>
      <c r="AN334" s="42"/>
      <c r="AO334" s="42" t="s">
        <v>1983</v>
      </c>
      <c r="AP334" s="42" t="s">
        <v>2035</v>
      </c>
      <c r="AQ334" s="42" t="s">
        <v>1985</v>
      </c>
      <c r="AR334" s="42" t="s">
        <v>82</v>
      </c>
      <c r="AS334" s="50">
        <v>100</v>
      </c>
      <c r="AT334" s="39">
        <v>0</v>
      </c>
      <c r="AU334" s="39" t="s">
        <v>346</v>
      </c>
      <c r="AV334" s="43">
        <v>0.75</v>
      </c>
      <c r="AW334" s="39" t="s">
        <v>221</v>
      </c>
      <c r="AX334" s="39">
        <v>10</v>
      </c>
      <c r="AY334" s="30">
        <f>(J334*10)/100</f>
        <v>14883</v>
      </c>
      <c r="AZ334" s="42" t="s">
        <v>405</v>
      </c>
    </row>
    <row r="335" spans="1:52" ht="41.25" customHeight="1" x14ac:dyDescent="0.25">
      <c r="A335" s="37" t="s">
        <v>2036</v>
      </c>
      <c r="B335" s="38">
        <v>45331</v>
      </c>
      <c r="C335" s="42" t="s">
        <v>1954</v>
      </c>
      <c r="D335" s="39" t="s">
        <v>434</v>
      </c>
      <c r="E335" s="41" t="s">
        <v>2037</v>
      </c>
      <c r="F335" s="39" t="s">
        <v>434</v>
      </c>
      <c r="G335" s="39" t="s">
        <v>434</v>
      </c>
      <c r="H335" s="39" t="s">
        <v>434</v>
      </c>
      <c r="I335" s="57" t="s">
        <v>1560</v>
      </c>
      <c r="J335" s="43">
        <v>48859.199999999997</v>
      </c>
      <c r="K335" s="43">
        <v>0</v>
      </c>
      <c r="L335" s="56">
        <v>0</v>
      </c>
      <c r="M335" s="56">
        <v>0</v>
      </c>
      <c r="N335" s="44">
        <f t="shared" si="61"/>
        <v>100</v>
      </c>
      <c r="O335" s="45">
        <f t="shared" si="65"/>
        <v>48859.199999999997</v>
      </c>
      <c r="P335" s="43"/>
      <c r="Q335" s="45">
        <f t="shared" si="66"/>
        <v>48859.199999999997</v>
      </c>
      <c r="R335" s="43">
        <v>0</v>
      </c>
      <c r="S335" s="30">
        <f t="shared" si="60"/>
        <v>0</v>
      </c>
      <c r="T335" s="30">
        <f t="shared" si="60"/>
        <v>0</v>
      </c>
      <c r="U335" s="30" t="e">
        <f>T335/X335</f>
        <v>#DIV/0!</v>
      </c>
      <c r="V335" s="43" t="e">
        <f>T335/X335</f>
        <v>#DIV/0!</v>
      </c>
      <c r="W335" s="43" t="e">
        <f t="shared" si="62"/>
        <v>#DIV/0!</v>
      </c>
      <c r="X335" s="43">
        <f t="shared" si="67"/>
        <v>0</v>
      </c>
      <c r="Y335" s="43">
        <v>0</v>
      </c>
      <c r="Z335" s="43">
        <v>0</v>
      </c>
      <c r="AA335" s="43">
        <v>0</v>
      </c>
      <c r="AB335" s="43"/>
      <c r="AC335" s="43" t="e">
        <f t="shared" si="63"/>
        <v>#DIV/0!</v>
      </c>
      <c r="AD335" s="43"/>
      <c r="AE335" s="43" t="e">
        <f t="shared" si="64"/>
        <v>#DIV/0!</v>
      </c>
      <c r="AF335" s="43" t="e">
        <f t="shared" ref="AF335:AF398" si="68">X335/AV335</f>
        <v>#DIV/0!</v>
      </c>
      <c r="AG335" s="43" t="e">
        <f t="shared" ref="AG335:AG398" si="69">_xlfn.CEILING.MATH(AF335)</f>
        <v>#DIV/0!</v>
      </c>
      <c r="AH335" s="38">
        <v>45397</v>
      </c>
      <c r="AI335" s="38"/>
      <c r="AJ335" s="38"/>
      <c r="AK335" s="38"/>
      <c r="AL335" s="38"/>
      <c r="AM335" s="48"/>
      <c r="AN335" s="42"/>
      <c r="AO335" s="42"/>
      <c r="AP335" s="42"/>
      <c r="AQ335" s="42"/>
      <c r="AR335" s="42"/>
      <c r="AS335" s="50"/>
      <c r="AT335" s="39"/>
      <c r="AU335" s="39"/>
      <c r="AV335" s="49"/>
      <c r="AW335" s="39"/>
      <c r="AX335" s="39">
        <v>10</v>
      </c>
      <c r="AY335" s="30">
        <f>(J335*10)/100</f>
        <v>4885.92</v>
      </c>
      <c r="AZ335" s="42" t="s">
        <v>434</v>
      </c>
    </row>
    <row r="336" spans="1:52" ht="41.25" customHeight="1" x14ac:dyDescent="0.25">
      <c r="A336" s="37" t="s">
        <v>2038</v>
      </c>
      <c r="B336" s="38">
        <v>45331</v>
      </c>
      <c r="C336" s="42" t="s">
        <v>1954</v>
      </c>
      <c r="D336" s="39" t="s">
        <v>434</v>
      </c>
      <c r="E336" s="41" t="s">
        <v>2039</v>
      </c>
      <c r="F336" s="39" t="s">
        <v>434</v>
      </c>
      <c r="G336" s="39" t="s">
        <v>434</v>
      </c>
      <c r="H336" s="39" t="s">
        <v>434</v>
      </c>
      <c r="I336" s="36" t="s">
        <v>2040</v>
      </c>
      <c r="J336" s="43">
        <v>10567.2</v>
      </c>
      <c r="K336" s="43">
        <v>0</v>
      </c>
      <c r="L336" s="56">
        <v>0</v>
      </c>
      <c r="M336" s="56">
        <v>0</v>
      </c>
      <c r="N336" s="44">
        <f t="shared" si="61"/>
        <v>100</v>
      </c>
      <c r="O336" s="45">
        <f t="shared" si="65"/>
        <v>10567.2</v>
      </c>
      <c r="P336" s="43"/>
      <c r="Q336" s="45">
        <f t="shared" si="66"/>
        <v>10567.2</v>
      </c>
      <c r="R336" s="43">
        <v>0</v>
      </c>
      <c r="S336" s="30">
        <f t="shared" si="60"/>
        <v>0</v>
      </c>
      <c r="T336" s="30">
        <f t="shared" si="60"/>
        <v>0</v>
      </c>
      <c r="U336" s="30" t="e">
        <f>T336/X336</f>
        <v>#DIV/0!</v>
      </c>
      <c r="V336" s="43" t="e">
        <f>T336/X336</f>
        <v>#DIV/0!</v>
      </c>
      <c r="W336" s="43" t="e">
        <f t="shared" si="62"/>
        <v>#DIV/0!</v>
      </c>
      <c r="X336" s="43">
        <f t="shared" si="67"/>
        <v>0</v>
      </c>
      <c r="Y336" s="43">
        <v>0</v>
      </c>
      <c r="Z336" s="43">
        <v>0</v>
      </c>
      <c r="AA336" s="43">
        <v>0</v>
      </c>
      <c r="AB336" s="43"/>
      <c r="AC336" s="43" t="e">
        <f t="shared" si="63"/>
        <v>#DIV/0!</v>
      </c>
      <c r="AD336" s="43"/>
      <c r="AE336" s="43" t="e">
        <f t="shared" si="64"/>
        <v>#DIV/0!</v>
      </c>
      <c r="AF336" s="43" t="e">
        <f t="shared" si="68"/>
        <v>#DIV/0!</v>
      </c>
      <c r="AG336" s="43" t="e">
        <f t="shared" si="69"/>
        <v>#DIV/0!</v>
      </c>
      <c r="AH336" s="38">
        <v>45397</v>
      </c>
      <c r="AI336" s="38"/>
      <c r="AJ336" s="38"/>
      <c r="AK336" s="38"/>
      <c r="AL336" s="38"/>
      <c r="AM336" s="48"/>
      <c r="AN336" s="42"/>
      <c r="AO336" s="42"/>
      <c r="AP336" s="42"/>
      <c r="AQ336" s="42"/>
      <c r="AR336" s="42"/>
      <c r="AS336" s="50"/>
      <c r="AT336" s="39"/>
      <c r="AU336" s="39"/>
      <c r="AV336" s="49"/>
      <c r="AW336" s="39"/>
      <c r="AX336" s="39">
        <v>10</v>
      </c>
      <c r="AY336" s="30">
        <f>(J336*10)/100</f>
        <v>1056.72</v>
      </c>
      <c r="AZ336" s="42" t="s">
        <v>434</v>
      </c>
    </row>
    <row r="337" spans="1:52" ht="41.25" customHeight="1" x14ac:dyDescent="0.25">
      <c r="A337" s="37" t="s">
        <v>2041</v>
      </c>
      <c r="B337" s="38">
        <v>45331</v>
      </c>
      <c r="C337" s="42" t="s">
        <v>2042</v>
      </c>
      <c r="D337" s="39" t="s">
        <v>434</v>
      </c>
      <c r="E337" s="41" t="s">
        <v>2043</v>
      </c>
      <c r="F337" s="39" t="s">
        <v>434</v>
      </c>
      <c r="G337" s="39" t="s">
        <v>434</v>
      </c>
      <c r="H337" s="39" t="s">
        <v>434</v>
      </c>
      <c r="I337" s="36" t="s">
        <v>2044</v>
      </c>
      <c r="J337" s="43">
        <v>524851.19999999995</v>
      </c>
      <c r="K337" s="43">
        <v>0</v>
      </c>
      <c r="L337" s="56">
        <v>0</v>
      </c>
      <c r="M337" s="56">
        <v>0</v>
      </c>
      <c r="N337" s="44">
        <f t="shared" si="61"/>
        <v>100</v>
      </c>
      <c r="O337" s="45">
        <f t="shared" si="65"/>
        <v>524851.19999999995</v>
      </c>
      <c r="P337" s="43"/>
      <c r="Q337" s="45">
        <f t="shared" si="66"/>
        <v>524851.19999999995</v>
      </c>
      <c r="R337" s="43">
        <v>0</v>
      </c>
      <c r="S337" s="30">
        <f t="shared" si="60"/>
        <v>0</v>
      </c>
      <c r="T337" s="30">
        <f t="shared" si="60"/>
        <v>0</v>
      </c>
      <c r="U337" s="30" t="e">
        <f>T337/X337</f>
        <v>#DIV/0!</v>
      </c>
      <c r="V337" s="43" t="e">
        <f>T337/X337</f>
        <v>#DIV/0!</v>
      </c>
      <c r="W337" s="43" t="e">
        <f t="shared" si="62"/>
        <v>#DIV/0!</v>
      </c>
      <c r="X337" s="43">
        <f t="shared" si="67"/>
        <v>0</v>
      </c>
      <c r="Y337" s="43">
        <v>0</v>
      </c>
      <c r="Z337" s="43">
        <v>0</v>
      </c>
      <c r="AA337" s="43">
        <v>0</v>
      </c>
      <c r="AB337" s="43"/>
      <c r="AC337" s="43" t="e">
        <f t="shared" si="63"/>
        <v>#DIV/0!</v>
      </c>
      <c r="AD337" s="43"/>
      <c r="AE337" s="43" t="e">
        <f t="shared" si="64"/>
        <v>#DIV/0!</v>
      </c>
      <c r="AF337" s="43" t="e">
        <f t="shared" si="68"/>
        <v>#DIV/0!</v>
      </c>
      <c r="AG337" s="43" t="e">
        <f t="shared" si="69"/>
        <v>#DIV/0!</v>
      </c>
      <c r="AH337" s="38">
        <v>45397</v>
      </c>
      <c r="AI337" s="38"/>
      <c r="AJ337" s="38"/>
      <c r="AK337" s="38"/>
      <c r="AL337" s="38"/>
      <c r="AM337" s="48"/>
      <c r="AN337" s="42"/>
      <c r="AO337" s="42"/>
      <c r="AP337" s="42"/>
      <c r="AQ337" s="42"/>
      <c r="AR337" s="42"/>
      <c r="AS337" s="50"/>
      <c r="AT337" s="39"/>
      <c r="AU337" s="39"/>
      <c r="AV337" s="49"/>
      <c r="AW337" s="39"/>
      <c r="AX337" s="39">
        <v>10</v>
      </c>
      <c r="AY337" s="30">
        <f>(J337*10)/100</f>
        <v>52485.120000000003</v>
      </c>
      <c r="AZ337" s="42" t="s">
        <v>434</v>
      </c>
    </row>
    <row r="338" spans="1:52" ht="41.25" customHeight="1" x14ac:dyDescent="0.25">
      <c r="A338" s="37" t="s">
        <v>2045</v>
      </c>
      <c r="B338" s="38">
        <v>45331</v>
      </c>
      <c r="C338" s="42" t="s">
        <v>1954</v>
      </c>
      <c r="D338" s="39" t="s">
        <v>434</v>
      </c>
      <c r="E338" s="41" t="s">
        <v>2046</v>
      </c>
      <c r="F338" s="39" t="s">
        <v>434</v>
      </c>
      <c r="G338" s="39" t="s">
        <v>434</v>
      </c>
      <c r="H338" s="39" t="s">
        <v>434</v>
      </c>
      <c r="I338" s="57" t="s">
        <v>1568</v>
      </c>
      <c r="J338" s="43">
        <v>3240237</v>
      </c>
      <c r="K338" s="43">
        <v>0</v>
      </c>
      <c r="L338" s="56">
        <v>0</v>
      </c>
      <c r="M338" s="56">
        <v>0</v>
      </c>
      <c r="N338" s="44">
        <f t="shared" si="61"/>
        <v>100</v>
      </c>
      <c r="O338" s="45">
        <f t="shared" si="65"/>
        <v>3240237</v>
      </c>
      <c r="P338" s="43"/>
      <c r="Q338" s="45">
        <f t="shared" si="66"/>
        <v>3240237</v>
      </c>
      <c r="R338" s="43">
        <v>0</v>
      </c>
      <c r="S338" s="30">
        <f t="shared" si="60"/>
        <v>0</v>
      </c>
      <c r="T338" s="30">
        <f t="shared" si="60"/>
        <v>0</v>
      </c>
      <c r="U338" s="30" t="e">
        <f>T338/X338</f>
        <v>#DIV/0!</v>
      </c>
      <c r="V338" s="43" t="e">
        <f>T338/X338</f>
        <v>#DIV/0!</v>
      </c>
      <c r="W338" s="43" t="e">
        <f t="shared" si="62"/>
        <v>#DIV/0!</v>
      </c>
      <c r="X338" s="43">
        <f t="shared" si="67"/>
        <v>0</v>
      </c>
      <c r="Y338" s="43">
        <v>0</v>
      </c>
      <c r="Z338" s="43">
        <v>0</v>
      </c>
      <c r="AA338" s="43">
        <v>0</v>
      </c>
      <c r="AB338" s="43"/>
      <c r="AC338" s="43" t="e">
        <f t="shared" si="63"/>
        <v>#DIV/0!</v>
      </c>
      <c r="AD338" s="43"/>
      <c r="AE338" s="43" t="e">
        <f t="shared" si="64"/>
        <v>#DIV/0!</v>
      </c>
      <c r="AF338" s="43" t="e">
        <f t="shared" si="68"/>
        <v>#DIV/0!</v>
      </c>
      <c r="AG338" s="43" t="e">
        <f t="shared" si="69"/>
        <v>#DIV/0!</v>
      </c>
      <c r="AH338" s="38">
        <v>45397</v>
      </c>
      <c r="AI338" s="38"/>
      <c r="AJ338" s="38"/>
      <c r="AK338" s="38"/>
      <c r="AL338" s="38"/>
      <c r="AM338" s="48"/>
      <c r="AN338" s="42"/>
      <c r="AO338" s="42"/>
      <c r="AP338" s="42"/>
      <c r="AQ338" s="42"/>
      <c r="AR338" s="42"/>
      <c r="AS338" s="50"/>
      <c r="AT338" s="39"/>
      <c r="AU338" s="39"/>
      <c r="AV338" s="49"/>
      <c r="AW338" s="39"/>
      <c r="AX338" s="39">
        <v>10</v>
      </c>
      <c r="AY338" s="30">
        <f>(J338*10)/100</f>
        <v>324023.7</v>
      </c>
      <c r="AZ338" s="42" t="s">
        <v>434</v>
      </c>
    </row>
    <row r="339" spans="1:52" ht="41.25" customHeight="1" x14ac:dyDescent="0.25">
      <c r="A339" s="37" t="s">
        <v>2047</v>
      </c>
      <c r="B339" s="38">
        <v>45335</v>
      </c>
      <c r="C339" s="42">
        <v>545</v>
      </c>
      <c r="D339" s="39" t="s">
        <v>434</v>
      </c>
      <c r="E339" s="41" t="s">
        <v>2048</v>
      </c>
      <c r="F339" s="39" t="s">
        <v>434</v>
      </c>
      <c r="G339" s="39" t="s">
        <v>434</v>
      </c>
      <c r="H339" s="39" t="s">
        <v>434</v>
      </c>
      <c r="I339" s="57" t="s">
        <v>594</v>
      </c>
      <c r="J339" s="43">
        <v>11343735</v>
      </c>
      <c r="K339" s="43">
        <v>0</v>
      </c>
      <c r="L339" s="56">
        <v>0</v>
      </c>
      <c r="M339" s="56">
        <v>0</v>
      </c>
      <c r="N339" s="44">
        <f t="shared" si="61"/>
        <v>100</v>
      </c>
      <c r="O339" s="45">
        <f t="shared" si="65"/>
        <v>11343735</v>
      </c>
      <c r="P339" s="43"/>
      <c r="Q339" s="45">
        <f t="shared" si="66"/>
        <v>11343735</v>
      </c>
      <c r="R339" s="43">
        <v>0</v>
      </c>
      <c r="S339" s="30">
        <f t="shared" si="60"/>
        <v>0</v>
      </c>
      <c r="T339" s="30">
        <f t="shared" si="60"/>
        <v>0</v>
      </c>
      <c r="U339" s="30" t="e">
        <f>T339/X339</f>
        <v>#DIV/0!</v>
      </c>
      <c r="V339" s="43" t="e">
        <f>T339/X339</f>
        <v>#DIV/0!</v>
      </c>
      <c r="W339" s="43" t="e">
        <f t="shared" si="62"/>
        <v>#DIV/0!</v>
      </c>
      <c r="X339" s="43">
        <f t="shared" si="67"/>
        <v>0</v>
      </c>
      <c r="Y339" s="43">
        <v>0</v>
      </c>
      <c r="Z339" s="43">
        <v>0</v>
      </c>
      <c r="AA339" s="43">
        <v>0</v>
      </c>
      <c r="AB339" s="43"/>
      <c r="AC339" s="43" t="e">
        <f t="shared" si="63"/>
        <v>#DIV/0!</v>
      </c>
      <c r="AD339" s="43"/>
      <c r="AE339" s="43" t="e">
        <f t="shared" si="64"/>
        <v>#DIV/0!</v>
      </c>
      <c r="AF339" s="43" t="e">
        <f t="shared" si="68"/>
        <v>#DIV/0!</v>
      </c>
      <c r="AG339" s="43" t="e">
        <f t="shared" si="69"/>
        <v>#DIV/0!</v>
      </c>
      <c r="AH339" s="38">
        <v>45371</v>
      </c>
      <c r="AI339" s="38"/>
      <c r="AJ339" s="38"/>
      <c r="AK339" s="38"/>
      <c r="AL339" s="38"/>
      <c r="AM339" s="48"/>
      <c r="AN339" s="42"/>
      <c r="AO339" s="42"/>
      <c r="AP339" s="42"/>
      <c r="AQ339" s="42"/>
      <c r="AR339" s="42"/>
      <c r="AS339" s="50"/>
      <c r="AT339" s="39"/>
      <c r="AU339" s="39"/>
      <c r="AV339" s="49"/>
      <c r="AW339" s="39"/>
      <c r="AX339" s="39">
        <v>10</v>
      </c>
      <c r="AY339" s="30">
        <f>(J339*10)/100</f>
        <v>1134373.5</v>
      </c>
      <c r="AZ339" s="42" t="s">
        <v>434</v>
      </c>
    </row>
    <row r="340" spans="1:52" ht="41.25" customHeight="1" x14ac:dyDescent="0.25">
      <c r="A340" s="37" t="s">
        <v>2049</v>
      </c>
      <c r="B340" s="38">
        <v>45335</v>
      </c>
      <c r="C340" s="42" t="s">
        <v>1954</v>
      </c>
      <c r="D340" s="39" t="s">
        <v>434</v>
      </c>
      <c r="E340" s="41" t="s">
        <v>2050</v>
      </c>
      <c r="F340" s="39" t="s">
        <v>434</v>
      </c>
      <c r="G340" s="39" t="s">
        <v>434</v>
      </c>
      <c r="H340" s="39" t="s">
        <v>434</v>
      </c>
      <c r="I340" s="57" t="s">
        <v>1274</v>
      </c>
      <c r="J340" s="43">
        <v>92692.800000000003</v>
      </c>
      <c r="K340" s="43">
        <v>0</v>
      </c>
      <c r="L340" s="56">
        <v>0</v>
      </c>
      <c r="M340" s="56">
        <v>0</v>
      </c>
      <c r="N340" s="44">
        <f t="shared" si="61"/>
        <v>100</v>
      </c>
      <c r="O340" s="45">
        <f t="shared" si="65"/>
        <v>92692.800000000003</v>
      </c>
      <c r="P340" s="43"/>
      <c r="Q340" s="45">
        <f t="shared" si="66"/>
        <v>92692.800000000003</v>
      </c>
      <c r="R340" s="43">
        <v>0</v>
      </c>
      <c r="S340" s="30">
        <f t="shared" si="60"/>
        <v>0</v>
      </c>
      <c r="T340" s="30">
        <f t="shared" si="60"/>
        <v>0</v>
      </c>
      <c r="U340" s="30" t="e">
        <f>T340/X340</f>
        <v>#DIV/0!</v>
      </c>
      <c r="V340" s="43" t="e">
        <f>T340/X340</f>
        <v>#DIV/0!</v>
      </c>
      <c r="W340" s="43" t="e">
        <f t="shared" si="62"/>
        <v>#DIV/0!</v>
      </c>
      <c r="X340" s="43">
        <f t="shared" si="67"/>
        <v>0</v>
      </c>
      <c r="Y340" s="43">
        <v>0</v>
      </c>
      <c r="Z340" s="43">
        <v>0</v>
      </c>
      <c r="AA340" s="43">
        <v>0</v>
      </c>
      <c r="AB340" s="43"/>
      <c r="AC340" s="43" t="e">
        <f t="shared" si="63"/>
        <v>#DIV/0!</v>
      </c>
      <c r="AD340" s="43"/>
      <c r="AE340" s="43" t="e">
        <f t="shared" si="64"/>
        <v>#DIV/0!</v>
      </c>
      <c r="AF340" s="43" t="e">
        <f t="shared" si="68"/>
        <v>#DIV/0!</v>
      </c>
      <c r="AG340" s="43" t="e">
        <f t="shared" si="69"/>
        <v>#DIV/0!</v>
      </c>
      <c r="AH340" s="38">
        <v>45505</v>
      </c>
      <c r="AI340" s="38"/>
      <c r="AJ340" s="38"/>
      <c r="AK340" s="38"/>
      <c r="AL340" s="38"/>
      <c r="AM340" s="48"/>
      <c r="AN340" s="42"/>
      <c r="AO340" s="42"/>
      <c r="AP340" s="42"/>
      <c r="AQ340" s="42"/>
      <c r="AR340" s="42"/>
      <c r="AS340" s="50"/>
      <c r="AT340" s="39"/>
      <c r="AU340" s="39"/>
      <c r="AV340" s="49"/>
      <c r="AW340" s="39"/>
      <c r="AX340" s="39">
        <v>10</v>
      </c>
      <c r="AY340" s="30">
        <f>(J340*10)/100</f>
        <v>9269.2800000000007</v>
      </c>
      <c r="AZ340" s="42" t="s">
        <v>434</v>
      </c>
    </row>
    <row r="341" spans="1:52" ht="41.25" customHeight="1" x14ac:dyDescent="0.25">
      <c r="A341" s="37" t="s">
        <v>2051</v>
      </c>
      <c r="B341" s="38">
        <v>45335</v>
      </c>
      <c r="C341" s="39">
        <v>1512</v>
      </c>
      <c r="D341" s="39" t="s">
        <v>434</v>
      </c>
      <c r="E341" s="41" t="s">
        <v>2052</v>
      </c>
      <c r="F341" s="39" t="s">
        <v>434</v>
      </c>
      <c r="G341" s="39" t="s">
        <v>434</v>
      </c>
      <c r="H341" s="39" t="s">
        <v>434</v>
      </c>
      <c r="I341" s="36" t="s">
        <v>1634</v>
      </c>
      <c r="J341" s="43">
        <v>45744464.399999999</v>
      </c>
      <c r="K341" s="43">
        <v>0</v>
      </c>
      <c r="L341" s="56">
        <v>0</v>
      </c>
      <c r="M341" s="56">
        <v>0</v>
      </c>
      <c r="N341" s="44">
        <f t="shared" si="61"/>
        <v>100</v>
      </c>
      <c r="O341" s="45">
        <f t="shared" si="65"/>
        <v>45744464.399999999</v>
      </c>
      <c r="P341" s="43"/>
      <c r="Q341" s="45">
        <f t="shared" si="66"/>
        <v>45744464.399999999</v>
      </c>
      <c r="R341" s="43">
        <v>0</v>
      </c>
      <c r="S341" s="30">
        <f t="shared" si="60"/>
        <v>0</v>
      </c>
      <c r="T341" s="30">
        <f t="shared" si="60"/>
        <v>0</v>
      </c>
      <c r="U341" s="30" t="e">
        <f>T341/X341</f>
        <v>#DIV/0!</v>
      </c>
      <c r="V341" s="43" t="e">
        <f>T341/X341</f>
        <v>#DIV/0!</v>
      </c>
      <c r="W341" s="43" t="e">
        <f t="shared" si="62"/>
        <v>#DIV/0!</v>
      </c>
      <c r="X341" s="43">
        <f t="shared" si="67"/>
        <v>0</v>
      </c>
      <c r="Y341" s="43">
        <v>0</v>
      </c>
      <c r="Z341" s="43">
        <v>0</v>
      </c>
      <c r="AA341" s="43">
        <v>0</v>
      </c>
      <c r="AB341" s="43"/>
      <c r="AC341" s="43" t="e">
        <f t="shared" si="63"/>
        <v>#DIV/0!</v>
      </c>
      <c r="AD341" s="43"/>
      <c r="AE341" s="43" t="e">
        <f t="shared" si="64"/>
        <v>#DIV/0!</v>
      </c>
      <c r="AF341" s="43" t="e">
        <f t="shared" si="68"/>
        <v>#DIV/0!</v>
      </c>
      <c r="AG341" s="43" t="e">
        <f t="shared" si="69"/>
        <v>#DIV/0!</v>
      </c>
      <c r="AH341" s="38">
        <v>45397</v>
      </c>
      <c r="AI341" s="38"/>
      <c r="AJ341" s="38"/>
      <c r="AK341" s="38"/>
      <c r="AL341" s="38"/>
      <c r="AM341" s="48"/>
      <c r="AN341" s="42"/>
      <c r="AO341" s="42"/>
      <c r="AP341" s="42"/>
      <c r="AQ341" s="42"/>
      <c r="AR341" s="42"/>
      <c r="AS341" s="50"/>
      <c r="AT341" s="39"/>
      <c r="AU341" s="39"/>
      <c r="AV341" s="49"/>
      <c r="AW341" s="39"/>
      <c r="AX341" s="39">
        <v>10</v>
      </c>
      <c r="AY341" s="30">
        <f>(J341*10)/100</f>
        <v>4574446.4400000004</v>
      </c>
      <c r="AZ341" s="42" t="s">
        <v>434</v>
      </c>
    </row>
    <row r="342" spans="1:52" ht="41.25" customHeight="1" x14ac:dyDescent="0.25">
      <c r="A342" s="37" t="s">
        <v>2053</v>
      </c>
      <c r="B342" s="38">
        <v>45335</v>
      </c>
      <c r="C342" s="39">
        <v>1512</v>
      </c>
      <c r="D342" s="37"/>
      <c r="E342" s="41" t="s">
        <v>2054</v>
      </c>
      <c r="F342" s="38"/>
      <c r="G342" s="39"/>
      <c r="H342" s="42"/>
      <c r="I342" s="36" t="s">
        <v>1870</v>
      </c>
      <c r="J342" s="43">
        <v>48392919</v>
      </c>
      <c r="K342" s="43">
        <v>0</v>
      </c>
      <c r="L342" s="56">
        <v>0</v>
      </c>
      <c r="M342" s="56">
        <v>0</v>
      </c>
      <c r="N342" s="44">
        <f t="shared" si="61"/>
        <v>100</v>
      </c>
      <c r="O342" s="45">
        <f t="shared" si="65"/>
        <v>48392919</v>
      </c>
      <c r="P342" s="43"/>
      <c r="Q342" s="45">
        <f t="shared" si="66"/>
        <v>48392919</v>
      </c>
      <c r="R342" s="43">
        <v>0</v>
      </c>
      <c r="S342" s="30">
        <f t="shared" si="60"/>
        <v>0</v>
      </c>
      <c r="T342" s="30">
        <f t="shared" si="60"/>
        <v>0</v>
      </c>
      <c r="U342" s="30" t="e">
        <f>T342/X342</f>
        <v>#DIV/0!</v>
      </c>
      <c r="V342" s="43" t="e">
        <f>T342/X342</f>
        <v>#DIV/0!</v>
      </c>
      <c r="W342" s="43" t="e">
        <f t="shared" si="62"/>
        <v>#DIV/0!</v>
      </c>
      <c r="X342" s="43">
        <f t="shared" si="67"/>
        <v>0</v>
      </c>
      <c r="Y342" s="43">
        <v>0</v>
      </c>
      <c r="Z342" s="43">
        <v>0</v>
      </c>
      <c r="AA342" s="43">
        <v>0</v>
      </c>
      <c r="AB342" s="43"/>
      <c r="AC342" s="43" t="e">
        <f t="shared" si="63"/>
        <v>#DIV/0!</v>
      </c>
      <c r="AD342" s="43"/>
      <c r="AE342" s="43" t="e">
        <f t="shared" si="64"/>
        <v>#DIV/0!</v>
      </c>
      <c r="AF342" s="43" t="e">
        <f t="shared" si="68"/>
        <v>#DIV/0!</v>
      </c>
      <c r="AG342" s="43" t="e">
        <f t="shared" si="69"/>
        <v>#DIV/0!</v>
      </c>
      <c r="AH342" s="38">
        <v>45397</v>
      </c>
      <c r="AI342" s="38"/>
      <c r="AJ342" s="38"/>
      <c r="AK342" s="38"/>
      <c r="AL342" s="38"/>
      <c r="AM342" s="48"/>
      <c r="AN342" s="42"/>
      <c r="AO342" s="42"/>
      <c r="AP342" s="42"/>
      <c r="AQ342" s="42"/>
      <c r="AR342" s="42"/>
      <c r="AS342" s="50"/>
      <c r="AT342" s="39"/>
      <c r="AU342" s="39"/>
      <c r="AV342" s="49"/>
      <c r="AW342" s="39"/>
      <c r="AX342" s="39">
        <v>10</v>
      </c>
      <c r="AY342" s="30">
        <f>(J342*10)/100</f>
        <v>4839291.9000000004</v>
      </c>
      <c r="AZ342" s="42"/>
    </row>
    <row r="343" spans="1:52" ht="41.25" customHeight="1" x14ac:dyDescent="0.25">
      <c r="A343" s="37" t="s">
        <v>2055</v>
      </c>
      <c r="B343" s="38">
        <v>45335</v>
      </c>
      <c r="C343" s="39">
        <v>1512</v>
      </c>
      <c r="D343" s="37" t="s">
        <v>434</v>
      </c>
      <c r="E343" s="41" t="s">
        <v>2056</v>
      </c>
      <c r="F343" s="37" t="s">
        <v>434</v>
      </c>
      <c r="G343" s="37" t="s">
        <v>434</v>
      </c>
      <c r="H343" s="37" t="s">
        <v>434</v>
      </c>
      <c r="I343" s="36" t="s">
        <v>1606</v>
      </c>
      <c r="J343" s="43">
        <v>126853650</v>
      </c>
      <c r="K343" s="43">
        <v>0</v>
      </c>
      <c r="L343" s="56">
        <v>0</v>
      </c>
      <c r="M343" s="56">
        <v>0</v>
      </c>
      <c r="N343" s="44">
        <f t="shared" si="61"/>
        <v>100</v>
      </c>
      <c r="O343" s="45">
        <f t="shared" si="65"/>
        <v>126853650</v>
      </c>
      <c r="P343" s="43"/>
      <c r="Q343" s="45">
        <f t="shared" si="66"/>
        <v>126853650</v>
      </c>
      <c r="R343" s="43">
        <v>0</v>
      </c>
      <c r="S343" s="30">
        <f t="shared" si="60"/>
        <v>0</v>
      </c>
      <c r="T343" s="30">
        <f t="shared" si="60"/>
        <v>0</v>
      </c>
      <c r="U343" s="30" t="e">
        <f>T343/X343</f>
        <v>#DIV/0!</v>
      </c>
      <c r="V343" s="43" t="e">
        <f>T343/X343</f>
        <v>#DIV/0!</v>
      </c>
      <c r="W343" s="43" t="e">
        <f t="shared" si="62"/>
        <v>#DIV/0!</v>
      </c>
      <c r="X343" s="43">
        <f t="shared" si="67"/>
        <v>0</v>
      </c>
      <c r="Y343" s="43">
        <v>0</v>
      </c>
      <c r="Z343" s="43">
        <v>0</v>
      </c>
      <c r="AA343" s="43">
        <v>0</v>
      </c>
      <c r="AB343" s="43"/>
      <c r="AC343" s="43" t="e">
        <f t="shared" si="63"/>
        <v>#DIV/0!</v>
      </c>
      <c r="AD343" s="43"/>
      <c r="AE343" s="43" t="e">
        <f t="shared" si="64"/>
        <v>#DIV/0!</v>
      </c>
      <c r="AF343" s="43" t="e">
        <f t="shared" si="68"/>
        <v>#DIV/0!</v>
      </c>
      <c r="AG343" s="43" t="e">
        <f t="shared" si="69"/>
        <v>#DIV/0!</v>
      </c>
      <c r="AH343" s="38">
        <v>45397</v>
      </c>
      <c r="AI343" s="38"/>
      <c r="AJ343" s="38"/>
      <c r="AK343" s="38"/>
      <c r="AL343" s="38"/>
      <c r="AM343" s="48"/>
      <c r="AN343" s="42"/>
      <c r="AO343" s="42"/>
      <c r="AP343" s="42"/>
      <c r="AQ343" s="42"/>
      <c r="AR343" s="42"/>
      <c r="AS343" s="50"/>
      <c r="AT343" s="39"/>
      <c r="AU343" s="39"/>
      <c r="AV343" s="49"/>
      <c r="AW343" s="39"/>
      <c r="AX343" s="39">
        <v>10</v>
      </c>
      <c r="AY343" s="30">
        <f>(J343*10)/100</f>
        <v>12685365</v>
      </c>
      <c r="AZ343" s="42" t="s">
        <v>434</v>
      </c>
    </row>
    <row r="344" spans="1:52" ht="41.25" customHeight="1" x14ac:dyDescent="0.25">
      <c r="A344" s="37" t="s">
        <v>2057</v>
      </c>
      <c r="B344" s="38">
        <v>45335</v>
      </c>
      <c r="C344" s="39">
        <v>1512</v>
      </c>
      <c r="D344" s="37"/>
      <c r="E344" s="41" t="s">
        <v>2058</v>
      </c>
      <c r="F344" s="38"/>
      <c r="G344" s="39"/>
      <c r="H344" s="42"/>
      <c r="I344" s="36" t="s">
        <v>2059</v>
      </c>
      <c r="J344" s="43">
        <v>42046110</v>
      </c>
      <c r="K344" s="43">
        <v>0</v>
      </c>
      <c r="L344" s="56">
        <v>0</v>
      </c>
      <c r="M344" s="56">
        <v>0</v>
      </c>
      <c r="N344" s="44">
        <f t="shared" si="61"/>
        <v>100</v>
      </c>
      <c r="O344" s="45">
        <f t="shared" si="65"/>
        <v>42046110</v>
      </c>
      <c r="P344" s="43"/>
      <c r="Q344" s="45">
        <f t="shared" si="66"/>
        <v>42046110</v>
      </c>
      <c r="R344" s="43">
        <v>0</v>
      </c>
      <c r="S344" s="30">
        <f t="shared" ref="S344:T406" si="70">R344</f>
        <v>0</v>
      </c>
      <c r="T344" s="30">
        <f t="shared" si="70"/>
        <v>0</v>
      </c>
      <c r="U344" s="30" t="e">
        <f>T344/X344</f>
        <v>#DIV/0!</v>
      </c>
      <c r="V344" s="43" t="e">
        <f>T344/X344</f>
        <v>#DIV/0!</v>
      </c>
      <c r="W344" s="43" t="e">
        <f t="shared" si="62"/>
        <v>#DIV/0!</v>
      </c>
      <c r="X344" s="43">
        <f t="shared" si="67"/>
        <v>0</v>
      </c>
      <c r="Y344" s="43">
        <v>0</v>
      </c>
      <c r="Z344" s="43">
        <v>0</v>
      </c>
      <c r="AA344" s="43">
        <v>0</v>
      </c>
      <c r="AB344" s="43"/>
      <c r="AC344" s="43" t="e">
        <f t="shared" si="63"/>
        <v>#DIV/0!</v>
      </c>
      <c r="AD344" s="43"/>
      <c r="AE344" s="43" t="e">
        <f t="shared" si="64"/>
        <v>#DIV/0!</v>
      </c>
      <c r="AF344" s="43" t="e">
        <f t="shared" si="68"/>
        <v>#DIV/0!</v>
      </c>
      <c r="AG344" s="43" t="e">
        <f t="shared" si="69"/>
        <v>#DIV/0!</v>
      </c>
      <c r="AH344" s="38">
        <v>45397</v>
      </c>
      <c r="AI344" s="38"/>
      <c r="AJ344" s="38"/>
      <c r="AK344" s="38"/>
      <c r="AL344" s="38"/>
      <c r="AM344" s="48"/>
      <c r="AN344" s="42"/>
      <c r="AO344" s="42"/>
      <c r="AP344" s="42"/>
      <c r="AQ344" s="42"/>
      <c r="AR344" s="42"/>
      <c r="AS344" s="50"/>
      <c r="AT344" s="39"/>
      <c r="AU344" s="39"/>
      <c r="AV344" s="49"/>
      <c r="AW344" s="39"/>
      <c r="AX344" s="39">
        <v>10</v>
      </c>
      <c r="AY344" s="30">
        <f>(J344*10)/100</f>
        <v>4204611</v>
      </c>
      <c r="AZ344" s="42"/>
    </row>
    <row r="345" spans="1:52" ht="41.25" customHeight="1" x14ac:dyDescent="0.25">
      <c r="A345" s="37" t="s">
        <v>2060</v>
      </c>
      <c r="B345" s="38">
        <v>45335</v>
      </c>
      <c r="C345" s="42" t="s">
        <v>1954</v>
      </c>
      <c r="D345" s="37" t="s">
        <v>434</v>
      </c>
      <c r="E345" s="41" t="s">
        <v>2061</v>
      </c>
      <c r="F345" s="37" t="s">
        <v>434</v>
      </c>
      <c r="G345" s="37" t="s">
        <v>434</v>
      </c>
      <c r="H345" s="37" t="s">
        <v>434</v>
      </c>
      <c r="I345" s="36" t="s">
        <v>1547</v>
      </c>
      <c r="J345" s="43">
        <v>4695840</v>
      </c>
      <c r="K345" s="43">
        <v>0</v>
      </c>
      <c r="L345" s="56">
        <v>0</v>
      </c>
      <c r="M345" s="56">
        <v>0</v>
      </c>
      <c r="N345" s="44">
        <f t="shared" si="61"/>
        <v>100</v>
      </c>
      <c r="O345" s="45">
        <f t="shared" si="65"/>
        <v>4695840</v>
      </c>
      <c r="P345" s="43"/>
      <c r="Q345" s="45">
        <f t="shared" si="66"/>
        <v>4695840</v>
      </c>
      <c r="R345" s="43">
        <v>0</v>
      </c>
      <c r="S345" s="30">
        <f t="shared" si="70"/>
        <v>0</v>
      </c>
      <c r="T345" s="30">
        <f t="shared" si="70"/>
        <v>0</v>
      </c>
      <c r="U345" s="30" t="e">
        <f>T345/X345</f>
        <v>#DIV/0!</v>
      </c>
      <c r="V345" s="43" t="e">
        <f>T345/X345</f>
        <v>#DIV/0!</v>
      </c>
      <c r="W345" s="43" t="e">
        <f t="shared" si="62"/>
        <v>#DIV/0!</v>
      </c>
      <c r="X345" s="43">
        <f t="shared" si="67"/>
        <v>0</v>
      </c>
      <c r="Y345" s="43">
        <v>0</v>
      </c>
      <c r="Z345" s="43">
        <v>0</v>
      </c>
      <c r="AA345" s="43">
        <v>0</v>
      </c>
      <c r="AB345" s="43"/>
      <c r="AC345" s="43" t="e">
        <f t="shared" si="63"/>
        <v>#DIV/0!</v>
      </c>
      <c r="AD345" s="43"/>
      <c r="AE345" s="43" t="e">
        <f t="shared" si="64"/>
        <v>#DIV/0!</v>
      </c>
      <c r="AF345" s="43" t="e">
        <f t="shared" si="68"/>
        <v>#DIV/0!</v>
      </c>
      <c r="AG345" s="43" t="e">
        <f t="shared" si="69"/>
        <v>#DIV/0!</v>
      </c>
      <c r="AH345" s="38">
        <v>45397</v>
      </c>
      <c r="AI345" s="38"/>
      <c r="AJ345" s="38"/>
      <c r="AK345" s="38"/>
      <c r="AL345" s="38"/>
      <c r="AM345" s="48"/>
      <c r="AN345" s="42"/>
      <c r="AO345" s="42"/>
      <c r="AP345" s="42"/>
      <c r="AQ345" s="42"/>
      <c r="AR345" s="42"/>
      <c r="AS345" s="50"/>
      <c r="AT345" s="39"/>
      <c r="AU345" s="39"/>
      <c r="AV345" s="49"/>
      <c r="AW345" s="39"/>
      <c r="AX345" s="39">
        <v>10</v>
      </c>
      <c r="AY345" s="30">
        <f>(J345*10)/100</f>
        <v>469584</v>
      </c>
      <c r="AZ345" s="42" t="s">
        <v>434</v>
      </c>
    </row>
    <row r="346" spans="1:52" ht="41.25" customHeight="1" x14ac:dyDescent="0.25">
      <c r="A346" s="37" t="s">
        <v>2062</v>
      </c>
      <c r="B346" s="38">
        <v>45335</v>
      </c>
      <c r="C346" s="39">
        <v>1512</v>
      </c>
      <c r="D346" s="37"/>
      <c r="E346" s="41" t="s">
        <v>2063</v>
      </c>
      <c r="F346" s="38"/>
      <c r="G346" s="39"/>
      <c r="H346" s="42"/>
      <c r="I346" s="36" t="s">
        <v>1665</v>
      </c>
      <c r="J346" s="43">
        <v>367438394.39999998</v>
      </c>
      <c r="K346" s="43">
        <v>0</v>
      </c>
      <c r="L346" s="56">
        <v>0</v>
      </c>
      <c r="M346" s="56">
        <v>0</v>
      </c>
      <c r="N346" s="44">
        <f t="shared" si="61"/>
        <v>100</v>
      </c>
      <c r="O346" s="45">
        <f t="shared" si="65"/>
        <v>367438394.39999998</v>
      </c>
      <c r="P346" s="43"/>
      <c r="Q346" s="45">
        <f t="shared" si="66"/>
        <v>367438394.39999998</v>
      </c>
      <c r="R346" s="43">
        <v>0</v>
      </c>
      <c r="S346" s="30">
        <f t="shared" si="70"/>
        <v>0</v>
      </c>
      <c r="T346" s="30">
        <f t="shared" si="70"/>
        <v>0</v>
      </c>
      <c r="U346" s="30" t="e">
        <f>T346/X346</f>
        <v>#DIV/0!</v>
      </c>
      <c r="V346" s="43" t="e">
        <f>T346/X346</f>
        <v>#DIV/0!</v>
      </c>
      <c r="W346" s="43" t="e">
        <f t="shared" si="62"/>
        <v>#DIV/0!</v>
      </c>
      <c r="X346" s="43">
        <f t="shared" si="67"/>
        <v>0</v>
      </c>
      <c r="Y346" s="43">
        <v>0</v>
      </c>
      <c r="Z346" s="43">
        <v>0</v>
      </c>
      <c r="AA346" s="43">
        <v>0</v>
      </c>
      <c r="AB346" s="43"/>
      <c r="AC346" s="43" t="e">
        <f t="shared" si="63"/>
        <v>#DIV/0!</v>
      </c>
      <c r="AD346" s="43"/>
      <c r="AE346" s="43" t="e">
        <f t="shared" si="64"/>
        <v>#DIV/0!</v>
      </c>
      <c r="AF346" s="43" t="e">
        <f t="shared" si="68"/>
        <v>#DIV/0!</v>
      </c>
      <c r="AG346" s="43" t="e">
        <f t="shared" si="69"/>
        <v>#DIV/0!</v>
      </c>
      <c r="AH346" s="38">
        <v>45397</v>
      </c>
      <c r="AI346" s="38"/>
      <c r="AJ346" s="38"/>
      <c r="AK346" s="38"/>
      <c r="AL346" s="38"/>
      <c r="AM346" s="48"/>
      <c r="AN346" s="42"/>
      <c r="AO346" s="42"/>
      <c r="AP346" s="42"/>
      <c r="AQ346" s="42"/>
      <c r="AR346" s="42"/>
      <c r="AS346" s="50"/>
      <c r="AT346" s="39"/>
      <c r="AU346" s="39"/>
      <c r="AV346" s="49"/>
      <c r="AW346" s="39"/>
      <c r="AX346" s="39">
        <v>10</v>
      </c>
      <c r="AY346" s="30">
        <f>(J346*10)/100</f>
        <v>36743839.439999998</v>
      </c>
      <c r="AZ346" s="42"/>
    </row>
    <row r="347" spans="1:52" ht="41.25" customHeight="1" x14ac:dyDescent="0.25">
      <c r="A347" s="37" t="s">
        <v>2064</v>
      </c>
      <c r="B347" s="38">
        <v>45335</v>
      </c>
      <c r="C347" s="42" t="s">
        <v>1954</v>
      </c>
      <c r="D347" s="37"/>
      <c r="E347" s="41" t="s">
        <v>2065</v>
      </c>
      <c r="F347" s="38"/>
      <c r="G347" s="39"/>
      <c r="H347" s="42"/>
      <c r="I347" s="57" t="s">
        <v>1264</v>
      </c>
      <c r="J347" s="43">
        <v>399096</v>
      </c>
      <c r="K347" s="43">
        <v>0</v>
      </c>
      <c r="L347" s="56">
        <v>0</v>
      </c>
      <c r="M347" s="56">
        <v>0</v>
      </c>
      <c r="N347" s="44">
        <f t="shared" si="61"/>
        <v>100</v>
      </c>
      <c r="O347" s="45">
        <f t="shared" si="65"/>
        <v>399096</v>
      </c>
      <c r="P347" s="43"/>
      <c r="Q347" s="45">
        <f t="shared" si="66"/>
        <v>399096</v>
      </c>
      <c r="R347" s="43">
        <v>0</v>
      </c>
      <c r="S347" s="30">
        <f t="shared" si="70"/>
        <v>0</v>
      </c>
      <c r="T347" s="30">
        <f t="shared" si="70"/>
        <v>0</v>
      </c>
      <c r="U347" s="30" t="e">
        <f>T347/X347</f>
        <v>#DIV/0!</v>
      </c>
      <c r="V347" s="43" t="e">
        <f>T347/X347</f>
        <v>#DIV/0!</v>
      </c>
      <c r="W347" s="43" t="e">
        <f t="shared" si="62"/>
        <v>#DIV/0!</v>
      </c>
      <c r="X347" s="43">
        <f t="shared" si="67"/>
        <v>0</v>
      </c>
      <c r="Y347" s="43">
        <v>0</v>
      </c>
      <c r="Z347" s="43">
        <v>0</v>
      </c>
      <c r="AA347" s="43">
        <v>0</v>
      </c>
      <c r="AB347" s="43"/>
      <c r="AC347" s="43" t="e">
        <f t="shared" si="63"/>
        <v>#DIV/0!</v>
      </c>
      <c r="AD347" s="43"/>
      <c r="AE347" s="43" t="e">
        <f t="shared" si="64"/>
        <v>#DIV/0!</v>
      </c>
      <c r="AF347" s="43" t="e">
        <f t="shared" si="68"/>
        <v>#DIV/0!</v>
      </c>
      <c r="AG347" s="43" t="e">
        <f t="shared" si="69"/>
        <v>#DIV/0!</v>
      </c>
      <c r="AH347" s="38">
        <v>45397</v>
      </c>
      <c r="AI347" s="38"/>
      <c r="AJ347" s="38"/>
      <c r="AK347" s="38"/>
      <c r="AL347" s="38"/>
      <c r="AM347" s="48"/>
      <c r="AN347" s="42"/>
      <c r="AO347" s="42"/>
      <c r="AP347" s="42"/>
      <c r="AQ347" s="42"/>
      <c r="AR347" s="42"/>
      <c r="AS347" s="50"/>
      <c r="AT347" s="39"/>
      <c r="AU347" s="39"/>
      <c r="AV347" s="49"/>
      <c r="AW347" s="39"/>
      <c r="AX347" s="39">
        <v>10</v>
      </c>
      <c r="AY347" s="30">
        <f>(J347*10)/100</f>
        <v>39909.599999999999</v>
      </c>
      <c r="AZ347" s="42"/>
    </row>
    <row r="348" spans="1:52" ht="41.25" customHeight="1" x14ac:dyDescent="0.25">
      <c r="A348" s="37" t="s">
        <v>2066</v>
      </c>
      <c r="B348" s="38">
        <v>45335</v>
      </c>
      <c r="C348" s="39">
        <v>1512</v>
      </c>
      <c r="D348" s="37" t="s">
        <v>434</v>
      </c>
      <c r="E348" s="41" t="s">
        <v>2067</v>
      </c>
      <c r="F348" s="37" t="s">
        <v>434</v>
      </c>
      <c r="G348" s="37" t="s">
        <v>434</v>
      </c>
      <c r="H348" s="37" t="s">
        <v>434</v>
      </c>
      <c r="I348" s="57" t="s">
        <v>1575</v>
      </c>
      <c r="J348" s="43">
        <v>65903003.700000003</v>
      </c>
      <c r="K348" s="43">
        <v>0</v>
      </c>
      <c r="L348" s="56">
        <v>0</v>
      </c>
      <c r="M348" s="56">
        <v>0</v>
      </c>
      <c r="N348" s="44">
        <f t="shared" si="61"/>
        <v>100</v>
      </c>
      <c r="O348" s="45">
        <f t="shared" si="65"/>
        <v>65903003.700000003</v>
      </c>
      <c r="P348" s="43"/>
      <c r="Q348" s="45">
        <f t="shared" si="66"/>
        <v>65903003.700000003</v>
      </c>
      <c r="R348" s="43">
        <v>0</v>
      </c>
      <c r="S348" s="30">
        <f t="shared" si="70"/>
        <v>0</v>
      </c>
      <c r="T348" s="30">
        <f t="shared" si="70"/>
        <v>0</v>
      </c>
      <c r="U348" s="30" t="e">
        <f>T348/X348</f>
        <v>#DIV/0!</v>
      </c>
      <c r="V348" s="43" t="e">
        <f>T348/X348</f>
        <v>#DIV/0!</v>
      </c>
      <c r="W348" s="43" t="e">
        <f t="shared" si="62"/>
        <v>#DIV/0!</v>
      </c>
      <c r="X348" s="43">
        <f t="shared" si="67"/>
        <v>0</v>
      </c>
      <c r="Y348" s="43">
        <v>0</v>
      </c>
      <c r="Z348" s="43">
        <v>0</v>
      </c>
      <c r="AA348" s="43">
        <v>0</v>
      </c>
      <c r="AB348" s="43"/>
      <c r="AC348" s="43" t="e">
        <f t="shared" si="63"/>
        <v>#DIV/0!</v>
      </c>
      <c r="AD348" s="43"/>
      <c r="AE348" s="43" t="e">
        <f t="shared" si="64"/>
        <v>#DIV/0!</v>
      </c>
      <c r="AF348" s="43" t="e">
        <f t="shared" si="68"/>
        <v>#DIV/0!</v>
      </c>
      <c r="AG348" s="43" t="e">
        <f t="shared" si="69"/>
        <v>#DIV/0!</v>
      </c>
      <c r="AH348" s="38">
        <v>45397</v>
      </c>
      <c r="AI348" s="38"/>
      <c r="AJ348" s="38"/>
      <c r="AK348" s="38"/>
      <c r="AL348" s="38"/>
      <c r="AM348" s="48"/>
      <c r="AN348" s="42"/>
      <c r="AO348" s="42"/>
      <c r="AP348" s="42"/>
      <c r="AQ348" s="42"/>
      <c r="AR348" s="42"/>
      <c r="AS348" s="50"/>
      <c r="AT348" s="39"/>
      <c r="AU348" s="39"/>
      <c r="AV348" s="49"/>
      <c r="AW348" s="39"/>
      <c r="AX348" s="39">
        <v>10</v>
      </c>
      <c r="AY348" s="30">
        <f>(J348*10)/100</f>
        <v>6590300.3700000001</v>
      </c>
      <c r="AZ348" s="42" t="s">
        <v>434</v>
      </c>
    </row>
    <row r="349" spans="1:52" ht="41.25" customHeight="1" x14ac:dyDescent="0.25">
      <c r="A349" s="37" t="s">
        <v>2068</v>
      </c>
      <c r="B349" s="38">
        <v>45337</v>
      </c>
      <c r="C349" s="39">
        <v>1416</v>
      </c>
      <c r="D349" s="37"/>
      <c r="E349" s="41" t="s">
        <v>2069</v>
      </c>
      <c r="F349" s="38"/>
      <c r="G349" s="39"/>
      <c r="H349" s="42"/>
      <c r="I349" s="36" t="s">
        <v>2070</v>
      </c>
      <c r="J349" s="43">
        <v>661467276.47000003</v>
      </c>
      <c r="K349" s="43">
        <v>0</v>
      </c>
      <c r="L349" s="56">
        <v>0</v>
      </c>
      <c r="M349" s="56">
        <v>0</v>
      </c>
      <c r="N349" s="44">
        <f t="shared" si="61"/>
        <v>100</v>
      </c>
      <c r="O349" s="45">
        <f t="shared" si="65"/>
        <v>661467276.47000003</v>
      </c>
      <c r="P349" s="43"/>
      <c r="Q349" s="45">
        <f t="shared" si="66"/>
        <v>661467276.47000003</v>
      </c>
      <c r="R349" s="43">
        <v>0</v>
      </c>
      <c r="S349" s="30">
        <f t="shared" si="70"/>
        <v>0</v>
      </c>
      <c r="T349" s="30">
        <f t="shared" si="70"/>
        <v>0</v>
      </c>
      <c r="U349" s="30" t="e">
        <f>T349/X349</f>
        <v>#DIV/0!</v>
      </c>
      <c r="V349" s="43" t="e">
        <f>T349/X349</f>
        <v>#DIV/0!</v>
      </c>
      <c r="W349" s="43" t="e">
        <f t="shared" si="62"/>
        <v>#DIV/0!</v>
      </c>
      <c r="X349" s="43">
        <f t="shared" si="67"/>
        <v>0</v>
      </c>
      <c r="Y349" s="43">
        <v>0</v>
      </c>
      <c r="Z349" s="43">
        <v>0</v>
      </c>
      <c r="AA349" s="43">
        <v>0</v>
      </c>
      <c r="AB349" s="43"/>
      <c r="AC349" s="43" t="e">
        <f t="shared" si="63"/>
        <v>#DIV/0!</v>
      </c>
      <c r="AD349" s="43"/>
      <c r="AE349" s="43" t="e">
        <f t="shared" si="64"/>
        <v>#DIV/0!</v>
      </c>
      <c r="AF349" s="43" t="e">
        <f t="shared" si="68"/>
        <v>#DIV/0!</v>
      </c>
      <c r="AG349" s="43" t="e">
        <f t="shared" si="69"/>
        <v>#DIV/0!</v>
      </c>
      <c r="AH349" s="38">
        <v>45474</v>
      </c>
      <c r="AI349" s="38"/>
      <c r="AJ349" s="38"/>
      <c r="AK349" s="38"/>
      <c r="AL349" s="38"/>
      <c r="AM349" s="48"/>
      <c r="AN349" s="42"/>
      <c r="AO349" s="42"/>
      <c r="AP349" s="42"/>
      <c r="AQ349" s="42"/>
      <c r="AR349" s="42"/>
      <c r="AS349" s="50"/>
      <c r="AT349" s="39"/>
      <c r="AU349" s="39"/>
      <c r="AV349" s="49"/>
      <c r="AW349" s="39"/>
      <c r="AX349" s="39">
        <v>10</v>
      </c>
      <c r="AY349" s="30">
        <f>(J349*10)/100</f>
        <v>66146727.647000007</v>
      </c>
      <c r="AZ349" s="42"/>
    </row>
    <row r="350" spans="1:52" ht="41.25" customHeight="1" x14ac:dyDescent="0.25">
      <c r="A350" s="37" t="s">
        <v>2071</v>
      </c>
      <c r="B350" s="38">
        <v>45337</v>
      </c>
      <c r="C350" s="39">
        <v>1512</v>
      </c>
      <c r="D350" s="37"/>
      <c r="E350" s="41" t="s">
        <v>2072</v>
      </c>
      <c r="F350" s="38"/>
      <c r="G350" s="39"/>
      <c r="H350" s="42"/>
      <c r="I350" s="36" t="s">
        <v>1668</v>
      </c>
      <c r="J350" s="43">
        <v>51248268</v>
      </c>
      <c r="K350" s="43">
        <v>0</v>
      </c>
      <c r="L350" s="56">
        <v>0</v>
      </c>
      <c r="M350" s="56">
        <v>0</v>
      </c>
      <c r="N350" s="44">
        <f t="shared" si="61"/>
        <v>100</v>
      </c>
      <c r="O350" s="45">
        <f t="shared" si="65"/>
        <v>51248268</v>
      </c>
      <c r="P350" s="43"/>
      <c r="Q350" s="45">
        <f t="shared" si="66"/>
        <v>51248268</v>
      </c>
      <c r="R350" s="43">
        <v>0</v>
      </c>
      <c r="S350" s="30">
        <f t="shared" si="70"/>
        <v>0</v>
      </c>
      <c r="T350" s="30">
        <f t="shared" si="70"/>
        <v>0</v>
      </c>
      <c r="U350" s="30" t="e">
        <f>T350/X350</f>
        <v>#DIV/0!</v>
      </c>
      <c r="V350" s="43" t="e">
        <f>T350/X350</f>
        <v>#DIV/0!</v>
      </c>
      <c r="W350" s="43" t="e">
        <f t="shared" si="62"/>
        <v>#DIV/0!</v>
      </c>
      <c r="X350" s="43">
        <f t="shared" si="67"/>
        <v>0</v>
      </c>
      <c r="Y350" s="43">
        <v>0</v>
      </c>
      <c r="Z350" s="43">
        <v>0</v>
      </c>
      <c r="AA350" s="43">
        <v>0</v>
      </c>
      <c r="AB350" s="43"/>
      <c r="AC350" s="43" t="e">
        <f t="shared" si="63"/>
        <v>#DIV/0!</v>
      </c>
      <c r="AD350" s="43"/>
      <c r="AE350" s="43" t="e">
        <f t="shared" si="64"/>
        <v>#DIV/0!</v>
      </c>
      <c r="AF350" s="43" t="e">
        <f t="shared" si="68"/>
        <v>#DIV/0!</v>
      </c>
      <c r="AG350" s="43" t="e">
        <f t="shared" si="69"/>
        <v>#DIV/0!</v>
      </c>
      <c r="AH350" s="38">
        <v>45397</v>
      </c>
      <c r="AI350" s="38"/>
      <c r="AJ350" s="38"/>
      <c r="AK350" s="38"/>
      <c r="AL350" s="38"/>
      <c r="AM350" s="48"/>
      <c r="AN350" s="42"/>
      <c r="AO350" s="42"/>
      <c r="AP350" s="42"/>
      <c r="AQ350" s="42"/>
      <c r="AR350" s="42"/>
      <c r="AS350" s="50"/>
      <c r="AT350" s="39"/>
      <c r="AU350" s="39"/>
      <c r="AV350" s="49"/>
      <c r="AW350" s="39"/>
      <c r="AX350" s="39">
        <v>10</v>
      </c>
      <c r="AY350" s="30">
        <f>(J350*10)/100</f>
        <v>5124826.8</v>
      </c>
      <c r="AZ350" s="42"/>
    </row>
    <row r="351" spans="1:52" ht="41.25" customHeight="1" x14ac:dyDescent="0.25">
      <c r="A351" s="37" t="s">
        <v>2073</v>
      </c>
      <c r="B351" s="38">
        <v>45337</v>
      </c>
      <c r="C351" s="39">
        <v>1512</v>
      </c>
      <c r="D351" s="37"/>
      <c r="E351" s="41" t="s">
        <v>2074</v>
      </c>
      <c r="F351" s="38"/>
      <c r="G351" s="39"/>
      <c r="H351" s="42"/>
      <c r="I351" s="36" t="s">
        <v>1595</v>
      </c>
      <c r="J351" s="43">
        <v>200538624</v>
      </c>
      <c r="K351" s="43">
        <v>0</v>
      </c>
      <c r="L351" s="56">
        <v>0</v>
      </c>
      <c r="M351" s="56">
        <v>0</v>
      </c>
      <c r="N351" s="44">
        <f t="shared" si="61"/>
        <v>100</v>
      </c>
      <c r="O351" s="45">
        <f t="shared" si="65"/>
        <v>200538624</v>
      </c>
      <c r="P351" s="43"/>
      <c r="Q351" s="45">
        <f t="shared" si="66"/>
        <v>200538624</v>
      </c>
      <c r="R351" s="43">
        <v>0</v>
      </c>
      <c r="S351" s="30">
        <f t="shared" si="70"/>
        <v>0</v>
      </c>
      <c r="T351" s="30">
        <f t="shared" si="70"/>
        <v>0</v>
      </c>
      <c r="U351" s="30" t="e">
        <f>T351/X351</f>
        <v>#DIV/0!</v>
      </c>
      <c r="V351" s="43" t="e">
        <f>T351/X351</f>
        <v>#DIV/0!</v>
      </c>
      <c r="W351" s="43" t="e">
        <f t="shared" si="62"/>
        <v>#DIV/0!</v>
      </c>
      <c r="X351" s="43">
        <f t="shared" si="67"/>
        <v>0</v>
      </c>
      <c r="Y351" s="43">
        <v>0</v>
      </c>
      <c r="Z351" s="43">
        <v>0</v>
      </c>
      <c r="AA351" s="43">
        <v>0</v>
      </c>
      <c r="AB351" s="43"/>
      <c r="AC351" s="43" t="e">
        <f t="shared" si="63"/>
        <v>#DIV/0!</v>
      </c>
      <c r="AD351" s="43"/>
      <c r="AE351" s="43" t="e">
        <f t="shared" si="64"/>
        <v>#DIV/0!</v>
      </c>
      <c r="AF351" s="43" t="e">
        <f t="shared" si="68"/>
        <v>#DIV/0!</v>
      </c>
      <c r="AG351" s="43" t="e">
        <f t="shared" si="69"/>
        <v>#DIV/0!</v>
      </c>
      <c r="AH351" s="38">
        <v>45397</v>
      </c>
      <c r="AI351" s="38">
        <v>45473</v>
      </c>
      <c r="AJ351" s="38"/>
      <c r="AK351" s="38"/>
      <c r="AL351" s="38"/>
      <c r="AM351" s="48"/>
      <c r="AN351" s="42"/>
      <c r="AO351" s="42"/>
      <c r="AP351" s="42"/>
      <c r="AQ351" s="42"/>
      <c r="AR351" s="42"/>
      <c r="AS351" s="50"/>
      <c r="AT351" s="39"/>
      <c r="AU351" s="39"/>
      <c r="AV351" s="49"/>
      <c r="AW351" s="39"/>
      <c r="AX351" s="39">
        <v>10</v>
      </c>
      <c r="AY351" s="30">
        <f>(J351*10)/100</f>
        <v>20053862.399999999</v>
      </c>
      <c r="AZ351" s="42"/>
    </row>
    <row r="352" spans="1:52" ht="41.25" customHeight="1" x14ac:dyDescent="0.25">
      <c r="A352" s="37" t="s">
        <v>2075</v>
      </c>
      <c r="B352" s="38">
        <v>45337</v>
      </c>
      <c r="C352" s="39">
        <v>1512</v>
      </c>
      <c r="D352" s="37"/>
      <c r="E352" s="41" t="s">
        <v>2076</v>
      </c>
      <c r="F352" s="38"/>
      <c r="G352" s="39"/>
      <c r="H352" s="42"/>
      <c r="I352" s="36" t="s">
        <v>1662</v>
      </c>
      <c r="J352" s="43">
        <v>48569637.600000001</v>
      </c>
      <c r="K352" s="43">
        <v>0</v>
      </c>
      <c r="L352" s="56">
        <v>0</v>
      </c>
      <c r="M352" s="56">
        <v>0</v>
      </c>
      <c r="N352" s="44">
        <f t="shared" ref="N352:N415" si="71">((J352-P352)/J352)*100</f>
        <v>100</v>
      </c>
      <c r="O352" s="45">
        <f t="shared" si="65"/>
        <v>48569637.600000001</v>
      </c>
      <c r="P352" s="43"/>
      <c r="Q352" s="45">
        <f t="shared" si="66"/>
        <v>48569637.600000001</v>
      </c>
      <c r="R352" s="43">
        <v>0</v>
      </c>
      <c r="S352" s="30">
        <f t="shared" si="70"/>
        <v>0</v>
      </c>
      <c r="T352" s="30">
        <f t="shared" si="70"/>
        <v>0</v>
      </c>
      <c r="U352" s="30" t="e">
        <f>T352/X352</f>
        <v>#DIV/0!</v>
      </c>
      <c r="V352" s="43" t="e">
        <f>T352/X352</f>
        <v>#DIV/0!</v>
      </c>
      <c r="W352" s="43" t="e">
        <f t="shared" si="62"/>
        <v>#DIV/0!</v>
      </c>
      <c r="X352" s="43">
        <f t="shared" si="67"/>
        <v>0</v>
      </c>
      <c r="Y352" s="43">
        <v>0</v>
      </c>
      <c r="Z352" s="43">
        <v>0</v>
      </c>
      <c r="AA352" s="43">
        <v>0</v>
      </c>
      <c r="AB352" s="43"/>
      <c r="AC352" s="43" t="e">
        <f t="shared" si="63"/>
        <v>#DIV/0!</v>
      </c>
      <c r="AD352" s="43"/>
      <c r="AE352" s="43" t="e">
        <f t="shared" si="64"/>
        <v>#DIV/0!</v>
      </c>
      <c r="AF352" s="43" t="e">
        <f t="shared" si="68"/>
        <v>#DIV/0!</v>
      </c>
      <c r="AG352" s="43" t="e">
        <f t="shared" si="69"/>
        <v>#DIV/0!</v>
      </c>
      <c r="AH352" s="38">
        <v>45397</v>
      </c>
      <c r="AI352" s="38"/>
      <c r="AJ352" s="38"/>
      <c r="AK352" s="38"/>
      <c r="AL352" s="38"/>
      <c r="AM352" s="48"/>
      <c r="AN352" s="42"/>
      <c r="AO352" s="42"/>
      <c r="AP352" s="42"/>
      <c r="AQ352" s="42"/>
      <c r="AR352" s="42"/>
      <c r="AS352" s="50"/>
      <c r="AT352" s="39"/>
      <c r="AU352" s="39"/>
      <c r="AV352" s="49"/>
      <c r="AW352" s="39"/>
      <c r="AX352" s="39">
        <v>10</v>
      </c>
      <c r="AY352" s="30">
        <f>(J352*10)/100</f>
        <v>4856963.76</v>
      </c>
      <c r="AZ352" s="42"/>
    </row>
    <row r="353" spans="1:52" ht="41.25" customHeight="1" x14ac:dyDescent="0.25">
      <c r="A353" s="37" t="s">
        <v>2077</v>
      </c>
      <c r="B353" s="38">
        <v>45337</v>
      </c>
      <c r="C353" s="39">
        <v>1416</v>
      </c>
      <c r="D353" s="37"/>
      <c r="E353" s="41" t="s">
        <v>2078</v>
      </c>
      <c r="F353" s="38"/>
      <c r="G353" s="39"/>
      <c r="H353" s="42"/>
      <c r="I353" s="36" t="s">
        <v>2079</v>
      </c>
      <c r="J353" s="43">
        <v>626565718.35000002</v>
      </c>
      <c r="K353" s="43">
        <v>0</v>
      </c>
      <c r="L353" s="56">
        <v>0</v>
      </c>
      <c r="M353" s="56">
        <v>0</v>
      </c>
      <c r="N353" s="44">
        <f t="shared" si="71"/>
        <v>100</v>
      </c>
      <c r="O353" s="45">
        <f t="shared" si="65"/>
        <v>626565718.35000002</v>
      </c>
      <c r="P353" s="43"/>
      <c r="Q353" s="45">
        <f t="shared" si="66"/>
        <v>626565718.35000002</v>
      </c>
      <c r="R353" s="43">
        <v>0</v>
      </c>
      <c r="S353" s="30">
        <f t="shared" si="70"/>
        <v>0</v>
      </c>
      <c r="T353" s="30">
        <f t="shared" si="70"/>
        <v>0</v>
      </c>
      <c r="U353" s="30" t="e">
        <f>T353/X353</f>
        <v>#DIV/0!</v>
      </c>
      <c r="V353" s="43" t="e">
        <f>T353/X353</f>
        <v>#DIV/0!</v>
      </c>
      <c r="W353" s="43" t="e">
        <f t="shared" si="62"/>
        <v>#DIV/0!</v>
      </c>
      <c r="X353" s="43">
        <f t="shared" si="67"/>
        <v>0</v>
      </c>
      <c r="Y353" s="43">
        <v>0</v>
      </c>
      <c r="Z353" s="43">
        <v>0</v>
      </c>
      <c r="AA353" s="43">
        <v>0</v>
      </c>
      <c r="AB353" s="43"/>
      <c r="AC353" s="43" t="e">
        <f t="shared" si="63"/>
        <v>#DIV/0!</v>
      </c>
      <c r="AD353" s="43"/>
      <c r="AE353" s="43" t="e">
        <f t="shared" si="64"/>
        <v>#DIV/0!</v>
      </c>
      <c r="AF353" s="43" t="e">
        <f t="shared" si="68"/>
        <v>#DIV/0!</v>
      </c>
      <c r="AG353" s="43" t="e">
        <f t="shared" si="69"/>
        <v>#DIV/0!</v>
      </c>
      <c r="AH353" s="38">
        <v>45413</v>
      </c>
      <c r="AI353" s="38"/>
      <c r="AJ353" s="38"/>
      <c r="AK353" s="38"/>
      <c r="AL353" s="38"/>
      <c r="AM353" s="48"/>
      <c r="AN353" s="42"/>
      <c r="AO353" s="42"/>
      <c r="AP353" s="42"/>
      <c r="AQ353" s="42"/>
      <c r="AR353" s="42"/>
      <c r="AS353" s="50"/>
      <c r="AT353" s="39"/>
      <c r="AU353" s="39"/>
      <c r="AV353" s="49"/>
      <c r="AW353" s="39"/>
      <c r="AX353" s="39">
        <v>10</v>
      </c>
      <c r="AY353" s="30">
        <f>(J353*10)/100</f>
        <v>62656571.835000001</v>
      </c>
      <c r="AZ353" s="42"/>
    </row>
    <row r="354" spans="1:52" ht="41.25" customHeight="1" x14ac:dyDescent="0.25">
      <c r="A354" s="37" t="s">
        <v>2080</v>
      </c>
      <c r="B354" s="38">
        <v>45337</v>
      </c>
      <c r="C354" s="42" t="s">
        <v>2081</v>
      </c>
      <c r="D354" s="37" t="s">
        <v>434</v>
      </c>
      <c r="E354" s="41" t="s">
        <v>2082</v>
      </c>
      <c r="F354" s="37" t="s">
        <v>434</v>
      </c>
      <c r="G354" s="37" t="s">
        <v>434</v>
      </c>
      <c r="H354" s="37" t="s">
        <v>434</v>
      </c>
      <c r="I354" s="36" t="s">
        <v>2070</v>
      </c>
      <c r="J354" s="43">
        <v>9023426.2799999993</v>
      </c>
      <c r="K354" s="43">
        <v>0</v>
      </c>
      <c r="L354" s="56">
        <v>0</v>
      </c>
      <c r="M354" s="56">
        <v>0</v>
      </c>
      <c r="N354" s="44">
        <f t="shared" si="71"/>
        <v>100</v>
      </c>
      <c r="O354" s="45">
        <f t="shared" si="65"/>
        <v>9023426.2799999993</v>
      </c>
      <c r="P354" s="43"/>
      <c r="Q354" s="45">
        <f t="shared" si="66"/>
        <v>9023426.2799999993</v>
      </c>
      <c r="R354" s="43">
        <v>0</v>
      </c>
      <c r="S354" s="30">
        <f t="shared" si="70"/>
        <v>0</v>
      </c>
      <c r="T354" s="30">
        <f t="shared" si="70"/>
        <v>0</v>
      </c>
      <c r="U354" s="30" t="e">
        <f>T354/X354</f>
        <v>#DIV/0!</v>
      </c>
      <c r="V354" s="43" t="e">
        <f>T354/X354</f>
        <v>#DIV/0!</v>
      </c>
      <c r="W354" s="43" t="e">
        <f t="shared" si="62"/>
        <v>#DIV/0!</v>
      </c>
      <c r="X354" s="43">
        <f t="shared" si="67"/>
        <v>0</v>
      </c>
      <c r="Y354" s="43">
        <v>0</v>
      </c>
      <c r="Z354" s="43">
        <v>0</v>
      </c>
      <c r="AA354" s="43">
        <v>0</v>
      </c>
      <c r="AB354" s="43"/>
      <c r="AC354" s="43" t="e">
        <f t="shared" si="63"/>
        <v>#DIV/0!</v>
      </c>
      <c r="AD354" s="43"/>
      <c r="AE354" s="43" t="e">
        <f t="shared" si="64"/>
        <v>#DIV/0!</v>
      </c>
      <c r="AF354" s="43" t="e">
        <f t="shared" si="68"/>
        <v>#DIV/0!</v>
      </c>
      <c r="AG354" s="43" t="e">
        <f t="shared" si="69"/>
        <v>#DIV/0!</v>
      </c>
      <c r="AH354" s="38">
        <v>45474</v>
      </c>
      <c r="AI354" s="38"/>
      <c r="AJ354" s="38"/>
      <c r="AK354" s="38"/>
      <c r="AL354" s="38"/>
      <c r="AM354" s="48"/>
      <c r="AN354" s="42"/>
      <c r="AO354" s="42"/>
      <c r="AP354" s="42"/>
      <c r="AQ354" s="42"/>
      <c r="AR354" s="42"/>
      <c r="AS354" s="50"/>
      <c r="AT354" s="39"/>
      <c r="AU354" s="39"/>
      <c r="AV354" s="49"/>
      <c r="AW354" s="39"/>
      <c r="AX354" s="39">
        <v>10</v>
      </c>
      <c r="AY354" s="30">
        <f>(J354*10)/100</f>
        <v>902342.62800000003</v>
      </c>
      <c r="AZ354" s="42" t="s">
        <v>434</v>
      </c>
    </row>
    <row r="355" spans="1:52" ht="41.25" customHeight="1" x14ac:dyDescent="0.25">
      <c r="A355" s="37" t="s">
        <v>2083</v>
      </c>
      <c r="B355" s="38">
        <v>45337</v>
      </c>
      <c r="C355" s="42" t="s">
        <v>2081</v>
      </c>
      <c r="D355" s="37" t="s">
        <v>434</v>
      </c>
      <c r="E355" s="41" t="s">
        <v>2084</v>
      </c>
      <c r="F355" s="37" t="s">
        <v>434</v>
      </c>
      <c r="G355" s="37" t="s">
        <v>434</v>
      </c>
      <c r="H355" s="37" t="s">
        <v>434</v>
      </c>
      <c r="I355" s="36" t="s">
        <v>2085</v>
      </c>
      <c r="J355" s="43">
        <v>62977.5</v>
      </c>
      <c r="K355" s="43">
        <v>0</v>
      </c>
      <c r="L355" s="56">
        <v>0</v>
      </c>
      <c r="M355" s="56">
        <v>0</v>
      </c>
      <c r="N355" s="44">
        <f t="shared" si="71"/>
        <v>100</v>
      </c>
      <c r="O355" s="45">
        <f t="shared" si="65"/>
        <v>62977.5</v>
      </c>
      <c r="P355" s="43"/>
      <c r="Q355" s="45">
        <f t="shared" si="66"/>
        <v>62977.5</v>
      </c>
      <c r="R355" s="43">
        <v>0</v>
      </c>
      <c r="S355" s="30">
        <f t="shared" si="70"/>
        <v>0</v>
      </c>
      <c r="T355" s="30">
        <f t="shared" si="70"/>
        <v>0</v>
      </c>
      <c r="U355" s="30" t="e">
        <f>T355/X355</f>
        <v>#DIV/0!</v>
      </c>
      <c r="V355" s="43" t="e">
        <f>T355/X355</f>
        <v>#DIV/0!</v>
      </c>
      <c r="W355" s="43" t="e">
        <f t="shared" si="62"/>
        <v>#DIV/0!</v>
      </c>
      <c r="X355" s="43">
        <f t="shared" si="67"/>
        <v>0</v>
      </c>
      <c r="Y355" s="43">
        <v>0</v>
      </c>
      <c r="Z355" s="43">
        <v>0</v>
      </c>
      <c r="AA355" s="43">
        <v>0</v>
      </c>
      <c r="AB355" s="43"/>
      <c r="AC355" s="43" t="e">
        <f t="shared" si="63"/>
        <v>#DIV/0!</v>
      </c>
      <c r="AD355" s="43"/>
      <c r="AE355" s="43" t="e">
        <f t="shared" si="64"/>
        <v>#DIV/0!</v>
      </c>
      <c r="AF355" s="43" t="e">
        <f t="shared" si="68"/>
        <v>#DIV/0!</v>
      </c>
      <c r="AG355" s="43" t="e">
        <f t="shared" si="69"/>
        <v>#DIV/0!</v>
      </c>
      <c r="AH355" s="38">
        <v>45397</v>
      </c>
      <c r="AI355" s="38"/>
      <c r="AJ355" s="38"/>
      <c r="AK355" s="38"/>
      <c r="AL355" s="38"/>
      <c r="AM355" s="48"/>
      <c r="AN355" s="42"/>
      <c r="AO355" s="42"/>
      <c r="AP355" s="42"/>
      <c r="AQ355" s="42"/>
      <c r="AR355" s="42"/>
      <c r="AS355" s="50"/>
      <c r="AT355" s="39"/>
      <c r="AU355" s="39"/>
      <c r="AV355" s="49"/>
      <c r="AW355" s="39"/>
      <c r="AX355" s="39">
        <v>10</v>
      </c>
      <c r="AY355" s="30">
        <f>(J355*10)/100</f>
        <v>6297.75</v>
      </c>
      <c r="AZ355" s="42" t="s">
        <v>434</v>
      </c>
    </row>
    <row r="356" spans="1:52" ht="41.25" customHeight="1" x14ac:dyDescent="0.25">
      <c r="A356" s="37" t="s">
        <v>2086</v>
      </c>
      <c r="B356" s="38">
        <v>45337</v>
      </c>
      <c r="C356" s="42" t="s">
        <v>2087</v>
      </c>
      <c r="D356" s="37"/>
      <c r="E356" s="41" t="s">
        <v>2088</v>
      </c>
      <c r="F356" s="38"/>
      <c r="G356" s="39"/>
      <c r="H356" s="42"/>
      <c r="I356" s="36" t="s">
        <v>1552</v>
      </c>
      <c r="J356" s="43">
        <v>2490397.2000000002</v>
      </c>
      <c r="K356" s="43">
        <v>0</v>
      </c>
      <c r="L356" s="56">
        <v>0</v>
      </c>
      <c r="M356" s="56">
        <v>0</v>
      </c>
      <c r="N356" s="44">
        <f t="shared" si="71"/>
        <v>100</v>
      </c>
      <c r="O356" s="45">
        <f t="shared" si="65"/>
        <v>2490397.2000000002</v>
      </c>
      <c r="P356" s="43"/>
      <c r="Q356" s="45">
        <f t="shared" si="66"/>
        <v>2490397.2000000002</v>
      </c>
      <c r="R356" s="43">
        <v>0</v>
      </c>
      <c r="S356" s="30">
        <f t="shared" si="70"/>
        <v>0</v>
      </c>
      <c r="T356" s="30">
        <f t="shared" si="70"/>
        <v>0</v>
      </c>
      <c r="U356" s="30" t="e">
        <f>T356/X356</f>
        <v>#DIV/0!</v>
      </c>
      <c r="V356" s="43" t="e">
        <f>T356/X356</f>
        <v>#DIV/0!</v>
      </c>
      <c r="W356" s="43" t="e">
        <f t="shared" si="62"/>
        <v>#DIV/0!</v>
      </c>
      <c r="X356" s="43">
        <f t="shared" si="67"/>
        <v>0</v>
      </c>
      <c r="Y356" s="43">
        <v>0</v>
      </c>
      <c r="Z356" s="43">
        <v>0</v>
      </c>
      <c r="AA356" s="43">
        <v>0</v>
      </c>
      <c r="AB356" s="43"/>
      <c r="AC356" s="43" t="e">
        <f t="shared" si="63"/>
        <v>#DIV/0!</v>
      </c>
      <c r="AD356" s="43"/>
      <c r="AE356" s="43" t="e">
        <f t="shared" si="64"/>
        <v>#DIV/0!</v>
      </c>
      <c r="AF356" s="43" t="e">
        <f t="shared" si="68"/>
        <v>#DIV/0!</v>
      </c>
      <c r="AG356" s="43" t="e">
        <f t="shared" si="69"/>
        <v>#DIV/0!</v>
      </c>
      <c r="AH356" s="38">
        <v>45397</v>
      </c>
      <c r="AI356" s="38"/>
      <c r="AJ356" s="38"/>
      <c r="AK356" s="38"/>
      <c r="AL356" s="38"/>
      <c r="AM356" s="48"/>
      <c r="AN356" s="42"/>
      <c r="AO356" s="42"/>
      <c r="AP356" s="42"/>
      <c r="AQ356" s="42"/>
      <c r="AR356" s="42"/>
      <c r="AS356" s="50"/>
      <c r="AT356" s="39"/>
      <c r="AU356" s="39"/>
      <c r="AV356" s="49"/>
      <c r="AW356" s="39"/>
      <c r="AX356" s="39">
        <v>10</v>
      </c>
      <c r="AY356" s="30">
        <f>(J356*10)/100</f>
        <v>249039.72</v>
      </c>
      <c r="AZ356" s="42"/>
    </row>
    <row r="357" spans="1:52" ht="41.25" customHeight="1" x14ac:dyDescent="0.25">
      <c r="A357" s="37" t="s">
        <v>2089</v>
      </c>
      <c r="B357" s="38">
        <v>45337</v>
      </c>
      <c r="C357" s="42" t="s">
        <v>2087</v>
      </c>
      <c r="D357" s="37"/>
      <c r="E357" s="41" t="s">
        <v>2090</v>
      </c>
      <c r="F357" s="38"/>
      <c r="G357" s="39"/>
      <c r="H357" s="42"/>
      <c r="I357" s="36" t="s">
        <v>1595</v>
      </c>
      <c r="J357" s="43">
        <v>17424</v>
      </c>
      <c r="K357" s="43">
        <v>0</v>
      </c>
      <c r="L357" s="56">
        <v>0</v>
      </c>
      <c r="M357" s="56">
        <v>0</v>
      </c>
      <c r="N357" s="44">
        <f t="shared" si="71"/>
        <v>100</v>
      </c>
      <c r="O357" s="45">
        <f t="shared" si="65"/>
        <v>17424</v>
      </c>
      <c r="P357" s="43"/>
      <c r="Q357" s="45">
        <f t="shared" si="66"/>
        <v>17424</v>
      </c>
      <c r="R357" s="43">
        <v>0</v>
      </c>
      <c r="S357" s="30">
        <f t="shared" si="70"/>
        <v>0</v>
      </c>
      <c r="T357" s="30">
        <f t="shared" si="70"/>
        <v>0</v>
      </c>
      <c r="U357" s="30" t="e">
        <f>T357/X357</f>
        <v>#DIV/0!</v>
      </c>
      <c r="V357" s="43" t="e">
        <f>T357/X357</f>
        <v>#DIV/0!</v>
      </c>
      <c r="W357" s="43" t="e">
        <f t="shared" si="62"/>
        <v>#DIV/0!</v>
      </c>
      <c r="X357" s="43">
        <f t="shared" si="67"/>
        <v>0</v>
      </c>
      <c r="Y357" s="43">
        <v>0</v>
      </c>
      <c r="Z357" s="43">
        <v>0</v>
      </c>
      <c r="AA357" s="43">
        <v>0</v>
      </c>
      <c r="AB357" s="43"/>
      <c r="AC357" s="43" t="e">
        <f t="shared" si="63"/>
        <v>#DIV/0!</v>
      </c>
      <c r="AD357" s="43"/>
      <c r="AE357" s="43" t="e">
        <f t="shared" si="64"/>
        <v>#DIV/0!</v>
      </c>
      <c r="AF357" s="43" t="e">
        <f t="shared" si="68"/>
        <v>#DIV/0!</v>
      </c>
      <c r="AG357" s="43" t="e">
        <f t="shared" si="69"/>
        <v>#DIV/0!</v>
      </c>
      <c r="AH357" s="38">
        <v>45397</v>
      </c>
      <c r="AI357" s="38"/>
      <c r="AJ357" s="38"/>
      <c r="AK357" s="38"/>
      <c r="AL357" s="38"/>
      <c r="AM357" s="48"/>
      <c r="AN357" s="42"/>
      <c r="AO357" s="42"/>
      <c r="AP357" s="42"/>
      <c r="AQ357" s="42"/>
      <c r="AR357" s="42"/>
      <c r="AS357" s="50"/>
      <c r="AT357" s="39"/>
      <c r="AU357" s="39"/>
      <c r="AV357" s="49"/>
      <c r="AW357" s="39"/>
      <c r="AX357" s="39">
        <v>10</v>
      </c>
      <c r="AY357" s="30">
        <f>(J357*10)/100</f>
        <v>1742.4</v>
      </c>
      <c r="AZ357" s="42"/>
    </row>
    <row r="358" spans="1:52" ht="41.25" customHeight="1" x14ac:dyDescent="0.25">
      <c r="A358" s="37" t="s">
        <v>2091</v>
      </c>
      <c r="B358" s="38">
        <v>45337</v>
      </c>
      <c r="C358" s="42" t="s">
        <v>2081</v>
      </c>
      <c r="D358" s="37"/>
      <c r="E358" s="41" t="s">
        <v>2092</v>
      </c>
      <c r="F358" s="38"/>
      <c r="G358" s="39"/>
      <c r="H358" s="42"/>
      <c r="I358" s="36" t="s">
        <v>2079</v>
      </c>
      <c r="J358" s="43">
        <v>3802660.95</v>
      </c>
      <c r="K358" s="43">
        <v>0</v>
      </c>
      <c r="L358" s="56">
        <v>0</v>
      </c>
      <c r="M358" s="56">
        <v>0</v>
      </c>
      <c r="N358" s="44">
        <f t="shared" si="71"/>
        <v>100</v>
      </c>
      <c r="O358" s="45">
        <f t="shared" si="65"/>
        <v>3802660.95</v>
      </c>
      <c r="P358" s="43"/>
      <c r="Q358" s="45">
        <f t="shared" si="66"/>
        <v>3802660.95</v>
      </c>
      <c r="R358" s="43">
        <v>0</v>
      </c>
      <c r="S358" s="30">
        <f t="shared" si="70"/>
        <v>0</v>
      </c>
      <c r="T358" s="30">
        <f t="shared" si="70"/>
        <v>0</v>
      </c>
      <c r="U358" s="30" t="e">
        <f>T358/X358</f>
        <v>#DIV/0!</v>
      </c>
      <c r="V358" s="43" t="e">
        <f>T358/X358</f>
        <v>#DIV/0!</v>
      </c>
      <c r="W358" s="43" t="e">
        <f t="shared" si="62"/>
        <v>#DIV/0!</v>
      </c>
      <c r="X358" s="43">
        <f t="shared" si="67"/>
        <v>0</v>
      </c>
      <c r="Y358" s="43">
        <v>0</v>
      </c>
      <c r="Z358" s="43">
        <v>0</v>
      </c>
      <c r="AA358" s="43">
        <v>0</v>
      </c>
      <c r="AB358" s="43"/>
      <c r="AC358" s="43" t="e">
        <f t="shared" si="63"/>
        <v>#DIV/0!</v>
      </c>
      <c r="AD358" s="43"/>
      <c r="AE358" s="43" t="e">
        <f t="shared" si="64"/>
        <v>#DIV/0!</v>
      </c>
      <c r="AF358" s="43" t="e">
        <f t="shared" si="68"/>
        <v>#DIV/0!</v>
      </c>
      <c r="AG358" s="43" t="e">
        <f t="shared" si="69"/>
        <v>#DIV/0!</v>
      </c>
      <c r="AH358" s="38">
        <v>45413</v>
      </c>
      <c r="AI358" s="38"/>
      <c r="AJ358" s="38"/>
      <c r="AK358" s="38"/>
      <c r="AL358" s="38"/>
      <c r="AM358" s="48"/>
      <c r="AN358" s="42"/>
      <c r="AO358" s="42"/>
      <c r="AP358" s="42"/>
      <c r="AQ358" s="42"/>
      <c r="AR358" s="42"/>
      <c r="AS358" s="50"/>
      <c r="AT358" s="39"/>
      <c r="AU358" s="39"/>
      <c r="AV358" s="49"/>
      <c r="AW358" s="39"/>
      <c r="AX358" s="39">
        <v>10</v>
      </c>
      <c r="AY358" s="30">
        <f>(J358*10)/100</f>
        <v>380266.09499999997</v>
      </c>
      <c r="AZ358" s="42"/>
    </row>
    <row r="359" spans="1:52" ht="41.25" customHeight="1" x14ac:dyDescent="0.25">
      <c r="A359" s="37" t="s">
        <v>2093</v>
      </c>
      <c r="B359" s="38">
        <v>45337</v>
      </c>
      <c r="C359" s="42" t="s">
        <v>2199</v>
      </c>
      <c r="D359" s="37" t="s">
        <v>434</v>
      </c>
      <c r="E359" s="41" t="s">
        <v>2094</v>
      </c>
      <c r="F359" s="37" t="s">
        <v>434</v>
      </c>
      <c r="G359" s="37" t="s">
        <v>434</v>
      </c>
      <c r="H359" s="37" t="s">
        <v>434</v>
      </c>
      <c r="I359" s="36" t="s">
        <v>1668</v>
      </c>
      <c r="J359" s="43">
        <v>46909.8</v>
      </c>
      <c r="K359" s="43">
        <v>0</v>
      </c>
      <c r="L359" s="56">
        <v>0</v>
      </c>
      <c r="M359" s="56">
        <v>0</v>
      </c>
      <c r="N359" s="44">
        <f t="shared" si="71"/>
        <v>100</v>
      </c>
      <c r="O359" s="45">
        <f t="shared" si="65"/>
        <v>46909.8</v>
      </c>
      <c r="P359" s="43"/>
      <c r="Q359" s="45">
        <f t="shared" si="66"/>
        <v>46909.8</v>
      </c>
      <c r="R359" s="43">
        <v>0</v>
      </c>
      <c r="S359" s="30">
        <f t="shared" si="70"/>
        <v>0</v>
      </c>
      <c r="T359" s="30">
        <f t="shared" si="70"/>
        <v>0</v>
      </c>
      <c r="U359" s="30" t="e">
        <f>T359/X359</f>
        <v>#DIV/0!</v>
      </c>
      <c r="V359" s="43" t="e">
        <f>T359/X359</f>
        <v>#DIV/0!</v>
      </c>
      <c r="W359" s="43" t="e">
        <f t="shared" si="62"/>
        <v>#DIV/0!</v>
      </c>
      <c r="X359" s="43">
        <f t="shared" si="67"/>
        <v>0</v>
      </c>
      <c r="Y359" s="43">
        <v>0</v>
      </c>
      <c r="Z359" s="43">
        <v>0</v>
      </c>
      <c r="AA359" s="43">
        <v>0</v>
      </c>
      <c r="AB359" s="43"/>
      <c r="AC359" s="43" t="e">
        <f t="shared" si="63"/>
        <v>#DIV/0!</v>
      </c>
      <c r="AD359" s="43"/>
      <c r="AE359" s="43" t="e">
        <f t="shared" si="64"/>
        <v>#DIV/0!</v>
      </c>
      <c r="AF359" s="43" t="e">
        <f t="shared" si="68"/>
        <v>#DIV/0!</v>
      </c>
      <c r="AG359" s="43" t="e">
        <f t="shared" si="69"/>
        <v>#DIV/0!</v>
      </c>
      <c r="AH359" s="38">
        <v>45397</v>
      </c>
      <c r="AI359" s="38"/>
      <c r="AJ359" s="38"/>
      <c r="AK359" s="38"/>
      <c r="AL359" s="38"/>
      <c r="AM359" s="48"/>
      <c r="AN359" s="42"/>
      <c r="AO359" s="42"/>
      <c r="AP359" s="42"/>
      <c r="AQ359" s="42"/>
      <c r="AR359" s="42"/>
      <c r="AS359" s="50"/>
      <c r="AT359" s="39"/>
      <c r="AU359" s="39"/>
      <c r="AV359" s="49"/>
      <c r="AW359" s="39"/>
      <c r="AX359" s="39">
        <v>10</v>
      </c>
      <c r="AY359" s="30">
        <f>(J359*10)/100</f>
        <v>4690.9799999999996</v>
      </c>
      <c r="AZ359" s="42" t="s">
        <v>434</v>
      </c>
    </row>
    <row r="360" spans="1:52" ht="41.25" customHeight="1" x14ac:dyDescent="0.25">
      <c r="A360" s="37" t="s">
        <v>2095</v>
      </c>
      <c r="B360" s="38">
        <v>45337</v>
      </c>
      <c r="C360" s="42" t="s">
        <v>2199</v>
      </c>
      <c r="D360" s="37" t="s">
        <v>434</v>
      </c>
      <c r="E360" s="41" t="s">
        <v>2096</v>
      </c>
      <c r="F360" s="37" t="s">
        <v>434</v>
      </c>
      <c r="G360" s="37" t="s">
        <v>434</v>
      </c>
      <c r="H360" s="37" t="s">
        <v>434</v>
      </c>
      <c r="I360" s="36" t="s">
        <v>1528</v>
      </c>
      <c r="J360" s="43">
        <v>3838479.3</v>
      </c>
      <c r="K360" s="43">
        <v>0</v>
      </c>
      <c r="L360" s="56">
        <v>0</v>
      </c>
      <c r="M360" s="56">
        <v>0</v>
      </c>
      <c r="N360" s="44">
        <f t="shared" si="71"/>
        <v>100</v>
      </c>
      <c r="O360" s="45">
        <f t="shared" si="65"/>
        <v>3838479.3</v>
      </c>
      <c r="P360" s="43"/>
      <c r="Q360" s="45">
        <f t="shared" si="66"/>
        <v>3838479.3</v>
      </c>
      <c r="R360" s="43">
        <v>0</v>
      </c>
      <c r="S360" s="30">
        <f t="shared" si="70"/>
        <v>0</v>
      </c>
      <c r="T360" s="30">
        <f t="shared" si="70"/>
        <v>0</v>
      </c>
      <c r="U360" s="30" t="e">
        <f>T360/X360</f>
        <v>#DIV/0!</v>
      </c>
      <c r="V360" s="43" t="e">
        <f>T360/X360</f>
        <v>#DIV/0!</v>
      </c>
      <c r="W360" s="43" t="e">
        <f t="shared" si="62"/>
        <v>#DIV/0!</v>
      </c>
      <c r="X360" s="43">
        <f t="shared" si="67"/>
        <v>0</v>
      </c>
      <c r="Y360" s="43">
        <v>0</v>
      </c>
      <c r="Z360" s="43">
        <v>0</v>
      </c>
      <c r="AA360" s="43">
        <v>0</v>
      </c>
      <c r="AB360" s="43"/>
      <c r="AC360" s="43" t="e">
        <f t="shared" si="63"/>
        <v>#DIV/0!</v>
      </c>
      <c r="AD360" s="43"/>
      <c r="AE360" s="43" t="e">
        <f t="shared" si="64"/>
        <v>#DIV/0!</v>
      </c>
      <c r="AF360" s="43" t="e">
        <f t="shared" si="68"/>
        <v>#DIV/0!</v>
      </c>
      <c r="AG360" s="43" t="e">
        <f t="shared" si="69"/>
        <v>#DIV/0!</v>
      </c>
      <c r="AH360" s="38">
        <v>45397</v>
      </c>
      <c r="AI360" s="38"/>
      <c r="AJ360" s="38"/>
      <c r="AK360" s="38"/>
      <c r="AL360" s="38"/>
      <c r="AM360" s="48"/>
      <c r="AN360" s="42"/>
      <c r="AO360" s="42"/>
      <c r="AP360" s="42"/>
      <c r="AQ360" s="42"/>
      <c r="AR360" s="42"/>
      <c r="AS360" s="50"/>
      <c r="AT360" s="39"/>
      <c r="AU360" s="39"/>
      <c r="AV360" s="49"/>
      <c r="AW360" s="39"/>
      <c r="AX360" s="39">
        <v>10</v>
      </c>
      <c r="AY360" s="30">
        <f>(J360*10)/100</f>
        <v>383847.93</v>
      </c>
      <c r="AZ360" s="42" t="s">
        <v>434</v>
      </c>
    </row>
    <row r="361" spans="1:52" ht="41.25" customHeight="1" x14ac:dyDescent="0.25">
      <c r="A361" s="61" t="s">
        <v>2097</v>
      </c>
      <c r="B361" s="62">
        <v>45338</v>
      </c>
      <c r="C361" s="39">
        <v>1416</v>
      </c>
      <c r="D361" s="37"/>
      <c r="E361" s="42"/>
      <c r="F361" s="38"/>
      <c r="G361" s="39"/>
      <c r="H361" s="42"/>
      <c r="I361" s="64" t="s">
        <v>1041</v>
      </c>
      <c r="J361" s="63">
        <v>2708640</v>
      </c>
      <c r="K361" s="43"/>
      <c r="L361" s="56"/>
      <c r="M361" s="56"/>
      <c r="N361" s="44"/>
      <c r="O361" s="45"/>
      <c r="P361" s="43"/>
      <c r="Q361" s="45"/>
      <c r="R361" s="43"/>
      <c r="S361" s="30"/>
      <c r="T361" s="30"/>
      <c r="U361" s="30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38">
        <v>45474</v>
      </c>
      <c r="AI361" s="38"/>
      <c r="AJ361" s="38"/>
      <c r="AK361" s="38"/>
      <c r="AL361" s="38"/>
      <c r="AM361" s="48"/>
      <c r="AN361" s="42"/>
      <c r="AO361" s="42"/>
      <c r="AP361" s="42"/>
      <c r="AQ361" s="42"/>
      <c r="AR361" s="42"/>
      <c r="AS361" s="50"/>
      <c r="AT361" s="39"/>
      <c r="AU361" s="39"/>
      <c r="AV361" s="49"/>
      <c r="AW361" s="39"/>
      <c r="AX361" s="39"/>
      <c r="AY361" s="30"/>
      <c r="AZ361" s="42"/>
    </row>
    <row r="362" spans="1:52" ht="48" customHeight="1" x14ac:dyDescent="0.25">
      <c r="A362" s="61" t="s">
        <v>2098</v>
      </c>
      <c r="B362" s="62">
        <v>45338</v>
      </c>
      <c r="C362" s="39">
        <v>1512</v>
      </c>
      <c r="D362" s="37"/>
      <c r="E362" s="42"/>
      <c r="F362" s="38"/>
      <c r="G362" s="39"/>
      <c r="H362" s="42"/>
      <c r="I362" s="65" t="s">
        <v>1893</v>
      </c>
      <c r="J362" s="63">
        <v>26264656.800000001</v>
      </c>
      <c r="K362" s="43">
        <v>0</v>
      </c>
      <c r="L362" s="56">
        <v>0</v>
      </c>
      <c r="M362" s="56">
        <v>0</v>
      </c>
      <c r="N362" s="44">
        <f t="shared" si="71"/>
        <v>100</v>
      </c>
      <c r="O362" s="45">
        <f t="shared" si="65"/>
        <v>26264656.800000001</v>
      </c>
      <c r="P362" s="43"/>
      <c r="Q362" s="45">
        <f t="shared" si="66"/>
        <v>26264656.800000001</v>
      </c>
      <c r="R362" s="43">
        <v>0</v>
      </c>
      <c r="S362" s="30">
        <f t="shared" si="70"/>
        <v>0</v>
      </c>
      <c r="T362" s="30">
        <f t="shared" si="70"/>
        <v>0</v>
      </c>
      <c r="U362" s="30" t="e">
        <f>T362/X362</f>
        <v>#DIV/0!</v>
      </c>
      <c r="V362" s="43" t="e">
        <f>T362/X362</f>
        <v>#DIV/0!</v>
      </c>
      <c r="W362" s="43" t="e">
        <f t="shared" si="62"/>
        <v>#DIV/0!</v>
      </c>
      <c r="X362" s="43">
        <f t="shared" si="67"/>
        <v>0</v>
      </c>
      <c r="Y362" s="43">
        <v>0</v>
      </c>
      <c r="Z362" s="43">
        <v>0</v>
      </c>
      <c r="AA362" s="43">
        <v>0</v>
      </c>
      <c r="AB362" s="43"/>
      <c r="AC362" s="43" t="e">
        <f t="shared" si="63"/>
        <v>#DIV/0!</v>
      </c>
      <c r="AD362" s="43"/>
      <c r="AE362" s="43" t="e">
        <f t="shared" si="64"/>
        <v>#DIV/0!</v>
      </c>
      <c r="AF362" s="43" t="e">
        <f t="shared" si="68"/>
        <v>#DIV/0!</v>
      </c>
      <c r="AG362" s="43" t="e">
        <f t="shared" si="69"/>
        <v>#DIV/0!</v>
      </c>
      <c r="AH362" s="38">
        <v>45397</v>
      </c>
      <c r="AI362" s="38"/>
      <c r="AJ362" s="38"/>
      <c r="AK362" s="38"/>
      <c r="AL362" s="38"/>
      <c r="AM362" s="48"/>
      <c r="AN362" s="42"/>
      <c r="AO362" s="42"/>
      <c r="AP362" s="42"/>
      <c r="AQ362" s="42"/>
      <c r="AR362" s="42"/>
      <c r="AS362" s="50"/>
      <c r="AT362" s="39"/>
      <c r="AU362" s="39"/>
      <c r="AV362" s="49"/>
      <c r="AW362" s="39"/>
      <c r="AX362" s="39">
        <v>10</v>
      </c>
      <c r="AY362" s="30">
        <f>(J362*10)/100</f>
        <v>2626465.6800000002</v>
      </c>
      <c r="AZ362" s="42"/>
    </row>
    <row r="363" spans="1:52" ht="48" customHeight="1" x14ac:dyDescent="0.25">
      <c r="A363" s="61" t="s">
        <v>2099</v>
      </c>
      <c r="B363" s="62">
        <v>45338</v>
      </c>
      <c r="C363" s="39">
        <v>1512</v>
      </c>
      <c r="D363" s="37"/>
      <c r="E363" s="42"/>
      <c r="F363" s="38"/>
      <c r="G363" s="39"/>
      <c r="H363" s="42"/>
      <c r="I363" s="64" t="s">
        <v>1671</v>
      </c>
      <c r="J363" s="63">
        <v>2657054.4</v>
      </c>
      <c r="K363" s="43">
        <v>0</v>
      </c>
      <c r="L363" s="56">
        <v>0</v>
      </c>
      <c r="M363" s="56">
        <v>0</v>
      </c>
      <c r="N363" s="44">
        <f t="shared" si="71"/>
        <v>100</v>
      </c>
      <c r="O363" s="45">
        <f t="shared" si="65"/>
        <v>2657054.4</v>
      </c>
      <c r="P363" s="43"/>
      <c r="Q363" s="45">
        <f t="shared" si="66"/>
        <v>2657054.4</v>
      </c>
      <c r="R363" s="43">
        <v>0</v>
      </c>
      <c r="S363" s="30">
        <f t="shared" si="70"/>
        <v>0</v>
      </c>
      <c r="T363" s="30">
        <f t="shared" si="70"/>
        <v>0</v>
      </c>
      <c r="U363" s="30" t="e">
        <f>T363/X363</f>
        <v>#DIV/0!</v>
      </c>
      <c r="V363" s="43" t="e">
        <f>T363/X363</f>
        <v>#DIV/0!</v>
      </c>
      <c r="W363" s="43" t="e">
        <f t="shared" si="62"/>
        <v>#DIV/0!</v>
      </c>
      <c r="X363" s="43">
        <f t="shared" si="67"/>
        <v>0</v>
      </c>
      <c r="Y363" s="43">
        <v>0</v>
      </c>
      <c r="Z363" s="43">
        <v>0</v>
      </c>
      <c r="AA363" s="43">
        <v>0</v>
      </c>
      <c r="AB363" s="43"/>
      <c r="AC363" s="43" t="e">
        <f t="shared" si="63"/>
        <v>#DIV/0!</v>
      </c>
      <c r="AD363" s="43"/>
      <c r="AE363" s="43" t="e">
        <f t="shared" si="64"/>
        <v>#DIV/0!</v>
      </c>
      <c r="AF363" s="43" t="e">
        <f t="shared" si="68"/>
        <v>#DIV/0!</v>
      </c>
      <c r="AG363" s="43" t="e">
        <f t="shared" si="69"/>
        <v>#DIV/0!</v>
      </c>
      <c r="AH363" s="38">
        <v>45397</v>
      </c>
      <c r="AI363" s="38"/>
      <c r="AJ363" s="38"/>
      <c r="AK363" s="38"/>
      <c r="AL363" s="38"/>
      <c r="AM363" s="48"/>
      <c r="AN363" s="42"/>
      <c r="AO363" s="42"/>
      <c r="AP363" s="42"/>
      <c r="AQ363" s="42"/>
      <c r="AR363" s="42"/>
      <c r="AS363" s="50"/>
      <c r="AT363" s="39"/>
      <c r="AU363" s="39"/>
      <c r="AV363" s="49"/>
      <c r="AW363" s="39"/>
      <c r="AX363" s="39">
        <v>10</v>
      </c>
      <c r="AY363" s="30">
        <f>(J363*10)/100</f>
        <v>265705.44</v>
      </c>
      <c r="AZ363" s="42"/>
    </row>
    <row r="364" spans="1:52" ht="48" customHeight="1" x14ac:dyDescent="0.25">
      <c r="A364" s="61" t="s">
        <v>2100</v>
      </c>
      <c r="B364" s="62">
        <v>45338</v>
      </c>
      <c r="C364" s="42" t="s">
        <v>2087</v>
      </c>
      <c r="D364" s="37"/>
      <c r="E364" s="42"/>
      <c r="F364" s="38"/>
      <c r="G364" s="39"/>
      <c r="H364" s="42"/>
      <c r="I364" s="64" t="s">
        <v>2101</v>
      </c>
      <c r="J364" s="63">
        <v>201371.5</v>
      </c>
      <c r="K364" s="43">
        <v>0</v>
      </c>
      <c r="L364" s="56">
        <v>0</v>
      </c>
      <c r="M364" s="56">
        <v>0</v>
      </c>
      <c r="N364" s="44">
        <f t="shared" si="71"/>
        <v>100</v>
      </c>
      <c r="O364" s="45">
        <f t="shared" si="65"/>
        <v>201371.5</v>
      </c>
      <c r="P364" s="43"/>
      <c r="Q364" s="45">
        <f t="shared" si="66"/>
        <v>201371.5</v>
      </c>
      <c r="R364" s="43">
        <v>0</v>
      </c>
      <c r="S364" s="30">
        <f t="shared" si="70"/>
        <v>0</v>
      </c>
      <c r="T364" s="30">
        <f t="shared" si="70"/>
        <v>0</v>
      </c>
      <c r="U364" s="30" t="e">
        <f>T364/X364</f>
        <v>#DIV/0!</v>
      </c>
      <c r="V364" s="43" t="e">
        <f>T364/X364</f>
        <v>#DIV/0!</v>
      </c>
      <c r="W364" s="43" t="e">
        <f t="shared" si="62"/>
        <v>#DIV/0!</v>
      </c>
      <c r="X364" s="43">
        <f t="shared" si="67"/>
        <v>0</v>
      </c>
      <c r="Y364" s="43">
        <v>0</v>
      </c>
      <c r="Z364" s="43">
        <v>0</v>
      </c>
      <c r="AA364" s="43">
        <v>0</v>
      </c>
      <c r="AB364" s="43"/>
      <c r="AC364" s="43" t="e">
        <f t="shared" si="63"/>
        <v>#DIV/0!</v>
      </c>
      <c r="AD364" s="43"/>
      <c r="AE364" s="43" t="e">
        <f t="shared" si="64"/>
        <v>#DIV/0!</v>
      </c>
      <c r="AF364" s="43" t="e">
        <f t="shared" si="68"/>
        <v>#DIV/0!</v>
      </c>
      <c r="AG364" s="43" t="e">
        <f t="shared" si="69"/>
        <v>#DIV/0!</v>
      </c>
      <c r="AH364" s="38">
        <v>45397</v>
      </c>
      <c r="AI364" s="38"/>
      <c r="AJ364" s="38"/>
      <c r="AK364" s="38"/>
      <c r="AL364" s="38"/>
      <c r="AM364" s="48"/>
      <c r="AN364" s="42"/>
      <c r="AO364" s="42"/>
      <c r="AP364" s="42"/>
      <c r="AQ364" s="42"/>
      <c r="AR364" s="42"/>
      <c r="AS364" s="50"/>
      <c r="AT364" s="39"/>
      <c r="AU364" s="39"/>
      <c r="AV364" s="49"/>
      <c r="AW364" s="39"/>
      <c r="AX364" s="39">
        <v>10</v>
      </c>
      <c r="AY364" s="30">
        <f>(J364*10)/100</f>
        <v>20137.150000000001</v>
      </c>
      <c r="AZ364" s="42"/>
    </row>
    <row r="365" spans="1:52" ht="48" customHeight="1" x14ac:dyDescent="0.25">
      <c r="A365" s="61" t="s">
        <v>2102</v>
      </c>
      <c r="B365" s="62">
        <v>45338</v>
      </c>
      <c r="C365" s="42" t="s">
        <v>2087</v>
      </c>
      <c r="D365" s="37"/>
      <c r="E365" s="42"/>
      <c r="F365" s="38"/>
      <c r="G365" s="39"/>
      <c r="H365" s="42"/>
      <c r="I365" s="64" t="s">
        <v>1998</v>
      </c>
      <c r="J365" s="63">
        <v>9343867.1999999993</v>
      </c>
      <c r="K365" s="43">
        <v>0</v>
      </c>
      <c r="L365" s="56">
        <v>0</v>
      </c>
      <c r="M365" s="56">
        <v>0</v>
      </c>
      <c r="N365" s="44">
        <f t="shared" si="71"/>
        <v>100</v>
      </c>
      <c r="O365" s="45">
        <f t="shared" si="65"/>
        <v>9343867.1999999993</v>
      </c>
      <c r="P365" s="43"/>
      <c r="Q365" s="45">
        <f t="shared" si="66"/>
        <v>9343867.1999999993</v>
      </c>
      <c r="R365" s="43">
        <v>0</v>
      </c>
      <c r="S365" s="30">
        <f t="shared" si="70"/>
        <v>0</v>
      </c>
      <c r="T365" s="30">
        <f t="shared" si="70"/>
        <v>0</v>
      </c>
      <c r="U365" s="30" t="e">
        <f>T365/X365</f>
        <v>#DIV/0!</v>
      </c>
      <c r="V365" s="43" t="e">
        <f>T365/X365</f>
        <v>#DIV/0!</v>
      </c>
      <c r="W365" s="43" t="e">
        <f t="shared" si="62"/>
        <v>#DIV/0!</v>
      </c>
      <c r="X365" s="43">
        <f t="shared" si="67"/>
        <v>0</v>
      </c>
      <c r="Y365" s="43">
        <v>0</v>
      </c>
      <c r="Z365" s="43">
        <v>0</v>
      </c>
      <c r="AA365" s="43">
        <v>0</v>
      </c>
      <c r="AB365" s="43"/>
      <c r="AC365" s="43" t="e">
        <f t="shared" si="63"/>
        <v>#DIV/0!</v>
      </c>
      <c r="AD365" s="43"/>
      <c r="AE365" s="43" t="e">
        <f t="shared" si="64"/>
        <v>#DIV/0!</v>
      </c>
      <c r="AF365" s="43" t="e">
        <f t="shared" si="68"/>
        <v>#DIV/0!</v>
      </c>
      <c r="AG365" s="43" t="e">
        <f t="shared" si="69"/>
        <v>#DIV/0!</v>
      </c>
      <c r="AH365" s="38">
        <v>45397</v>
      </c>
      <c r="AI365" s="38"/>
      <c r="AJ365" s="38"/>
      <c r="AK365" s="38"/>
      <c r="AL365" s="38"/>
      <c r="AM365" s="48"/>
      <c r="AN365" s="42"/>
      <c r="AO365" s="42"/>
      <c r="AP365" s="42"/>
      <c r="AQ365" s="42"/>
      <c r="AR365" s="42"/>
      <c r="AS365" s="50"/>
      <c r="AT365" s="39"/>
      <c r="AU365" s="39"/>
      <c r="AV365" s="49"/>
      <c r="AW365" s="39"/>
      <c r="AX365" s="39">
        <v>10</v>
      </c>
      <c r="AY365" s="30">
        <f>(J365*10)/100</f>
        <v>934386.72</v>
      </c>
      <c r="AZ365" s="42"/>
    </row>
    <row r="366" spans="1:52" ht="48" customHeight="1" x14ac:dyDescent="0.25">
      <c r="A366" s="61" t="s">
        <v>2103</v>
      </c>
      <c r="B366" s="62">
        <v>45338</v>
      </c>
      <c r="C366" s="39">
        <v>1512</v>
      </c>
      <c r="D366" s="37"/>
      <c r="E366" s="42"/>
      <c r="F366" s="38"/>
      <c r="G366" s="39"/>
      <c r="H366" s="42"/>
      <c r="I366" s="64" t="s">
        <v>1528</v>
      </c>
      <c r="J366" s="63">
        <v>317722048.5</v>
      </c>
      <c r="K366" s="43">
        <v>0</v>
      </c>
      <c r="L366" s="56">
        <v>0</v>
      </c>
      <c r="M366" s="56">
        <v>0</v>
      </c>
      <c r="N366" s="44">
        <f t="shared" si="71"/>
        <v>100</v>
      </c>
      <c r="O366" s="45">
        <f t="shared" si="65"/>
        <v>317722048.5</v>
      </c>
      <c r="P366" s="43"/>
      <c r="Q366" s="45">
        <f t="shared" si="66"/>
        <v>317722048.5</v>
      </c>
      <c r="R366" s="43">
        <v>0</v>
      </c>
      <c r="S366" s="30">
        <f t="shared" si="70"/>
        <v>0</v>
      </c>
      <c r="T366" s="30">
        <f t="shared" si="70"/>
        <v>0</v>
      </c>
      <c r="U366" s="30" t="e">
        <f>T366/X366</f>
        <v>#DIV/0!</v>
      </c>
      <c r="V366" s="43" t="e">
        <f>T366/X366</f>
        <v>#DIV/0!</v>
      </c>
      <c r="W366" s="43" t="e">
        <f t="shared" si="62"/>
        <v>#DIV/0!</v>
      </c>
      <c r="X366" s="43">
        <f t="shared" si="67"/>
        <v>0</v>
      </c>
      <c r="Y366" s="43">
        <v>0</v>
      </c>
      <c r="Z366" s="43">
        <v>0</v>
      </c>
      <c r="AA366" s="43">
        <v>0</v>
      </c>
      <c r="AB366" s="43"/>
      <c r="AC366" s="43" t="e">
        <f t="shared" si="63"/>
        <v>#DIV/0!</v>
      </c>
      <c r="AD366" s="43"/>
      <c r="AE366" s="43" t="e">
        <f t="shared" si="64"/>
        <v>#DIV/0!</v>
      </c>
      <c r="AF366" s="43" t="e">
        <f t="shared" si="68"/>
        <v>#DIV/0!</v>
      </c>
      <c r="AG366" s="43" t="e">
        <f t="shared" si="69"/>
        <v>#DIV/0!</v>
      </c>
      <c r="AH366" s="38">
        <v>45397</v>
      </c>
      <c r="AI366" s="38"/>
      <c r="AJ366" s="38"/>
      <c r="AK366" s="38"/>
      <c r="AL366" s="38"/>
      <c r="AM366" s="48"/>
      <c r="AN366" s="42"/>
      <c r="AO366" s="42"/>
      <c r="AP366" s="42"/>
      <c r="AQ366" s="42"/>
      <c r="AR366" s="42"/>
      <c r="AS366" s="50"/>
      <c r="AT366" s="39"/>
      <c r="AU366" s="39"/>
      <c r="AV366" s="49"/>
      <c r="AW366" s="39"/>
      <c r="AX366" s="39">
        <v>10</v>
      </c>
      <c r="AY366" s="30">
        <f>(J366*10)/100</f>
        <v>31772204.850000001</v>
      </c>
      <c r="AZ366" s="42"/>
    </row>
    <row r="367" spans="1:52" ht="48" customHeight="1" x14ac:dyDescent="0.25">
      <c r="A367" s="61" t="s">
        <v>2104</v>
      </c>
      <c r="B367" s="62">
        <v>45338</v>
      </c>
      <c r="C367" s="39">
        <v>545</v>
      </c>
      <c r="D367" s="37"/>
      <c r="E367" s="42"/>
      <c r="F367" s="38"/>
      <c r="G367" s="39"/>
      <c r="H367" s="42"/>
      <c r="I367" s="65" t="s">
        <v>410</v>
      </c>
      <c r="J367" s="63">
        <v>19348243.199999999</v>
      </c>
      <c r="K367" s="43">
        <v>0</v>
      </c>
      <c r="L367" s="56">
        <v>0</v>
      </c>
      <c r="M367" s="56">
        <v>0</v>
      </c>
      <c r="N367" s="44">
        <f t="shared" si="71"/>
        <v>100</v>
      </c>
      <c r="O367" s="45">
        <f t="shared" si="65"/>
        <v>19348243.199999999</v>
      </c>
      <c r="P367" s="43"/>
      <c r="Q367" s="45">
        <f t="shared" si="66"/>
        <v>19348243.199999999</v>
      </c>
      <c r="R367" s="43">
        <v>0</v>
      </c>
      <c r="S367" s="30">
        <f t="shared" si="70"/>
        <v>0</v>
      </c>
      <c r="T367" s="30">
        <f t="shared" si="70"/>
        <v>0</v>
      </c>
      <c r="U367" s="30" t="e">
        <f>T367/X367</f>
        <v>#DIV/0!</v>
      </c>
      <c r="V367" s="43" t="e">
        <f>T367/X367</f>
        <v>#DIV/0!</v>
      </c>
      <c r="W367" s="43" t="e">
        <f t="shared" si="62"/>
        <v>#DIV/0!</v>
      </c>
      <c r="X367" s="43">
        <f t="shared" si="67"/>
        <v>0</v>
      </c>
      <c r="Y367" s="43">
        <v>0</v>
      </c>
      <c r="Z367" s="43">
        <v>0</v>
      </c>
      <c r="AA367" s="43">
        <v>0</v>
      </c>
      <c r="AB367" s="43"/>
      <c r="AC367" s="43" t="e">
        <f t="shared" si="63"/>
        <v>#DIV/0!</v>
      </c>
      <c r="AD367" s="43"/>
      <c r="AE367" s="43" t="e">
        <f t="shared" si="64"/>
        <v>#DIV/0!</v>
      </c>
      <c r="AF367" s="43" t="e">
        <f t="shared" si="68"/>
        <v>#DIV/0!</v>
      </c>
      <c r="AG367" s="43" t="e">
        <f t="shared" si="69"/>
        <v>#DIV/0!</v>
      </c>
      <c r="AH367" s="38">
        <v>45376</v>
      </c>
      <c r="AI367" s="38"/>
      <c r="AJ367" s="38"/>
      <c r="AK367" s="38"/>
      <c r="AL367" s="38"/>
      <c r="AM367" s="48"/>
      <c r="AN367" s="42"/>
      <c r="AO367" s="42"/>
      <c r="AP367" s="42"/>
      <c r="AQ367" s="42"/>
      <c r="AR367" s="42"/>
      <c r="AS367" s="50"/>
      <c r="AT367" s="39"/>
      <c r="AU367" s="39"/>
      <c r="AV367" s="49"/>
      <c r="AW367" s="39"/>
      <c r="AX367" s="39">
        <v>10</v>
      </c>
      <c r="AY367" s="30">
        <f>(J367*10)/100</f>
        <v>1934824.32</v>
      </c>
      <c r="AZ367" s="42"/>
    </row>
    <row r="368" spans="1:52" ht="48" customHeight="1" x14ac:dyDescent="0.25">
      <c r="A368" s="61" t="s">
        <v>2105</v>
      </c>
      <c r="B368" s="62">
        <v>45338</v>
      </c>
      <c r="C368" s="39">
        <v>545</v>
      </c>
      <c r="D368" s="37"/>
      <c r="E368" s="42"/>
      <c r="F368" s="38"/>
      <c r="G368" s="39"/>
      <c r="H368" s="42"/>
      <c r="I368" s="65" t="s">
        <v>410</v>
      </c>
      <c r="J368" s="63">
        <v>18231998.399999999</v>
      </c>
      <c r="K368" s="43">
        <v>0</v>
      </c>
      <c r="L368" s="56">
        <v>0</v>
      </c>
      <c r="M368" s="56">
        <v>0</v>
      </c>
      <c r="N368" s="44">
        <f t="shared" si="71"/>
        <v>100</v>
      </c>
      <c r="O368" s="45">
        <f t="shared" si="65"/>
        <v>18231998.399999999</v>
      </c>
      <c r="P368" s="43"/>
      <c r="Q368" s="45">
        <f t="shared" si="66"/>
        <v>18231998.399999999</v>
      </c>
      <c r="R368" s="43">
        <v>0</v>
      </c>
      <c r="S368" s="30">
        <f t="shared" si="70"/>
        <v>0</v>
      </c>
      <c r="T368" s="30">
        <f t="shared" si="70"/>
        <v>0</v>
      </c>
      <c r="U368" s="30" t="e">
        <f>T368/X368</f>
        <v>#DIV/0!</v>
      </c>
      <c r="V368" s="43" t="e">
        <f>T368/X368</f>
        <v>#DIV/0!</v>
      </c>
      <c r="W368" s="43" t="e">
        <f t="shared" si="62"/>
        <v>#DIV/0!</v>
      </c>
      <c r="X368" s="43">
        <f t="shared" si="67"/>
        <v>0</v>
      </c>
      <c r="Y368" s="43">
        <v>0</v>
      </c>
      <c r="Z368" s="43">
        <v>0</v>
      </c>
      <c r="AA368" s="43">
        <v>0</v>
      </c>
      <c r="AB368" s="43"/>
      <c r="AC368" s="43" t="e">
        <f t="shared" si="63"/>
        <v>#DIV/0!</v>
      </c>
      <c r="AD368" s="43"/>
      <c r="AE368" s="43" t="e">
        <f t="shared" si="64"/>
        <v>#DIV/0!</v>
      </c>
      <c r="AF368" s="43" t="e">
        <f t="shared" si="68"/>
        <v>#DIV/0!</v>
      </c>
      <c r="AG368" s="43" t="e">
        <f t="shared" si="69"/>
        <v>#DIV/0!</v>
      </c>
      <c r="AH368" s="38">
        <v>45376</v>
      </c>
      <c r="AI368" s="38"/>
      <c r="AJ368" s="38"/>
      <c r="AK368" s="38"/>
      <c r="AL368" s="38"/>
      <c r="AM368" s="48"/>
      <c r="AN368" s="42"/>
      <c r="AO368" s="42"/>
      <c r="AP368" s="42"/>
      <c r="AQ368" s="42"/>
      <c r="AR368" s="42"/>
      <c r="AS368" s="50"/>
      <c r="AT368" s="39"/>
      <c r="AU368" s="39"/>
      <c r="AV368" s="49"/>
      <c r="AW368" s="39"/>
      <c r="AX368" s="39">
        <v>10</v>
      </c>
      <c r="AY368" s="30">
        <f>(J368*10)/100</f>
        <v>1823199.84</v>
      </c>
      <c r="AZ368" s="42"/>
    </row>
    <row r="369" spans="1:52" ht="48" customHeight="1" x14ac:dyDescent="0.25">
      <c r="A369" s="61" t="s">
        <v>2106</v>
      </c>
      <c r="B369" s="62">
        <v>45338</v>
      </c>
      <c r="C369" s="39">
        <v>545</v>
      </c>
      <c r="D369" s="37"/>
      <c r="E369" s="42"/>
      <c r="F369" s="38"/>
      <c r="G369" s="39"/>
      <c r="H369" s="42"/>
      <c r="I369" s="65" t="s">
        <v>410</v>
      </c>
      <c r="J369" s="63">
        <v>18604080</v>
      </c>
      <c r="K369" s="43">
        <v>0</v>
      </c>
      <c r="L369" s="56">
        <v>0</v>
      </c>
      <c r="M369" s="56">
        <v>0</v>
      </c>
      <c r="N369" s="44">
        <f t="shared" si="71"/>
        <v>100</v>
      </c>
      <c r="O369" s="45">
        <f t="shared" si="65"/>
        <v>18604080</v>
      </c>
      <c r="P369" s="43"/>
      <c r="Q369" s="45">
        <f t="shared" si="66"/>
        <v>18604080</v>
      </c>
      <c r="R369" s="43">
        <v>0</v>
      </c>
      <c r="S369" s="30">
        <f t="shared" si="70"/>
        <v>0</v>
      </c>
      <c r="T369" s="30">
        <f t="shared" si="70"/>
        <v>0</v>
      </c>
      <c r="U369" s="30" t="e">
        <f>T369/X369</f>
        <v>#DIV/0!</v>
      </c>
      <c r="V369" s="43" t="e">
        <f>T369/X369</f>
        <v>#DIV/0!</v>
      </c>
      <c r="W369" s="43" t="e">
        <f t="shared" si="62"/>
        <v>#DIV/0!</v>
      </c>
      <c r="X369" s="43">
        <f t="shared" si="67"/>
        <v>0</v>
      </c>
      <c r="Y369" s="43">
        <v>0</v>
      </c>
      <c r="Z369" s="43">
        <v>0</v>
      </c>
      <c r="AA369" s="43">
        <v>0</v>
      </c>
      <c r="AB369" s="43"/>
      <c r="AC369" s="43" t="e">
        <f t="shared" si="63"/>
        <v>#DIV/0!</v>
      </c>
      <c r="AD369" s="43"/>
      <c r="AE369" s="43" t="e">
        <f t="shared" si="64"/>
        <v>#DIV/0!</v>
      </c>
      <c r="AF369" s="43" t="e">
        <f t="shared" si="68"/>
        <v>#DIV/0!</v>
      </c>
      <c r="AG369" s="43" t="e">
        <f t="shared" si="69"/>
        <v>#DIV/0!</v>
      </c>
      <c r="AH369" s="38">
        <v>45376</v>
      </c>
      <c r="AI369" s="38"/>
      <c r="AJ369" s="38"/>
      <c r="AK369" s="38"/>
      <c r="AL369" s="38"/>
      <c r="AM369" s="48"/>
      <c r="AN369" s="42"/>
      <c r="AO369" s="42"/>
      <c r="AP369" s="42"/>
      <c r="AQ369" s="42"/>
      <c r="AR369" s="42"/>
      <c r="AS369" s="50"/>
      <c r="AT369" s="39"/>
      <c r="AU369" s="39"/>
      <c r="AV369" s="49"/>
      <c r="AW369" s="39"/>
      <c r="AX369" s="39">
        <v>10</v>
      </c>
      <c r="AY369" s="30">
        <f>(J369*10)/100</f>
        <v>1860408</v>
      </c>
      <c r="AZ369" s="42"/>
    </row>
    <row r="370" spans="1:52" ht="48" customHeight="1" x14ac:dyDescent="0.25">
      <c r="A370" s="61" t="s">
        <v>2107</v>
      </c>
      <c r="B370" s="62">
        <v>45338</v>
      </c>
      <c r="C370" s="39">
        <v>545</v>
      </c>
      <c r="D370" s="37"/>
      <c r="E370" s="42"/>
      <c r="F370" s="38"/>
      <c r="G370" s="39"/>
      <c r="H370" s="42"/>
      <c r="I370" s="65" t="s">
        <v>410</v>
      </c>
      <c r="J370" s="63">
        <v>19720324.800000001</v>
      </c>
      <c r="K370" s="43">
        <v>0</v>
      </c>
      <c r="L370" s="56">
        <v>0</v>
      </c>
      <c r="M370" s="56">
        <v>0</v>
      </c>
      <c r="N370" s="44">
        <f t="shared" si="71"/>
        <v>100</v>
      </c>
      <c r="O370" s="45">
        <f t="shared" si="65"/>
        <v>19720324.800000001</v>
      </c>
      <c r="P370" s="43"/>
      <c r="Q370" s="45">
        <f t="shared" si="66"/>
        <v>19720324.800000001</v>
      </c>
      <c r="R370" s="43">
        <v>0</v>
      </c>
      <c r="S370" s="30">
        <f t="shared" si="70"/>
        <v>0</v>
      </c>
      <c r="T370" s="30">
        <f t="shared" si="70"/>
        <v>0</v>
      </c>
      <c r="U370" s="30" t="e">
        <f>T370/X370</f>
        <v>#DIV/0!</v>
      </c>
      <c r="V370" s="43" t="e">
        <f>T370/X370</f>
        <v>#DIV/0!</v>
      </c>
      <c r="W370" s="43" t="e">
        <f t="shared" si="62"/>
        <v>#DIV/0!</v>
      </c>
      <c r="X370" s="43">
        <f t="shared" si="67"/>
        <v>0</v>
      </c>
      <c r="Y370" s="43">
        <v>0</v>
      </c>
      <c r="Z370" s="43">
        <v>0</v>
      </c>
      <c r="AA370" s="43">
        <v>0</v>
      </c>
      <c r="AB370" s="43"/>
      <c r="AC370" s="43" t="e">
        <f t="shared" si="63"/>
        <v>#DIV/0!</v>
      </c>
      <c r="AD370" s="43"/>
      <c r="AE370" s="43" t="e">
        <f t="shared" si="64"/>
        <v>#DIV/0!</v>
      </c>
      <c r="AF370" s="43" t="e">
        <f t="shared" si="68"/>
        <v>#DIV/0!</v>
      </c>
      <c r="AG370" s="43" t="e">
        <f t="shared" si="69"/>
        <v>#DIV/0!</v>
      </c>
      <c r="AH370" s="38">
        <v>45376</v>
      </c>
      <c r="AI370" s="38"/>
      <c r="AJ370" s="38"/>
      <c r="AK370" s="38"/>
      <c r="AL370" s="38"/>
      <c r="AM370" s="48"/>
      <c r="AN370" s="42"/>
      <c r="AO370" s="42"/>
      <c r="AP370" s="42"/>
      <c r="AQ370" s="42"/>
      <c r="AR370" s="42"/>
      <c r="AS370" s="50"/>
      <c r="AT370" s="39"/>
      <c r="AU370" s="39"/>
      <c r="AV370" s="49"/>
      <c r="AW370" s="39"/>
      <c r="AX370" s="39">
        <v>10</v>
      </c>
      <c r="AY370" s="30">
        <f>(J370*10)/100</f>
        <v>1972032.48</v>
      </c>
      <c r="AZ370" s="42"/>
    </row>
    <row r="371" spans="1:52" ht="48" customHeight="1" x14ac:dyDescent="0.25">
      <c r="A371" s="61" t="s">
        <v>2108</v>
      </c>
      <c r="B371" s="62">
        <v>45338</v>
      </c>
      <c r="C371" s="39">
        <v>545</v>
      </c>
      <c r="D371" s="37"/>
      <c r="E371" s="42"/>
      <c r="F371" s="38"/>
      <c r="G371" s="39"/>
      <c r="H371" s="42"/>
      <c r="I371" s="65" t="s">
        <v>410</v>
      </c>
      <c r="J371" s="63">
        <v>18976161.600000001</v>
      </c>
      <c r="K371" s="43">
        <v>0</v>
      </c>
      <c r="L371" s="56">
        <v>0</v>
      </c>
      <c r="M371" s="56">
        <v>0</v>
      </c>
      <c r="N371" s="44">
        <f t="shared" si="71"/>
        <v>100</v>
      </c>
      <c r="O371" s="45">
        <f t="shared" si="65"/>
        <v>18976161.600000001</v>
      </c>
      <c r="P371" s="43"/>
      <c r="Q371" s="45">
        <f t="shared" si="66"/>
        <v>18976161.600000001</v>
      </c>
      <c r="R371" s="43">
        <v>0</v>
      </c>
      <c r="S371" s="30">
        <f t="shared" si="70"/>
        <v>0</v>
      </c>
      <c r="T371" s="30">
        <f t="shared" si="70"/>
        <v>0</v>
      </c>
      <c r="U371" s="30" t="e">
        <f>T371/X371</f>
        <v>#DIV/0!</v>
      </c>
      <c r="V371" s="43" t="e">
        <f>T371/X371</f>
        <v>#DIV/0!</v>
      </c>
      <c r="W371" s="43" t="e">
        <f t="shared" si="62"/>
        <v>#DIV/0!</v>
      </c>
      <c r="X371" s="43">
        <f t="shared" si="67"/>
        <v>0</v>
      </c>
      <c r="Y371" s="43">
        <v>0</v>
      </c>
      <c r="Z371" s="43">
        <v>0</v>
      </c>
      <c r="AA371" s="43">
        <v>0</v>
      </c>
      <c r="AB371" s="43"/>
      <c r="AC371" s="43" t="e">
        <f t="shared" si="63"/>
        <v>#DIV/0!</v>
      </c>
      <c r="AD371" s="43"/>
      <c r="AE371" s="43" t="e">
        <f t="shared" si="64"/>
        <v>#DIV/0!</v>
      </c>
      <c r="AF371" s="43" t="e">
        <f t="shared" si="68"/>
        <v>#DIV/0!</v>
      </c>
      <c r="AG371" s="43" t="e">
        <f t="shared" si="69"/>
        <v>#DIV/0!</v>
      </c>
      <c r="AH371" s="38">
        <v>45376</v>
      </c>
      <c r="AI371" s="38"/>
      <c r="AJ371" s="38"/>
      <c r="AK371" s="38"/>
      <c r="AL371" s="38"/>
      <c r="AM371" s="48"/>
      <c r="AN371" s="42"/>
      <c r="AO371" s="42"/>
      <c r="AP371" s="42"/>
      <c r="AQ371" s="42"/>
      <c r="AR371" s="42"/>
      <c r="AS371" s="50"/>
      <c r="AT371" s="39"/>
      <c r="AU371" s="39"/>
      <c r="AV371" s="49"/>
      <c r="AW371" s="39"/>
      <c r="AX371" s="39">
        <v>10</v>
      </c>
      <c r="AY371" s="30">
        <f>(J371*10)/100</f>
        <v>1897616.16</v>
      </c>
      <c r="AZ371" s="42"/>
    </row>
    <row r="372" spans="1:52" ht="48" customHeight="1" x14ac:dyDescent="0.25">
      <c r="A372" s="61" t="s">
        <v>2109</v>
      </c>
      <c r="B372" s="62">
        <v>45341</v>
      </c>
      <c r="C372" s="42" t="s">
        <v>2087</v>
      </c>
      <c r="D372" s="37"/>
      <c r="E372" s="42"/>
      <c r="F372" s="38"/>
      <c r="G372" s="39"/>
      <c r="H372" s="42"/>
      <c r="I372" s="65" t="s">
        <v>2110</v>
      </c>
      <c r="J372" s="63">
        <v>3580357.4</v>
      </c>
      <c r="K372" s="43">
        <v>0</v>
      </c>
      <c r="L372" s="56">
        <v>0</v>
      </c>
      <c r="M372" s="56">
        <v>0</v>
      </c>
      <c r="N372" s="44">
        <f t="shared" si="71"/>
        <v>100</v>
      </c>
      <c r="O372" s="45">
        <f t="shared" si="65"/>
        <v>3580357.4</v>
      </c>
      <c r="P372" s="43"/>
      <c r="Q372" s="45">
        <f t="shared" si="66"/>
        <v>3580357.4</v>
      </c>
      <c r="R372" s="43">
        <v>0</v>
      </c>
      <c r="S372" s="30">
        <f t="shared" si="70"/>
        <v>0</v>
      </c>
      <c r="T372" s="30">
        <f t="shared" si="70"/>
        <v>0</v>
      </c>
      <c r="U372" s="30" t="e">
        <f>T372/X372</f>
        <v>#DIV/0!</v>
      </c>
      <c r="V372" s="43" t="e">
        <f>T372/X372</f>
        <v>#DIV/0!</v>
      </c>
      <c r="W372" s="43" t="e">
        <f t="shared" si="62"/>
        <v>#DIV/0!</v>
      </c>
      <c r="X372" s="43">
        <f t="shared" si="67"/>
        <v>0</v>
      </c>
      <c r="Y372" s="43">
        <v>0</v>
      </c>
      <c r="Z372" s="43">
        <v>0</v>
      </c>
      <c r="AA372" s="43">
        <v>0</v>
      </c>
      <c r="AB372" s="43"/>
      <c r="AC372" s="43" t="e">
        <f t="shared" si="63"/>
        <v>#DIV/0!</v>
      </c>
      <c r="AD372" s="43"/>
      <c r="AE372" s="43" t="e">
        <f t="shared" si="64"/>
        <v>#DIV/0!</v>
      </c>
      <c r="AF372" s="43" t="e">
        <f t="shared" si="68"/>
        <v>#DIV/0!</v>
      </c>
      <c r="AG372" s="43" t="e">
        <f t="shared" si="69"/>
        <v>#DIV/0!</v>
      </c>
      <c r="AH372" s="38">
        <v>45397</v>
      </c>
      <c r="AI372" s="38"/>
      <c r="AJ372" s="38"/>
      <c r="AK372" s="38"/>
      <c r="AL372" s="38"/>
      <c r="AM372" s="48"/>
      <c r="AN372" s="42"/>
      <c r="AO372" s="42"/>
      <c r="AP372" s="42"/>
      <c r="AQ372" s="42"/>
      <c r="AR372" s="42"/>
      <c r="AS372" s="50"/>
      <c r="AT372" s="39"/>
      <c r="AU372" s="39"/>
      <c r="AV372" s="49"/>
      <c r="AW372" s="39"/>
      <c r="AX372" s="39">
        <v>10</v>
      </c>
      <c r="AY372" s="30">
        <f>(J372*10)/100</f>
        <v>358035.74</v>
      </c>
      <c r="AZ372" s="42"/>
    </row>
    <row r="373" spans="1:52" ht="48" customHeight="1" x14ac:dyDescent="0.25">
      <c r="A373" s="61" t="s">
        <v>2111</v>
      </c>
      <c r="B373" s="62">
        <v>45341</v>
      </c>
      <c r="C373" s="42" t="s">
        <v>2087</v>
      </c>
      <c r="D373" s="37"/>
      <c r="E373" s="42"/>
      <c r="F373" s="38"/>
      <c r="G373" s="39"/>
      <c r="H373" s="42"/>
      <c r="I373" s="64" t="s">
        <v>2112</v>
      </c>
      <c r="J373" s="63">
        <v>27390</v>
      </c>
      <c r="K373" s="43">
        <v>0</v>
      </c>
      <c r="L373" s="56">
        <v>0</v>
      </c>
      <c r="M373" s="56">
        <v>0</v>
      </c>
      <c r="N373" s="44">
        <f t="shared" si="71"/>
        <v>100</v>
      </c>
      <c r="O373" s="45">
        <f t="shared" si="65"/>
        <v>27390</v>
      </c>
      <c r="P373" s="43"/>
      <c r="Q373" s="45">
        <f t="shared" si="66"/>
        <v>27390</v>
      </c>
      <c r="R373" s="43">
        <v>0</v>
      </c>
      <c r="S373" s="30">
        <f t="shared" si="70"/>
        <v>0</v>
      </c>
      <c r="T373" s="30">
        <f t="shared" si="70"/>
        <v>0</v>
      </c>
      <c r="U373" s="30" t="e">
        <f>T373/X373</f>
        <v>#DIV/0!</v>
      </c>
      <c r="V373" s="43" t="e">
        <f>T373/X373</f>
        <v>#DIV/0!</v>
      </c>
      <c r="W373" s="43" t="e">
        <f t="shared" si="62"/>
        <v>#DIV/0!</v>
      </c>
      <c r="X373" s="43">
        <f t="shared" si="67"/>
        <v>0</v>
      </c>
      <c r="Y373" s="43">
        <v>0</v>
      </c>
      <c r="Z373" s="43">
        <v>0</v>
      </c>
      <c r="AA373" s="43">
        <v>0</v>
      </c>
      <c r="AB373" s="43"/>
      <c r="AC373" s="43" t="e">
        <f t="shared" si="63"/>
        <v>#DIV/0!</v>
      </c>
      <c r="AD373" s="43"/>
      <c r="AE373" s="43" t="e">
        <f t="shared" si="64"/>
        <v>#DIV/0!</v>
      </c>
      <c r="AF373" s="43" t="e">
        <f t="shared" si="68"/>
        <v>#DIV/0!</v>
      </c>
      <c r="AG373" s="43" t="e">
        <f t="shared" si="69"/>
        <v>#DIV/0!</v>
      </c>
      <c r="AH373" s="38">
        <v>45397</v>
      </c>
      <c r="AI373" s="38"/>
      <c r="AJ373" s="38"/>
      <c r="AK373" s="38"/>
      <c r="AL373" s="38"/>
      <c r="AM373" s="48"/>
      <c r="AN373" s="42"/>
      <c r="AO373" s="42"/>
      <c r="AP373" s="42"/>
      <c r="AQ373" s="42"/>
      <c r="AR373" s="42"/>
      <c r="AS373" s="50"/>
      <c r="AT373" s="39"/>
      <c r="AU373" s="39"/>
      <c r="AV373" s="49"/>
      <c r="AW373" s="39"/>
      <c r="AX373" s="39">
        <v>10</v>
      </c>
      <c r="AY373" s="30">
        <f>(J373*10)/100</f>
        <v>2739</v>
      </c>
      <c r="AZ373" s="42"/>
    </row>
    <row r="374" spans="1:52" ht="48" customHeight="1" x14ac:dyDescent="0.25">
      <c r="A374" s="61" t="s">
        <v>2113</v>
      </c>
      <c r="B374" s="62">
        <v>45341</v>
      </c>
      <c r="C374" s="39">
        <v>1512</v>
      </c>
      <c r="D374" s="37"/>
      <c r="E374" s="42"/>
      <c r="F374" s="38"/>
      <c r="G374" s="39"/>
      <c r="H374" s="42"/>
      <c r="I374" s="64" t="s">
        <v>1712</v>
      </c>
      <c r="J374" s="63">
        <v>799818030</v>
      </c>
      <c r="K374" s="43">
        <v>0</v>
      </c>
      <c r="L374" s="56">
        <v>0</v>
      </c>
      <c r="M374" s="56">
        <v>0</v>
      </c>
      <c r="N374" s="44">
        <f t="shared" si="71"/>
        <v>100</v>
      </c>
      <c r="O374" s="45">
        <f t="shared" si="65"/>
        <v>799818030</v>
      </c>
      <c r="P374" s="43"/>
      <c r="Q374" s="45">
        <f t="shared" si="66"/>
        <v>799818030</v>
      </c>
      <c r="R374" s="43">
        <v>0</v>
      </c>
      <c r="S374" s="30">
        <f t="shared" si="70"/>
        <v>0</v>
      </c>
      <c r="T374" s="30">
        <f t="shared" si="70"/>
        <v>0</v>
      </c>
      <c r="U374" s="30" t="e">
        <f>T374/X374</f>
        <v>#DIV/0!</v>
      </c>
      <c r="V374" s="43" t="e">
        <f>T374/X374</f>
        <v>#DIV/0!</v>
      </c>
      <c r="W374" s="43" t="e">
        <f t="shared" si="62"/>
        <v>#DIV/0!</v>
      </c>
      <c r="X374" s="43">
        <f t="shared" si="67"/>
        <v>0</v>
      </c>
      <c r="Y374" s="43">
        <v>0</v>
      </c>
      <c r="Z374" s="43">
        <v>0</v>
      </c>
      <c r="AA374" s="43">
        <v>0</v>
      </c>
      <c r="AB374" s="43"/>
      <c r="AC374" s="43" t="e">
        <f t="shared" si="63"/>
        <v>#DIV/0!</v>
      </c>
      <c r="AD374" s="43"/>
      <c r="AE374" s="43" t="e">
        <f t="shared" si="64"/>
        <v>#DIV/0!</v>
      </c>
      <c r="AF374" s="43" t="e">
        <f t="shared" si="68"/>
        <v>#DIV/0!</v>
      </c>
      <c r="AG374" s="43" t="e">
        <f t="shared" si="69"/>
        <v>#DIV/0!</v>
      </c>
      <c r="AH374" s="38">
        <v>45397</v>
      </c>
      <c r="AI374" s="38"/>
      <c r="AJ374" s="38"/>
      <c r="AK374" s="38"/>
      <c r="AL374" s="38"/>
      <c r="AM374" s="48"/>
      <c r="AN374" s="42"/>
      <c r="AO374" s="42"/>
      <c r="AP374" s="42"/>
      <c r="AQ374" s="42"/>
      <c r="AR374" s="42"/>
      <c r="AS374" s="50"/>
      <c r="AT374" s="39"/>
      <c r="AU374" s="39"/>
      <c r="AV374" s="49"/>
      <c r="AW374" s="39"/>
      <c r="AX374" s="39">
        <v>10</v>
      </c>
      <c r="AY374" s="30">
        <f>(J374*10)/100</f>
        <v>79981803</v>
      </c>
      <c r="AZ374" s="42"/>
    </row>
    <row r="375" spans="1:52" ht="48" customHeight="1" x14ac:dyDescent="0.25">
      <c r="A375" s="61" t="s">
        <v>2114</v>
      </c>
      <c r="B375" s="62">
        <v>45341</v>
      </c>
      <c r="C375" s="39">
        <v>1416</v>
      </c>
      <c r="D375" s="37"/>
      <c r="E375" s="42"/>
      <c r="F375" s="38"/>
      <c r="G375" s="39"/>
      <c r="H375" s="42"/>
      <c r="I375" s="64" t="s">
        <v>2115</v>
      </c>
      <c r="J375" s="63">
        <v>454968600</v>
      </c>
      <c r="K375" s="43">
        <v>0</v>
      </c>
      <c r="L375" s="56">
        <v>0</v>
      </c>
      <c r="M375" s="56">
        <v>0</v>
      </c>
      <c r="N375" s="44">
        <f t="shared" si="71"/>
        <v>100</v>
      </c>
      <c r="O375" s="45">
        <f t="shared" si="65"/>
        <v>454968600</v>
      </c>
      <c r="P375" s="43"/>
      <c r="Q375" s="45">
        <f t="shared" si="66"/>
        <v>454968600</v>
      </c>
      <c r="R375" s="43">
        <v>0</v>
      </c>
      <c r="S375" s="30">
        <f t="shared" si="70"/>
        <v>0</v>
      </c>
      <c r="T375" s="30">
        <f t="shared" si="70"/>
        <v>0</v>
      </c>
      <c r="U375" s="30" t="e">
        <f>T375/X375</f>
        <v>#DIV/0!</v>
      </c>
      <c r="V375" s="43" t="e">
        <f>T375/X375</f>
        <v>#DIV/0!</v>
      </c>
      <c r="W375" s="43" t="e">
        <f t="shared" si="62"/>
        <v>#DIV/0!</v>
      </c>
      <c r="X375" s="43">
        <f t="shared" si="67"/>
        <v>0</v>
      </c>
      <c r="Y375" s="43">
        <v>0</v>
      </c>
      <c r="Z375" s="43">
        <v>0</v>
      </c>
      <c r="AA375" s="43">
        <v>0</v>
      </c>
      <c r="AB375" s="43"/>
      <c r="AC375" s="43" t="e">
        <f t="shared" si="63"/>
        <v>#DIV/0!</v>
      </c>
      <c r="AD375" s="43"/>
      <c r="AE375" s="43" t="e">
        <f t="shared" si="64"/>
        <v>#DIV/0!</v>
      </c>
      <c r="AF375" s="43" t="e">
        <f t="shared" si="68"/>
        <v>#DIV/0!</v>
      </c>
      <c r="AG375" s="43" t="e">
        <f t="shared" si="69"/>
        <v>#DIV/0!</v>
      </c>
      <c r="AH375" s="38">
        <v>45397</v>
      </c>
      <c r="AI375" s="38">
        <v>45443</v>
      </c>
      <c r="AJ375" s="38"/>
      <c r="AK375" s="38"/>
      <c r="AL375" s="38"/>
      <c r="AM375" s="48"/>
      <c r="AN375" s="42"/>
      <c r="AO375" s="42"/>
      <c r="AP375" s="42"/>
      <c r="AQ375" s="42"/>
      <c r="AR375" s="42"/>
      <c r="AS375" s="50"/>
      <c r="AT375" s="39"/>
      <c r="AU375" s="39"/>
      <c r="AV375" s="49"/>
      <c r="AW375" s="39"/>
      <c r="AX375" s="39">
        <v>10</v>
      </c>
      <c r="AY375" s="30">
        <f>(J375*10)/100</f>
        <v>45496860</v>
      </c>
      <c r="AZ375" s="42"/>
    </row>
    <row r="376" spans="1:52" ht="48" customHeight="1" x14ac:dyDescent="0.25">
      <c r="A376" s="61" t="s">
        <v>2116</v>
      </c>
      <c r="B376" s="62">
        <v>45341</v>
      </c>
      <c r="C376" s="39">
        <v>1416</v>
      </c>
      <c r="D376" s="37"/>
      <c r="E376" s="42"/>
      <c r="F376" s="38"/>
      <c r="G376" s="39"/>
      <c r="H376" s="42"/>
      <c r="I376" s="64" t="s">
        <v>2085</v>
      </c>
      <c r="J376" s="63">
        <v>6465690</v>
      </c>
      <c r="K376" s="43">
        <v>0</v>
      </c>
      <c r="L376" s="56">
        <v>0</v>
      </c>
      <c r="M376" s="56">
        <v>0</v>
      </c>
      <c r="N376" s="44">
        <f t="shared" si="71"/>
        <v>100</v>
      </c>
      <c r="O376" s="45">
        <f t="shared" si="65"/>
        <v>6465690</v>
      </c>
      <c r="P376" s="43"/>
      <c r="Q376" s="45">
        <f t="shared" si="66"/>
        <v>6465690</v>
      </c>
      <c r="R376" s="43">
        <v>0</v>
      </c>
      <c r="S376" s="30">
        <f t="shared" si="70"/>
        <v>0</v>
      </c>
      <c r="T376" s="30">
        <f t="shared" si="70"/>
        <v>0</v>
      </c>
      <c r="U376" s="30" t="e">
        <f>T376/X376</f>
        <v>#DIV/0!</v>
      </c>
      <c r="V376" s="43" t="e">
        <f>T376/X376</f>
        <v>#DIV/0!</v>
      </c>
      <c r="W376" s="43" t="e">
        <f t="shared" si="62"/>
        <v>#DIV/0!</v>
      </c>
      <c r="X376" s="43">
        <f t="shared" si="67"/>
        <v>0</v>
      </c>
      <c r="Y376" s="43">
        <v>0</v>
      </c>
      <c r="Z376" s="43">
        <v>0</v>
      </c>
      <c r="AA376" s="43">
        <v>0</v>
      </c>
      <c r="AB376" s="43"/>
      <c r="AC376" s="43" t="e">
        <f t="shared" si="63"/>
        <v>#DIV/0!</v>
      </c>
      <c r="AD376" s="43"/>
      <c r="AE376" s="43" t="e">
        <f t="shared" si="64"/>
        <v>#DIV/0!</v>
      </c>
      <c r="AF376" s="43" t="e">
        <f t="shared" si="68"/>
        <v>#DIV/0!</v>
      </c>
      <c r="AG376" s="43" t="e">
        <f t="shared" si="69"/>
        <v>#DIV/0!</v>
      </c>
      <c r="AH376" s="38">
        <v>45397</v>
      </c>
      <c r="AI376" s="38"/>
      <c r="AJ376" s="38"/>
      <c r="AK376" s="38"/>
      <c r="AL376" s="38"/>
      <c r="AM376" s="48"/>
      <c r="AN376" s="42"/>
      <c r="AO376" s="42"/>
      <c r="AP376" s="42"/>
      <c r="AQ376" s="42"/>
      <c r="AR376" s="42"/>
      <c r="AS376" s="50"/>
      <c r="AT376" s="39"/>
      <c r="AU376" s="39"/>
      <c r="AV376" s="49"/>
      <c r="AW376" s="39"/>
      <c r="AX376" s="39">
        <v>10</v>
      </c>
      <c r="AY376" s="30">
        <f>(J376*10)/100</f>
        <v>646569</v>
      </c>
      <c r="AZ376" s="42"/>
    </row>
    <row r="377" spans="1:52" ht="48" customHeight="1" x14ac:dyDescent="0.25">
      <c r="A377" s="61" t="s">
        <v>2117</v>
      </c>
      <c r="B377" s="62">
        <v>45341</v>
      </c>
      <c r="C377" s="39">
        <v>1416</v>
      </c>
      <c r="D377" s="37"/>
      <c r="E377" s="42"/>
      <c r="F377" s="38"/>
      <c r="G377" s="39"/>
      <c r="H377" s="42"/>
      <c r="I377" s="64" t="s">
        <v>2118</v>
      </c>
      <c r="J377" s="63">
        <v>680150160</v>
      </c>
      <c r="K377" s="43">
        <v>0</v>
      </c>
      <c r="L377" s="56">
        <v>0</v>
      </c>
      <c r="M377" s="56">
        <v>0</v>
      </c>
      <c r="N377" s="44">
        <f t="shared" si="71"/>
        <v>100</v>
      </c>
      <c r="O377" s="45">
        <f t="shared" si="65"/>
        <v>680150160</v>
      </c>
      <c r="P377" s="43"/>
      <c r="Q377" s="45">
        <f t="shared" si="66"/>
        <v>680150160</v>
      </c>
      <c r="R377" s="43">
        <v>0</v>
      </c>
      <c r="S377" s="30">
        <f t="shared" si="70"/>
        <v>0</v>
      </c>
      <c r="T377" s="30">
        <f t="shared" si="70"/>
        <v>0</v>
      </c>
      <c r="U377" s="30" t="e">
        <f>T377/X377</f>
        <v>#DIV/0!</v>
      </c>
      <c r="V377" s="43" t="e">
        <f>T377/X377</f>
        <v>#DIV/0!</v>
      </c>
      <c r="W377" s="43" t="e">
        <f t="shared" si="62"/>
        <v>#DIV/0!</v>
      </c>
      <c r="X377" s="43">
        <f t="shared" si="67"/>
        <v>0</v>
      </c>
      <c r="Y377" s="43">
        <v>0</v>
      </c>
      <c r="Z377" s="43">
        <v>0</v>
      </c>
      <c r="AA377" s="43">
        <v>0</v>
      </c>
      <c r="AB377" s="43"/>
      <c r="AC377" s="43" t="e">
        <f t="shared" si="63"/>
        <v>#DIV/0!</v>
      </c>
      <c r="AD377" s="43"/>
      <c r="AE377" s="43" t="e">
        <f t="shared" si="64"/>
        <v>#DIV/0!</v>
      </c>
      <c r="AF377" s="43" t="e">
        <f t="shared" si="68"/>
        <v>#DIV/0!</v>
      </c>
      <c r="AG377" s="43" t="e">
        <f t="shared" si="69"/>
        <v>#DIV/0!</v>
      </c>
      <c r="AH377" s="38">
        <v>45397</v>
      </c>
      <c r="AI377" s="38"/>
      <c r="AJ377" s="38"/>
      <c r="AK377" s="38"/>
      <c r="AL377" s="38"/>
      <c r="AM377" s="48"/>
      <c r="AN377" s="42"/>
      <c r="AO377" s="42"/>
      <c r="AP377" s="42"/>
      <c r="AQ377" s="42"/>
      <c r="AR377" s="42"/>
      <c r="AS377" s="50"/>
      <c r="AT377" s="39"/>
      <c r="AU377" s="39"/>
      <c r="AV377" s="49"/>
      <c r="AW377" s="39"/>
      <c r="AX377" s="39">
        <v>10</v>
      </c>
      <c r="AY377" s="30">
        <f>(J377*10)/100</f>
        <v>68015016</v>
      </c>
      <c r="AZ377" s="42"/>
    </row>
    <row r="378" spans="1:52" ht="48" customHeight="1" x14ac:dyDescent="0.25">
      <c r="A378" s="61" t="s">
        <v>2119</v>
      </c>
      <c r="B378" s="62">
        <v>45341</v>
      </c>
      <c r="C378" s="39">
        <v>1512</v>
      </c>
      <c r="D378" s="37"/>
      <c r="E378" s="42"/>
      <c r="F378" s="38"/>
      <c r="G378" s="39"/>
      <c r="H378" s="42"/>
      <c r="I378" s="65" t="s">
        <v>2120</v>
      </c>
      <c r="J378" s="63">
        <v>9615367.6500000004</v>
      </c>
      <c r="K378" s="43">
        <v>0</v>
      </c>
      <c r="L378" s="56">
        <v>0</v>
      </c>
      <c r="M378" s="56">
        <v>0</v>
      </c>
      <c r="N378" s="44">
        <f t="shared" si="71"/>
        <v>100</v>
      </c>
      <c r="O378" s="45">
        <f t="shared" si="65"/>
        <v>9615367.6500000004</v>
      </c>
      <c r="P378" s="43"/>
      <c r="Q378" s="45">
        <f t="shared" si="66"/>
        <v>9615367.6500000004</v>
      </c>
      <c r="R378" s="43">
        <v>0</v>
      </c>
      <c r="S378" s="30">
        <f t="shared" si="70"/>
        <v>0</v>
      </c>
      <c r="T378" s="30">
        <f t="shared" si="70"/>
        <v>0</v>
      </c>
      <c r="U378" s="30" t="e">
        <f>T378/X378</f>
        <v>#DIV/0!</v>
      </c>
      <c r="V378" s="43" t="e">
        <f>T378/X378</f>
        <v>#DIV/0!</v>
      </c>
      <c r="W378" s="43" t="e">
        <f t="shared" si="62"/>
        <v>#DIV/0!</v>
      </c>
      <c r="X378" s="43">
        <f t="shared" si="67"/>
        <v>0</v>
      </c>
      <c r="Y378" s="43">
        <v>0</v>
      </c>
      <c r="Z378" s="43">
        <v>0</v>
      </c>
      <c r="AA378" s="43">
        <v>0</v>
      </c>
      <c r="AB378" s="43"/>
      <c r="AC378" s="43" t="e">
        <f t="shared" si="63"/>
        <v>#DIV/0!</v>
      </c>
      <c r="AD378" s="43"/>
      <c r="AE378" s="43" t="e">
        <f t="shared" si="64"/>
        <v>#DIV/0!</v>
      </c>
      <c r="AF378" s="43" t="e">
        <f t="shared" si="68"/>
        <v>#DIV/0!</v>
      </c>
      <c r="AG378" s="43" t="e">
        <f t="shared" si="69"/>
        <v>#DIV/0!</v>
      </c>
      <c r="AH378" s="38">
        <v>45397</v>
      </c>
      <c r="AI378" s="38"/>
      <c r="AJ378" s="38"/>
      <c r="AK378" s="38"/>
      <c r="AL378" s="38"/>
      <c r="AM378" s="48"/>
      <c r="AN378" s="42"/>
      <c r="AO378" s="42"/>
      <c r="AP378" s="42"/>
      <c r="AQ378" s="42"/>
      <c r="AR378" s="42"/>
      <c r="AS378" s="50"/>
      <c r="AT378" s="39"/>
      <c r="AU378" s="39"/>
      <c r="AV378" s="49"/>
      <c r="AW378" s="39"/>
      <c r="AX378" s="39">
        <v>10</v>
      </c>
      <c r="AY378" s="30">
        <f>(J378*10)/100</f>
        <v>961536.76500000001</v>
      </c>
      <c r="AZ378" s="42"/>
    </row>
    <row r="379" spans="1:52" ht="48" customHeight="1" x14ac:dyDescent="0.25">
      <c r="A379" s="61" t="s">
        <v>2121</v>
      </c>
      <c r="B379" s="62">
        <v>45338</v>
      </c>
      <c r="C379" s="39">
        <v>545</v>
      </c>
      <c r="D379" s="37"/>
      <c r="E379" s="42"/>
      <c r="F379" s="38"/>
      <c r="G379" s="39"/>
      <c r="H379" s="42"/>
      <c r="I379" s="65" t="s">
        <v>410</v>
      </c>
      <c r="J379" s="63">
        <v>19348243.199999999</v>
      </c>
      <c r="K379" s="43">
        <v>0</v>
      </c>
      <c r="L379" s="56">
        <v>0</v>
      </c>
      <c r="M379" s="56">
        <v>0</v>
      </c>
      <c r="N379" s="44">
        <f t="shared" si="71"/>
        <v>100</v>
      </c>
      <c r="O379" s="45">
        <f t="shared" si="65"/>
        <v>19348243.199999999</v>
      </c>
      <c r="P379" s="43"/>
      <c r="Q379" s="45">
        <f t="shared" si="66"/>
        <v>19348243.199999999</v>
      </c>
      <c r="R379" s="43">
        <v>0</v>
      </c>
      <c r="S379" s="30">
        <f t="shared" si="70"/>
        <v>0</v>
      </c>
      <c r="T379" s="30">
        <f t="shared" si="70"/>
        <v>0</v>
      </c>
      <c r="U379" s="30" t="e">
        <f>T379/X379</f>
        <v>#DIV/0!</v>
      </c>
      <c r="V379" s="43" t="e">
        <f>T379/X379</f>
        <v>#DIV/0!</v>
      </c>
      <c r="W379" s="43" t="e">
        <f t="shared" si="62"/>
        <v>#DIV/0!</v>
      </c>
      <c r="X379" s="43">
        <f t="shared" si="67"/>
        <v>0</v>
      </c>
      <c r="Y379" s="43">
        <v>0</v>
      </c>
      <c r="Z379" s="43">
        <v>0</v>
      </c>
      <c r="AA379" s="43">
        <v>0</v>
      </c>
      <c r="AB379" s="43"/>
      <c r="AC379" s="43" t="e">
        <f t="shared" si="63"/>
        <v>#DIV/0!</v>
      </c>
      <c r="AD379" s="43"/>
      <c r="AE379" s="43" t="e">
        <f t="shared" si="64"/>
        <v>#DIV/0!</v>
      </c>
      <c r="AF379" s="43" t="e">
        <f t="shared" si="68"/>
        <v>#DIV/0!</v>
      </c>
      <c r="AG379" s="43" t="e">
        <f t="shared" si="69"/>
        <v>#DIV/0!</v>
      </c>
      <c r="AH379" s="38">
        <v>45376</v>
      </c>
      <c r="AI379" s="38"/>
      <c r="AJ379" s="38"/>
      <c r="AK379" s="38"/>
      <c r="AL379" s="38"/>
      <c r="AM379" s="48"/>
      <c r="AN379" s="42"/>
      <c r="AO379" s="42"/>
      <c r="AP379" s="42"/>
      <c r="AQ379" s="42"/>
      <c r="AR379" s="42"/>
      <c r="AS379" s="50"/>
      <c r="AT379" s="39"/>
      <c r="AU379" s="39"/>
      <c r="AV379" s="49"/>
      <c r="AW379" s="39"/>
      <c r="AX379" s="39">
        <v>10</v>
      </c>
      <c r="AY379" s="30">
        <f>(J379*10)/100</f>
        <v>1934824.32</v>
      </c>
      <c r="AZ379" s="42"/>
    </row>
    <row r="380" spans="1:52" ht="48" customHeight="1" x14ac:dyDescent="0.25">
      <c r="A380" s="61" t="s">
        <v>2122</v>
      </c>
      <c r="B380" s="62">
        <v>45338</v>
      </c>
      <c r="C380" s="39">
        <v>545</v>
      </c>
      <c r="D380" s="37"/>
      <c r="E380" s="42"/>
      <c r="F380" s="38"/>
      <c r="G380" s="39"/>
      <c r="H380" s="42"/>
      <c r="I380" s="65" t="s">
        <v>410</v>
      </c>
      <c r="J380" s="63">
        <v>19720324.800000001</v>
      </c>
      <c r="K380" s="43">
        <v>0</v>
      </c>
      <c r="L380" s="56">
        <v>0</v>
      </c>
      <c r="M380" s="56">
        <v>0</v>
      </c>
      <c r="N380" s="44">
        <f t="shared" si="71"/>
        <v>100</v>
      </c>
      <c r="O380" s="45">
        <f t="shared" si="65"/>
        <v>19720324.800000001</v>
      </c>
      <c r="P380" s="43"/>
      <c r="Q380" s="45">
        <f t="shared" si="66"/>
        <v>19720324.800000001</v>
      </c>
      <c r="R380" s="43">
        <v>0</v>
      </c>
      <c r="S380" s="30">
        <f t="shared" si="70"/>
        <v>0</v>
      </c>
      <c r="T380" s="30">
        <f t="shared" si="70"/>
        <v>0</v>
      </c>
      <c r="U380" s="30" t="e">
        <f>T380/X380</f>
        <v>#DIV/0!</v>
      </c>
      <c r="V380" s="43" t="e">
        <f>T380/X380</f>
        <v>#DIV/0!</v>
      </c>
      <c r="W380" s="43" t="e">
        <f t="shared" si="62"/>
        <v>#DIV/0!</v>
      </c>
      <c r="X380" s="43">
        <f t="shared" si="67"/>
        <v>0</v>
      </c>
      <c r="Y380" s="43">
        <v>0</v>
      </c>
      <c r="Z380" s="43">
        <v>0</v>
      </c>
      <c r="AA380" s="43">
        <v>0</v>
      </c>
      <c r="AB380" s="43"/>
      <c r="AC380" s="43" t="e">
        <f t="shared" si="63"/>
        <v>#DIV/0!</v>
      </c>
      <c r="AD380" s="43"/>
      <c r="AE380" s="43" t="e">
        <f t="shared" si="64"/>
        <v>#DIV/0!</v>
      </c>
      <c r="AF380" s="43" t="e">
        <f t="shared" si="68"/>
        <v>#DIV/0!</v>
      </c>
      <c r="AG380" s="43" t="e">
        <f t="shared" si="69"/>
        <v>#DIV/0!</v>
      </c>
      <c r="AH380" s="38">
        <v>45376</v>
      </c>
      <c r="AI380" s="38"/>
      <c r="AJ380" s="38"/>
      <c r="AK380" s="38"/>
      <c r="AL380" s="38"/>
      <c r="AM380" s="48"/>
      <c r="AN380" s="42"/>
      <c r="AO380" s="42"/>
      <c r="AP380" s="42"/>
      <c r="AQ380" s="42"/>
      <c r="AR380" s="42"/>
      <c r="AS380" s="50"/>
      <c r="AT380" s="39"/>
      <c r="AU380" s="39"/>
      <c r="AV380" s="49"/>
      <c r="AW380" s="39"/>
      <c r="AX380" s="39">
        <v>10</v>
      </c>
      <c r="AY380" s="30">
        <f>(J380*10)/100</f>
        <v>1972032.48</v>
      </c>
      <c r="AZ380" s="42"/>
    </row>
    <row r="381" spans="1:52" ht="48" customHeight="1" x14ac:dyDescent="0.25">
      <c r="A381" s="61" t="s">
        <v>2123</v>
      </c>
      <c r="B381" s="62">
        <v>45338</v>
      </c>
      <c r="C381" s="39">
        <v>545</v>
      </c>
      <c r="D381" s="37"/>
      <c r="E381" s="42"/>
      <c r="F381" s="38"/>
      <c r="G381" s="39"/>
      <c r="H381" s="42"/>
      <c r="I381" s="65" t="s">
        <v>410</v>
      </c>
      <c r="J381" s="63">
        <v>18231998.399999999</v>
      </c>
      <c r="K381" s="43">
        <v>0</v>
      </c>
      <c r="L381" s="56">
        <v>0</v>
      </c>
      <c r="M381" s="56">
        <v>0</v>
      </c>
      <c r="N381" s="44">
        <f t="shared" si="71"/>
        <v>100</v>
      </c>
      <c r="O381" s="45">
        <f t="shared" si="65"/>
        <v>18231998.399999999</v>
      </c>
      <c r="P381" s="43"/>
      <c r="Q381" s="45">
        <f t="shared" si="66"/>
        <v>18231998.399999999</v>
      </c>
      <c r="R381" s="43">
        <v>0</v>
      </c>
      <c r="S381" s="30">
        <f t="shared" si="70"/>
        <v>0</v>
      </c>
      <c r="T381" s="30">
        <f t="shared" si="70"/>
        <v>0</v>
      </c>
      <c r="U381" s="30" t="e">
        <f>T381/X381</f>
        <v>#DIV/0!</v>
      </c>
      <c r="V381" s="43" t="e">
        <f>T381/X381</f>
        <v>#DIV/0!</v>
      </c>
      <c r="W381" s="43" t="e">
        <f t="shared" si="62"/>
        <v>#DIV/0!</v>
      </c>
      <c r="X381" s="43">
        <f t="shared" si="67"/>
        <v>0</v>
      </c>
      <c r="Y381" s="43">
        <v>0</v>
      </c>
      <c r="Z381" s="43">
        <v>0</v>
      </c>
      <c r="AA381" s="43">
        <v>0</v>
      </c>
      <c r="AB381" s="43"/>
      <c r="AC381" s="43" t="e">
        <f t="shared" si="63"/>
        <v>#DIV/0!</v>
      </c>
      <c r="AD381" s="43"/>
      <c r="AE381" s="43" t="e">
        <f t="shared" si="64"/>
        <v>#DIV/0!</v>
      </c>
      <c r="AF381" s="43" t="e">
        <f t="shared" si="68"/>
        <v>#DIV/0!</v>
      </c>
      <c r="AG381" s="43" t="e">
        <f t="shared" si="69"/>
        <v>#DIV/0!</v>
      </c>
      <c r="AH381" s="38">
        <v>45376</v>
      </c>
      <c r="AI381" s="38"/>
      <c r="AJ381" s="38"/>
      <c r="AK381" s="38"/>
      <c r="AL381" s="38"/>
      <c r="AM381" s="48"/>
      <c r="AN381" s="42"/>
      <c r="AO381" s="42"/>
      <c r="AP381" s="42"/>
      <c r="AQ381" s="42"/>
      <c r="AR381" s="42"/>
      <c r="AS381" s="50"/>
      <c r="AT381" s="39"/>
      <c r="AU381" s="39"/>
      <c r="AV381" s="49"/>
      <c r="AW381" s="39"/>
      <c r="AX381" s="39">
        <v>10</v>
      </c>
      <c r="AY381" s="30">
        <f>(J381*10)/100</f>
        <v>1823199.84</v>
      </c>
      <c r="AZ381" s="42"/>
    </row>
    <row r="382" spans="1:52" ht="48" customHeight="1" x14ac:dyDescent="0.25">
      <c r="A382" s="61" t="s">
        <v>2124</v>
      </c>
      <c r="B382" s="62">
        <v>45338</v>
      </c>
      <c r="C382" s="42" t="s">
        <v>2125</v>
      </c>
      <c r="D382" s="37"/>
      <c r="E382" s="42"/>
      <c r="F382" s="38"/>
      <c r="G382" s="39"/>
      <c r="H382" s="42"/>
      <c r="I382" s="64" t="s">
        <v>2126</v>
      </c>
      <c r="J382" s="63">
        <v>9774108.9600000009</v>
      </c>
      <c r="K382" s="43">
        <v>0</v>
      </c>
      <c r="L382" s="56">
        <v>0</v>
      </c>
      <c r="M382" s="56">
        <v>0</v>
      </c>
      <c r="N382" s="44">
        <f t="shared" si="71"/>
        <v>100</v>
      </c>
      <c r="O382" s="45">
        <f t="shared" si="65"/>
        <v>9774108.9600000009</v>
      </c>
      <c r="P382" s="43"/>
      <c r="Q382" s="45">
        <f t="shared" si="66"/>
        <v>9774108.9600000009</v>
      </c>
      <c r="R382" s="43">
        <v>0</v>
      </c>
      <c r="S382" s="30">
        <f t="shared" si="70"/>
        <v>0</v>
      </c>
      <c r="T382" s="30">
        <f t="shared" si="70"/>
        <v>0</v>
      </c>
      <c r="U382" s="30" t="e">
        <f>T382/X382</f>
        <v>#DIV/0!</v>
      </c>
      <c r="V382" s="43" t="e">
        <f>T382/X382</f>
        <v>#DIV/0!</v>
      </c>
      <c r="W382" s="43" t="e">
        <f t="shared" si="62"/>
        <v>#DIV/0!</v>
      </c>
      <c r="X382" s="43">
        <f t="shared" si="67"/>
        <v>0</v>
      </c>
      <c r="Y382" s="43">
        <v>0</v>
      </c>
      <c r="Z382" s="43">
        <v>0</v>
      </c>
      <c r="AA382" s="43">
        <v>0</v>
      </c>
      <c r="AB382" s="43"/>
      <c r="AC382" s="43" t="e">
        <f t="shared" si="63"/>
        <v>#DIV/0!</v>
      </c>
      <c r="AD382" s="43"/>
      <c r="AE382" s="43" t="e">
        <f t="shared" si="64"/>
        <v>#DIV/0!</v>
      </c>
      <c r="AF382" s="43" t="e">
        <f t="shared" si="68"/>
        <v>#DIV/0!</v>
      </c>
      <c r="AG382" s="43" t="e">
        <f t="shared" si="69"/>
        <v>#DIV/0!</v>
      </c>
      <c r="AH382" s="38">
        <v>45371</v>
      </c>
      <c r="AI382" s="38"/>
      <c r="AJ382" s="38"/>
      <c r="AK382" s="38"/>
      <c r="AL382" s="38"/>
      <c r="AM382" s="48"/>
      <c r="AN382" s="42"/>
      <c r="AO382" s="42"/>
      <c r="AP382" s="42"/>
      <c r="AQ382" s="42"/>
      <c r="AR382" s="42"/>
      <c r="AS382" s="50"/>
      <c r="AT382" s="39"/>
      <c r="AU382" s="39"/>
      <c r="AV382" s="49"/>
      <c r="AW382" s="39"/>
      <c r="AX382" s="39">
        <v>10</v>
      </c>
      <c r="AY382" s="30">
        <f>(J382*10)/100</f>
        <v>977410.89600000007</v>
      </c>
      <c r="AZ382" s="42"/>
    </row>
    <row r="383" spans="1:52" ht="48" customHeight="1" x14ac:dyDescent="0.25">
      <c r="A383" s="61" t="s">
        <v>2127</v>
      </c>
      <c r="B383" s="62">
        <v>45342</v>
      </c>
      <c r="C383" s="42" t="s">
        <v>2125</v>
      </c>
      <c r="D383" s="37"/>
      <c r="E383" s="42"/>
      <c r="F383" s="38"/>
      <c r="G383" s="39"/>
      <c r="H383" s="42"/>
      <c r="I383" s="64" t="s">
        <v>429</v>
      </c>
      <c r="J383" s="63">
        <v>9098575.1999999993</v>
      </c>
      <c r="K383" s="43">
        <v>0</v>
      </c>
      <c r="L383" s="56">
        <v>0</v>
      </c>
      <c r="M383" s="56">
        <v>0</v>
      </c>
      <c r="N383" s="44">
        <f t="shared" si="71"/>
        <v>100</v>
      </c>
      <c r="O383" s="45">
        <f t="shared" si="65"/>
        <v>9098575.1999999993</v>
      </c>
      <c r="P383" s="43"/>
      <c r="Q383" s="45">
        <f t="shared" si="66"/>
        <v>9098575.1999999993</v>
      </c>
      <c r="R383" s="43">
        <v>0</v>
      </c>
      <c r="S383" s="30">
        <f t="shared" si="70"/>
        <v>0</v>
      </c>
      <c r="T383" s="30">
        <f t="shared" si="70"/>
        <v>0</v>
      </c>
      <c r="U383" s="30" t="e">
        <f>T383/X383</f>
        <v>#DIV/0!</v>
      </c>
      <c r="V383" s="43" t="e">
        <f>T383/X383</f>
        <v>#DIV/0!</v>
      </c>
      <c r="W383" s="43" t="e">
        <f t="shared" si="62"/>
        <v>#DIV/0!</v>
      </c>
      <c r="X383" s="43">
        <f t="shared" si="67"/>
        <v>0</v>
      </c>
      <c r="Y383" s="43">
        <v>0</v>
      </c>
      <c r="Z383" s="43">
        <v>0</v>
      </c>
      <c r="AA383" s="43">
        <v>0</v>
      </c>
      <c r="AB383" s="43"/>
      <c r="AC383" s="43" t="e">
        <f t="shared" si="63"/>
        <v>#DIV/0!</v>
      </c>
      <c r="AD383" s="43"/>
      <c r="AE383" s="43" t="e">
        <f t="shared" si="64"/>
        <v>#DIV/0!</v>
      </c>
      <c r="AF383" s="43" t="e">
        <f t="shared" si="68"/>
        <v>#DIV/0!</v>
      </c>
      <c r="AG383" s="43" t="e">
        <f t="shared" si="69"/>
        <v>#DIV/0!</v>
      </c>
      <c r="AH383" s="38">
        <v>45371</v>
      </c>
      <c r="AI383" s="38"/>
      <c r="AJ383" s="38"/>
      <c r="AK383" s="38"/>
      <c r="AL383" s="38"/>
      <c r="AM383" s="48"/>
      <c r="AN383" s="42"/>
      <c r="AO383" s="42"/>
      <c r="AP383" s="42"/>
      <c r="AQ383" s="42"/>
      <c r="AR383" s="42"/>
      <c r="AS383" s="50"/>
      <c r="AT383" s="39"/>
      <c r="AU383" s="39"/>
      <c r="AV383" s="49"/>
      <c r="AW383" s="39"/>
      <c r="AX383" s="39">
        <v>10</v>
      </c>
      <c r="AY383" s="30">
        <f>(J383*10)/100</f>
        <v>909857.52</v>
      </c>
      <c r="AZ383" s="42"/>
    </row>
    <row r="384" spans="1:52" ht="48" customHeight="1" x14ac:dyDescent="0.25">
      <c r="A384" s="61" t="s">
        <v>2128</v>
      </c>
      <c r="B384" s="62">
        <v>45342</v>
      </c>
      <c r="C384" s="42" t="s">
        <v>2125</v>
      </c>
      <c r="D384" s="37"/>
      <c r="E384" s="42"/>
      <c r="F384" s="38"/>
      <c r="G384" s="39"/>
      <c r="H384" s="42"/>
      <c r="I384" s="65" t="s">
        <v>2129</v>
      </c>
      <c r="J384" s="63">
        <v>1454472</v>
      </c>
      <c r="K384" s="43">
        <v>0</v>
      </c>
      <c r="L384" s="56">
        <v>0</v>
      </c>
      <c r="M384" s="56">
        <v>0</v>
      </c>
      <c r="N384" s="44">
        <f t="shared" si="71"/>
        <v>100</v>
      </c>
      <c r="O384" s="45">
        <f t="shared" si="65"/>
        <v>1454472</v>
      </c>
      <c r="P384" s="43"/>
      <c r="Q384" s="45">
        <f t="shared" si="66"/>
        <v>1454472</v>
      </c>
      <c r="R384" s="43">
        <v>0</v>
      </c>
      <c r="S384" s="30">
        <f t="shared" si="70"/>
        <v>0</v>
      </c>
      <c r="T384" s="30">
        <f t="shared" si="70"/>
        <v>0</v>
      </c>
      <c r="U384" s="30" t="e">
        <f>T384/X384</f>
        <v>#DIV/0!</v>
      </c>
      <c r="V384" s="43" t="e">
        <f>T384/X384</f>
        <v>#DIV/0!</v>
      </c>
      <c r="W384" s="43" t="e">
        <f t="shared" si="62"/>
        <v>#DIV/0!</v>
      </c>
      <c r="X384" s="43">
        <f t="shared" si="67"/>
        <v>0</v>
      </c>
      <c r="Y384" s="43">
        <v>0</v>
      </c>
      <c r="Z384" s="43">
        <v>0</v>
      </c>
      <c r="AA384" s="43">
        <v>0</v>
      </c>
      <c r="AB384" s="43"/>
      <c r="AC384" s="43" t="e">
        <f t="shared" si="63"/>
        <v>#DIV/0!</v>
      </c>
      <c r="AD384" s="43"/>
      <c r="AE384" s="43" t="e">
        <f t="shared" si="64"/>
        <v>#DIV/0!</v>
      </c>
      <c r="AF384" s="43" t="e">
        <f t="shared" si="68"/>
        <v>#DIV/0!</v>
      </c>
      <c r="AG384" s="43" t="e">
        <f t="shared" si="69"/>
        <v>#DIV/0!</v>
      </c>
      <c r="AH384" s="38">
        <v>45366</v>
      </c>
      <c r="AI384" s="38"/>
      <c r="AJ384" s="38"/>
      <c r="AK384" s="38"/>
      <c r="AL384" s="38"/>
      <c r="AM384" s="48"/>
      <c r="AN384" s="42"/>
      <c r="AO384" s="42"/>
      <c r="AP384" s="42"/>
      <c r="AQ384" s="42"/>
      <c r="AR384" s="42"/>
      <c r="AS384" s="50"/>
      <c r="AT384" s="39"/>
      <c r="AU384" s="39"/>
      <c r="AV384" s="49"/>
      <c r="AW384" s="39"/>
      <c r="AX384" s="39">
        <v>10</v>
      </c>
      <c r="AY384" s="30">
        <f>(J384*10)/100</f>
        <v>145447.20000000001</v>
      </c>
      <c r="AZ384" s="42"/>
    </row>
    <row r="385" spans="1:52" ht="48" customHeight="1" x14ac:dyDescent="0.25">
      <c r="A385" s="61" t="s">
        <v>2130</v>
      </c>
      <c r="B385" s="62">
        <v>45342</v>
      </c>
      <c r="C385" s="42" t="s">
        <v>2125</v>
      </c>
      <c r="D385" s="37"/>
      <c r="E385" s="42"/>
      <c r="F385" s="38"/>
      <c r="G385" s="39"/>
      <c r="H385" s="42"/>
      <c r="I385" s="64" t="s">
        <v>450</v>
      </c>
      <c r="J385" s="63">
        <v>3615117</v>
      </c>
      <c r="K385" s="43">
        <v>0</v>
      </c>
      <c r="L385" s="56">
        <v>0</v>
      </c>
      <c r="M385" s="56">
        <v>0</v>
      </c>
      <c r="N385" s="44">
        <f t="shared" si="71"/>
        <v>100</v>
      </c>
      <c r="O385" s="45">
        <f t="shared" si="65"/>
        <v>3615117</v>
      </c>
      <c r="P385" s="43"/>
      <c r="Q385" s="45">
        <f t="shared" si="66"/>
        <v>3615117</v>
      </c>
      <c r="R385" s="43">
        <v>0</v>
      </c>
      <c r="S385" s="30">
        <f t="shared" si="70"/>
        <v>0</v>
      </c>
      <c r="T385" s="30">
        <f t="shared" si="70"/>
        <v>0</v>
      </c>
      <c r="U385" s="30" t="e">
        <f>T385/X385</f>
        <v>#DIV/0!</v>
      </c>
      <c r="V385" s="43" t="e">
        <f>T385/X385</f>
        <v>#DIV/0!</v>
      </c>
      <c r="W385" s="43" t="e">
        <f t="shared" si="62"/>
        <v>#DIV/0!</v>
      </c>
      <c r="X385" s="43">
        <f t="shared" si="67"/>
        <v>0</v>
      </c>
      <c r="Y385" s="43">
        <v>0</v>
      </c>
      <c r="Z385" s="43">
        <v>0</v>
      </c>
      <c r="AA385" s="43">
        <v>0</v>
      </c>
      <c r="AB385" s="43"/>
      <c r="AC385" s="43" t="e">
        <f t="shared" si="63"/>
        <v>#DIV/0!</v>
      </c>
      <c r="AD385" s="43"/>
      <c r="AE385" s="43" t="e">
        <f t="shared" si="64"/>
        <v>#DIV/0!</v>
      </c>
      <c r="AF385" s="43" t="e">
        <f t="shared" si="68"/>
        <v>#DIV/0!</v>
      </c>
      <c r="AG385" s="43" t="e">
        <f t="shared" si="69"/>
        <v>#DIV/0!</v>
      </c>
      <c r="AH385" s="38">
        <v>45371</v>
      </c>
      <c r="AI385" s="38"/>
      <c r="AJ385" s="38"/>
      <c r="AK385" s="38"/>
      <c r="AL385" s="38"/>
      <c r="AM385" s="48"/>
      <c r="AN385" s="42"/>
      <c r="AO385" s="42"/>
      <c r="AP385" s="42"/>
      <c r="AQ385" s="42"/>
      <c r="AR385" s="42"/>
      <c r="AS385" s="50"/>
      <c r="AT385" s="39"/>
      <c r="AU385" s="39"/>
      <c r="AV385" s="49"/>
      <c r="AW385" s="39"/>
      <c r="AX385" s="39">
        <v>10</v>
      </c>
      <c r="AY385" s="30">
        <f>(J385*10)/100</f>
        <v>361511.7</v>
      </c>
      <c r="AZ385" s="42"/>
    </row>
    <row r="386" spans="1:52" ht="48" customHeight="1" x14ac:dyDescent="0.25">
      <c r="A386" s="61" t="s">
        <v>2131</v>
      </c>
      <c r="B386" s="62">
        <v>45342</v>
      </c>
      <c r="C386" s="39">
        <v>1512</v>
      </c>
      <c r="D386" s="37"/>
      <c r="E386" s="42"/>
      <c r="F386" s="38"/>
      <c r="G386" s="39"/>
      <c r="H386" s="42"/>
      <c r="I386" s="65" t="s">
        <v>2132</v>
      </c>
      <c r="J386" s="63">
        <v>8316339</v>
      </c>
      <c r="K386" s="43">
        <v>0</v>
      </c>
      <c r="L386" s="56">
        <v>0</v>
      </c>
      <c r="M386" s="56">
        <v>0</v>
      </c>
      <c r="N386" s="44">
        <f t="shared" si="71"/>
        <v>100</v>
      </c>
      <c r="O386" s="45">
        <f t="shared" si="65"/>
        <v>8316339</v>
      </c>
      <c r="P386" s="43"/>
      <c r="Q386" s="45">
        <f t="shared" si="66"/>
        <v>8316339</v>
      </c>
      <c r="R386" s="43">
        <v>0</v>
      </c>
      <c r="S386" s="30">
        <f t="shared" si="70"/>
        <v>0</v>
      </c>
      <c r="T386" s="30">
        <f t="shared" si="70"/>
        <v>0</v>
      </c>
      <c r="U386" s="30" t="e">
        <f>T386/X386</f>
        <v>#DIV/0!</v>
      </c>
      <c r="V386" s="43" t="e">
        <f>T386/X386</f>
        <v>#DIV/0!</v>
      </c>
      <c r="W386" s="43" t="e">
        <f t="shared" si="62"/>
        <v>#DIV/0!</v>
      </c>
      <c r="X386" s="43">
        <f t="shared" si="67"/>
        <v>0</v>
      </c>
      <c r="Y386" s="43">
        <v>0</v>
      </c>
      <c r="Z386" s="43">
        <v>0</v>
      </c>
      <c r="AA386" s="43">
        <v>0</v>
      </c>
      <c r="AB386" s="43"/>
      <c r="AC386" s="43" t="e">
        <f t="shared" si="63"/>
        <v>#DIV/0!</v>
      </c>
      <c r="AD386" s="43"/>
      <c r="AE386" s="43" t="e">
        <f t="shared" si="64"/>
        <v>#DIV/0!</v>
      </c>
      <c r="AF386" s="43" t="e">
        <f t="shared" si="68"/>
        <v>#DIV/0!</v>
      </c>
      <c r="AG386" s="43" t="e">
        <f t="shared" si="69"/>
        <v>#DIV/0!</v>
      </c>
      <c r="AH386" s="38">
        <v>45397</v>
      </c>
      <c r="AI386" s="38"/>
      <c r="AJ386" s="38"/>
      <c r="AK386" s="38"/>
      <c r="AL386" s="38"/>
      <c r="AM386" s="48"/>
      <c r="AN386" s="42"/>
      <c r="AO386" s="42"/>
      <c r="AP386" s="42"/>
      <c r="AQ386" s="42"/>
      <c r="AR386" s="42"/>
      <c r="AS386" s="50"/>
      <c r="AT386" s="39"/>
      <c r="AU386" s="39"/>
      <c r="AV386" s="49"/>
      <c r="AW386" s="39"/>
      <c r="AX386" s="39">
        <v>10</v>
      </c>
      <c r="AY386" s="30">
        <f>(J386*10)/100</f>
        <v>831633.9</v>
      </c>
      <c r="AZ386" s="42"/>
    </row>
    <row r="387" spans="1:52" ht="48" customHeight="1" x14ac:dyDescent="0.25">
      <c r="A387" s="61" t="s">
        <v>2133</v>
      </c>
      <c r="B387" s="62">
        <v>45342</v>
      </c>
      <c r="C387" s="39">
        <v>1512</v>
      </c>
      <c r="D387" s="37"/>
      <c r="E387" s="42"/>
      <c r="F387" s="38"/>
      <c r="G387" s="39"/>
      <c r="H387" s="42"/>
      <c r="I387" s="64" t="s">
        <v>2134</v>
      </c>
      <c r="J387" s="63">
        <v>17131455</v>
      </c>
      <c r="K387" s="43">
        <v>0</v>
      </c>
      <c r="L387" s="56">
        <v>0</v>
      </c>
      <c r="M387" s="56">
        <v>0</v>
      </c>
      <c r="N387" s="44">
        <f t="shared" si="71"/>
        <v>100</v>
      </c>
      <c r="O387" s="45">
        <f t="shared" si="65"/>
        <v>17131455</v>
      </c>
      <c r="P387" s="43"/>
      <c r="Q387" s="45">
        <f t="shared" si="66"/>
        <v>17131455</v>
      </c>
      <c r="R387" s="43">
        <v>0</v>
      </c>
      <c r="S387" s="30">
        <f t="shared" si="70"/>
        <v>0</v>
      </c>
      <c r="T387" s="30">
        <f t="shared" si="70"/>
        <v>0</v>
      </c>
      <c r="U387" s="30" t="e">
        <f>T387/X387</f>
        <v>#DIV/0!</v>
      </c>
      <c r="V387" s="43" t="e">
        <f>T387/X387</f>
        <v>#DIV/0!</v>
      </c>
      <c r="W387" s="43" t="e">
        <f t="shared" ref="W387:W450" si="72">V387*AV387</f>
        <v>#DIV/0!</v>
      </c>
      <c r="X387" s="43">
        <f t="shared" si="67"/>
        <v>0</v>
      </c>
      <c r="Y387" s="43">
        <v>0</v>
      </c>
      <c r="Z387" s="43">
        <v>0</v>
      </c>
      <c r="AA387" s="43">
        <v>0</v>
      </c>
      <c r="AB387" s="43"/>
      <c r="AC387" s="43" t="e">
        <f t="shared" si="63"/>
        <v>#DIV/0!</v>
      </c>
      <c r="AD387" s="43"/>
      <c r="AE387" s="43" t="e">
        <f t="shared" si="64"/>
        <v>#DIV/0!</v>
      </c>
      <c r="AF387" s="43" t="e">
        <f t="shared" si="68"/>
        <v>#DIV/0!</v>
      </c>
      <c r="AG387" s="43" t="e">
        <f t="shared" si="69"/>
        <v>#DIV/0!</v>
      </c>
      <c r="AH387" s="38">
        <v>45397</v>
      </c>
      <c r="AI387" s="38"/>
      <c r="AJ387" s="38"/>
      <c r="AK387" s="38"/>
      <c r="AL387" s="38"/>
      <c r="AM387" s="48"/>
      <c r="AN387" s="42"/>
      <c r="AO387" s="42"/>
      <c r="AP387" s="42"/>
      <c r="AQ387" s="42"/>
      <c r="AR387" s="42"/>
      <c r="AS387" s="50"/>
      <c r="AT387" s="39"/>
      <c r="AU387" s="39"/>
      <c r="AV387" s="49"/>
      <c r="AW387" s="39"/>
      <c r="AX387" s="39">
        <v>10</v>
      </c>
      <c r="AY387" s="30">
        <f>(J387*10)/100</f>
        <v>1713145.5</v>
      </c>
      <c r="AZ387" s="42"/>
    </row>
    <row r="388" spans="1:52" ht="48" customHeight="1" x14ac:dyDescent="0.25">
      <c r="A388" s="61" t="s">
        <v>2135</v>
      </c>
      <c r="B388" s="62">
        <v>45342</v>
      </c>
      <c r="C388" s="39">
        <v>1512</v>
      </c>
      <c r="D388" s="37"/>
      <c r="E388" s="42"/>
      <c r="F388" s="38"/>
      <c r="G388" s="39"/>
      <c r="H388" s="42"/>
      <c r="I388" s="64" t="s">
        <v>2136</v>
      </c>
      <c r="J388" s="63">
        <v>1462531.2</v>
      </c>
      <c r="K388" s="43">
        <v>0</v>
      </c>
      <c r="L388" s="56">
        <v>0</v>
      </c>
      <c r="M388" s="56">
        <v>0</v>
      </c>
      <c r="N388" s="44">
        <f t="shared" si="71"/>
        <v>100</v>
      </c>
      <c r="O388" s="45">
        <f t="shared" si="65"/>
        <v>1462531.2</v>
      </c>
      <c r="P388" s="43"/>
      <c r="Q388" s="45">
        <f t="shared" si="66"/>
        <v>1462531.2</v>
      </c>
      <c r="R388" s="43">
        <v>0</v>
      </c>
      <c r="S388" s="30">
        <f t="shared" si="70"/>
        <v>0</v>
      </c>
      <c r="T388" s="30">
        <f t="shared" si="70"/>
        <v>0</v>
      </c>
      <c r="U388" s="30" t="e">
        <f>T388/X388</f>
        <v>#DIV/0!</v>
      </c>
      <c r="V388" s="43" t="e">
        <f>T388/X388</f>
        <v>#DIV/0!</v>
      </c>
      <c r="W388" s="43" t="e">
        <f t="shared" si="72"/>
        <v>#DIV/0!</v>
      </c>
      <c r="X388" s="43">
        <f t="shared" si="67"/>
        <v>0</v>
      </c>
      <c r="Y388" s="43">
        <v>0</v>
      </c>
      <c r="Z388" s="43">
        <v>0</v>
      </c>
      <c r="AA388" s="43">
        <v>0</v>
      </c>
      <c r="AB388" s="43"/>
      <c r="AC388" s="43" t="e">
        <f t="shared" ref="AC388:AC451" si="73">AB388*V388</f>
        <v>#DIV/0!</v>
      </c>
      <c r="AD388" s="43"/>
      <c r="AE388" s="43" t="e">
        <f t="shared" ref="AE388:AE451" si="74">AD388*V388</f>
        <v>#DIV/0!</v>
      </c>
      <c r="AF388" s="43" t="e">
        <f t="shared" si="68"/>
        <v>#DIV/0!</v>
      </c>
      <c r="AG388" s="43" t="e">
        <f t="shared" si="69"/>
        <v>#DIV/0!</v>
      </c>
      <c r="AH388" s="38">
        <v>45413</v>
      </c>
      <c r="AI388" s="38"/>
      <c r="AJ388" s="38"/>
      <c r="AK388" s="38"/>
      <c r="AL388" s="38"/>
      <c r="AM388" s="48"/>
      <c r="AN388" s="42"/>
      <c r="AO388" s="42"/>
      <c r="AP388" s="42"/>
      <c r="AQ388" s="42"/>
      <c r="AR388" s="42"/>
      <c r="AS388" s="50"/>
      <c r="AT388" s="39"/>
      <c r="AU388" s="39"/>
      <c r="AV388" s="49"/>
      <c r="AW388" s="39"/>
      <c r="AX388" s="39">
        <v>10</v>
      </c>
      <c r="AY388" s="30">
        <f>(J388*10)/100</f>
        <v>146253.12</v>
      </c>
      <c r="AZ388" s="42"/>
    </row>
    <row r="389" spans="1:52" ht="48" customHeight="1" x14ac:dyDescent="0.25">
      <c r="A389" s="61" t="s">
        <v>2137</v>
      </c>
      <c r="B389" s="62">
        <v>45342</v>
      </c>
      <c r="C389" s="39">
        <v>1512</v>
      </c>
      <c r="D389" s="37"/>
      <c r="E389" s="42"/>
      <c r="F389" s="38"/>
      <c r="G389" s="39"/>
      <c r="H389" s="42"/>
      <c r="I389" s="65" t="s">
        <v>2138</v>
      </c>
      <c r="J389" s="63">
        <v>2756167</v>
      </c>
      <c r="K389" s="43">
        <v>0</v>
      </c>
      <c r="L389" s="56">
        <v>0</v>
      </c>
      <c r="M389" s="56">
        <v>0</v>
      </c>
      <c r="N389" s="44">
        <f t="shared" si="71"/>
        <v>100</v>
      </c>
      <c r="O389" s="45">
        <f t="shared" si="65"/>
        <v>2756167</v>
      </c>
      <c r="P389" s="43"/>
      <c r="Q389" s="45">
        <f t="shared" si="66"/>
        <v>2756167</v>
      </c>
      <c r="R389" s="43">
        <v>0</v>
      </c>
      <c r="S389" s="30">
        <f t="shared" si="70"/>
        <v>0</v>
      </c>
      <c r="T389" s="30">
        <f t="shared" si="70"/>
        <v>0</v>
      </c>
      <c r="U389" s="30" t="e">
        <f>T389/X389</f>
        <v>#DIV/0!</v>
      </c>
      <c r="V389" s="43" t="e">
        <f>T389/X389</f>
        <v>#DIV/0!</v>
      </c>
      <c r="W389" s="43" t="e">
        <f t="shared" si="72"/>
        <v>#DIV/0!</v>
      </c>
      <c r="X389" s="43">
        <f t="shared" si="67"/>
        <v>0</v>
      </c>
      <c r="Y389" s="43">
        <v>0</v>
      </c>
      <c r="Z389" s="43">
        <v>0</v>
      </c>
      <c r="AA389" s="43">
        <v>0</v>
      </c>
      <c r="AB389" s="43"/>
      <c r="AC389" s="43" t="e">
        <f t="shared" si="73"/>
        <v>#DIV/0!</v>
      </c>
      <c r="AD389" s="43"/>
      <c r="AE389" s="43" t="e">
        <f t="shared" si="74"/>
        <v>#DIV/0!</v>
      </c>
      <c r="AF389" s="43" t="e">
        <f t="shared" si="68"/>
        <v>#DIV/0!</v>
      </c>
      <c r="AG389" s="43" t="e">
        <f t="shared" si="69"/>
        <v>#DIV/0!</v>
      </c>
      <c r="AH389" s="38">
        <v>45397</v>
      </c>
      <c r="AI389" s="38"/>
      <c r="AJ389" s="38"/>
      <c r="AK389" s="38"/>
      <c r="AL389" s="38"/>
      <c r="AM389" s="48"/>
      <c r="AN389" s="42"/>
      <c r="AO389" s="42"/>
      <c r="AP389" s="42"/>
      <c r="AQ389" s="42"/>
      <c r="AR389" s="42"/>
      <c r="AS389" s="50"/>
      <c r="AT389" s="39"/>
      <c r="AU389" s="39"/>
      <c r="AV389" s="49"/>
      <c r="AW389" s="39"/>
      <c r="AX389" s="39">
        <v>10</v>
      </c>
      <c r="AY389" s="30">
        <f>(J389*10)/100</f>
        <v>275616.7</v>
      </c>
      <c r="AZ389" s="42"/>
    </row>
    <row r="390" spans="1:52" ht="48" customHeight="1" x14ac:dyDescent="0.25">
      <c r="A390" s="61" t="s">
        <v>2139</v>
      </c>
      <c r="B390" s="62">
        <v>45342</v>
      </c>
      <c r="C390" s="39" t="s">
        <v>2140</v>
      </c>
      <c r="D390" s="37"/>
      <c r="E390" s="42"/>
      <c r="F390" s="38"/>
      <c r="G390" s="39"/>
      <c r="H390" s="42"/>
      <c r="I390" s="65" t="s">
        <v>2138</v>
      </c>
      <c r="J390" s="63">
        <v>55909</v>
      </c>
      <c r="K390" s="43">
        <v>0</v>
      </c>
      <c r="L390" s="56">
        <v>0</v>
      </c>
      <c r="M390" s="56">
        <v>0</v>
      </c>
      <c r="N390" s="44">
        <f t="shared" si="71"/>
        <v>100</v>
      </c>
      <c r="O390" s="45">
        <f t="shared" si="65"/>
        <v>55909</v>
      </c>
      <c r="P390" s="43"/>
      <c r="Q390" s="45">
        <f t="shared" si="66"/>
        <v>55909</v>
      </c>
      <c r="R390" s="43">
        <v>0</v>
      </c>
      <c r="S390" s="30">
        <f t="shared" si="70"/>
        <v>0</v>
      </c>
      <c r="T390" s="30">
        <f t="shared" si="70"/>
        <v>0</v>
      </c>
      <c r="U390" s="30" t="e">
        <f>T390/X390</f>
        <v>#DIV/0!</v>
      </c>
      <c r="V390" s="43" t="e">
        <f>T390/X390</f>
        <v>#DIV/0!</v>
      </c>
      <c r="W390" s="43" t="e">
        <f t="shared" si="72"/>
        <v>#DIV/0!</v>
      </c>
      <c r="X390" s="43">
        <f t="shared" si="67"/>
        <v>0</v>
      </c>
      <c r="Y390" s="43">
        <v>0</v>
      </c>
      <c r="Z390" s="43">
        <v>0</v>
      </c>
      <c r="AA390" s="43">
        <v>0</v>
      </c>
      <c r="AB390" s="43"/>
      <c r="AC390" s="43" t="e">
        <f t="shared" si="73"/>
        <v>#DIV/0!</v>
      </c>
      <c r="AD390" s="43"/>
      <c r="AE390" s="43" t="e">
        <f t="shared" si="74"/>
        <v>#DIV/0!</v>
      </c>
      <c r="AF390" s="43" t="e">
        <f t="shared" si="68"/>
        <v>#DIV/0!</v>
      </c>
      <c r="AG390" s="43" t="e">
        <f t="shared" si="69"/>
        <v>#DIV/0!</v>
      </c>
      <c r="AH390" s="38">
        <v>45397</v>
      </c>
      <c r="AI390" s="38"/>
      <c r="AJ390" s="38"/>
      <c r="AK390" s="38"/>
      <c r="AL390" s="38"/>
      <c r="AM390" s="48"/>
      <c r="AN390" s="42"/>
      <c r="AO390" s="42"/>
      <c r="AP390" s="42"/>
      <c r="AQ390" s="42"/>
      <c r="AR390" s="42"/>
      <c r="AS390" s="50"/>
      <c r="AT390" s="39"/>
      <c r="AU390" s="39"/>
      <c r="AV390" s="49"/>
      <c r="AW390" s="39"/>
      <c r="AX390" s="39">
        <v>10</v>
      </c>
      <c r="AY390" s="30">
        <f>(J390*10)/100</f>
        <v>5590.9</v>
      </c>
      <c r="AZ390" s="42"/>
    </row>
    <row r="391" spans="1:52" ht="48" customHeight="1" x14ac:dyDescent="0.25">
      <c r="A391" s="61" t="s">
        <v>2141</v>
      </c>
      <c r="B391" s="62">
        <v>45343</v>
      </c>
      <c r="C391" s="39">
        <v>1416</v>
      </c>
      <c r="D391" s="37"/>
      <c r="E391" s="42"/>
      <c r="F391" s="38"/>
      <c r="G391" s="39"/>
      <c r="H391" s="42"/>
      <c r="I391" s="64" t="s">
        <v>2142</v>
      </c>
      <c r="J391" s="63">
        <v>2041600</v>
      </c>
      <c r="K391" s="43">
        <v>0</v>
      </c>
      <c r="L391" s="56">
        <v>0</v>
      </c>
      <c r="M391" s="56">
        <v>0</v>
      </c>
      <c r="N391" s="44">
        <f t="shared" si="71"/>
        <v>100</v>
      </c>
      <c r="O391" s="45">
        <f t="shared" si="65"/>
        <v>2041600</v>
      </c>
      <c r="P391" s="43"/>
      <c r="Q391" s="45">
        <f t="shared" si="66"/>
        <v>2041600</v>
      </c>
      <c r="R391" s="43">
        <v>0</v>
      </c>
      <c r="S391" s="30">
        <f t="shared" si="70"/>
        <v>0</v>
      </c>
      <c r="T391" s="30">
        <f t="shared" si="70"/>
        <v>0</v>
      </c>
      <c r="U391" s="30" t="e">
        <f>T391/X391</f>
        <v>#DIV/0!</v>
      </c>
      <c r="V391" s="43" t="e">
        <f>T391/X391</f>
        <v>#DIV/0!</v>
      </c>
      <c r="W391" s="43" t="e">
        <f t="shared" si="72"/>
        <v>#DIV/0!</v>
      </c>
      <c r="X391" s="43">
        <f t="shared" si="67"/>
        <v>0</v>
      </c>
      <c r="Y391" s="43">
        <v>0</v>
      </c>
      <c r="Z391" s="43">
        <v>0</v>
      </c>
      <c r="AA391" s="43">
        <v>0</v>
      </c>
      <c r="AB391" s="43"/>
      <c r="AC391" s="43" t="e">
        <f t="shared" si="73"/>
        <v>#DIV/0!</v>
      </c>
      <c r="AD391" s="43"/>
      <c r="AE391" s="43" t="e">
        <f t="shared" si="74"/>
        <v>#DIV/0!</v>
      </c>
      <c r="AF391" s="43" t="e">
        <f t="shared" si="68"/>
        <v>#DIV/0!</v>
      </c>
      <c r="AG391" s="43" t="e">
        <f t="shared" si="69"/>
        <v>#DIV/0!</v>
      </c>
      <c r="AH391" s="38">
        <v>45397</v>
      </c>
      <c r="AI391" s="38"/>
      <c r="AJ391" s="38"/>
      <c r="AK391" s="38"/>
      <c r="AL391" s="38"/>
      <c r="AM391" s="48"/>
      <c r="AN391" s="42"/>
      <c r="AO391" s="42"/>
      <c r="AP391" s="42"/>
      <c r="AQ391" s="42"/>
      <c r="AR391" s="42"/>
      <c r="AS391" s="50"/>
      <c r="AT391" s="39"/>
      <c r="AU391" s="39"/>
      <c r="AV391" s="49"/>
      <c r="AW391" s="39"/>
      <c r="AX391" s="39">
        <v>10</v>
      </c>
      <c r="AY391" s="30">
        <f>(J391*10)/100</f>
        <v>204160</v>
      </c>
      <c r="AZ391" s="42"/>
    </row>
    <row r="392" spans="1:52" ht="48" customHeight="1" x14ac:dyDescent="0.25">
      <c r="A392" s="61" t="s">
        <v>2143</v>
      </c>
      <c r="B392" s="62">
        <v>45342</v>
      </c>
      <c r="C392" s="39" t="s">
        <v>2140</v>
      </c>
      <c r="D392" s="37"/>
      <c r="E392" s="42"/>
      <c r="F392" s="38"/>
      <c r="G392" s="39"/>
      <c r="H392" s="42"/>
      <c r="I392" s="64" t="s">
        <v>2144</v>
      </c>
      <c r="J392" s="63">
        <v>399637</v>
      </c>
      <c r="K392" s="43">
        <v>0</v>
      </c>
      <c r="L392" s="56">
        <v>0</v>
      </c>
      <c r="M392" s="56">
        <v>0</v>
      </c>
      <c r="N392" s="44">
        <f t="shared" si="71"/>
        <v>100</v>
      </c>
      <c r="O392" s="45">
        <f t="shared" ref="O392:O455" si="75">J392-P392</f>
        <v>399637</v>
      </c>
      <c r="P392" s="43"/>
      <c r="Q392" s="45">
        <f t="shared" ref="Q392:Q455" si="76">J392-R392</f>
        <v>399637</v>
      </c>
      <c r="R392" s="43">
        <v>0</v>
      </c>
      <c r="S392" s="30">
        <f t="shared" si="70"/>
        <v>0</v>
      </c>
      <c r="T392" s="30">
        <f t="shared" si="70"/>
        <v>0</v>
      </c>
      <c r="U392" s="30" t="e">
        <f>T392/X392</f>
        <v>#DIV/0!</v>
      </c>
      <c r="V392" s="43" t="e">
        <f>T392/X392</f>
        <v>#DIV/0!</v>
      </c>
      <c r="W392" s="43" t="e">
        <f t="shared" si="72"/>
        <v>#DIV/0!</v>
      </c>
      <c r="X392" s="43">
        <f t="shared" ref="X392:X455" si="77">Y392+Z392+AA392</f>
        <v>0</v>
      </c>
      <c r="Y392" s="43">
        <v>0</v>
      </c>
      <c r="Z392" s="43">
        <v>0</v>
      </c>
      <c r="AA392" s="43">
        <v>0</v>
      </c>
      <c r="AB392" s="43"/>
      <c r="AC392" s="43" t="e">
        <f t="shared" si="73"/>
        <v>#DIV/0!</v>
      </c>
      <c r="AD392" s="43"/>
      <c r="AE392" s="43" t="e">
        <f t="shared" si="74"/>
        <v>#DIV/0!</v>
      </c>
      <c r="AF392" s="43" t="e">
        <f t="shared" si="68"/>
        <v>#DIV/0!</v>
      </c>
      <c r="AG392" s="43" t="e">
        <f t="shared" si="69"/>
        <v>#DIV/0!</v>
      </c>
      <c r="AH392" s="38">
        <v>45397</v>
      </c>
      <c r="AI392" s="38"/>
      <c r="AJ392" s="38"/>
      <c r="AK392" s="38"/>
      <c r="AL392" s="38"/>
      <c r="AM392" s="48"/>
      <c r="AN392" s="42"/>
      <c r="AO392" s="42"/>
      <c r="AP392" s="42"/>
      <c r="AQ392" s="42"/>
      <c r="AR392" s="42"/>
      <c r="AS392" s="50"/>
      <c r="AT392" s="39"/>
      <c r="AU392" s="39"/>
      <c r="AV392" s="49"/>
      <c r="AW392" s="39"/>
      <c r="AX392" s="39">
        <v>10</v>
      </c>
      <c r="AY392" s="30">
        <f>(J392*10)/100</f>
        <v>39963.699999999997</v>
      </c>
      <c r="AZ392" s="42"/>
    </row>
    <row r="393" spans="1:52" ht="48" customHeight="1" x14ac:dyDescent="0.25">
      <c r="A393" s="61" t="s">
        <v>2145</v>
      </c>
      <c r="B393" s="62">
        <v>45342</v>
      </c>
      <c r="C393" s="39" t="s">
        <v>2140</v>
      </c>
      <c r="D393" s="37"/>
      <c r="E393" s="42"/>
      <c r="F393" s="38"/>
      <c r="G393" s="39"/>
      <c r="H393" s="42"/>
      <c r="I393" s="64" t="s">
        <v>2146</v>
      </c>
      <c r="J393" s="68" t="s">
        <v>2147</v>
      </c>
      <c r="K393" s="43">
        <v>0</v>
      </c>
      <c r="L393" s="56">
        <v>0</v>
      </c>
      <c r="M393" s="56">
        <v>0</v>
      </c>
      <c r="N393" s="44" t="e">
        <f t="shared" si="71"/>
        <v>#VALUE!</v>
      </c>
      <c r="O393" s="45" t="e">
        <f t="shared" si="75"/>
        <v>#VALUE!</v>
      </c>
      <c r="P393" s="43"/>
      <c r="Q393" s="45" t="e">
        <f t="shared" si="76"/>
        <v>#VALUE!</v>
      </c>
      <c r="R393" s="43">
        <v>0</v>
      </c>
      <c r="S393" s="30">
        <f t="shared" si="70"/>
        <v>0</v>
      </c>
      <c r="T393" s="30">
        <f t="shared" si="70"/>
        <v>0</v>
      </c>
      <c r="U393" s="30" t="e">
        <f>T393/X393</f>
        <v>#DIV/0!</v>
      </c>
      <c r="V393" s="43" t="e">
        <f>T393/X393</f>
        <v>#DIV/0!</v>
      </c>
      <c r="W393" s="43" t="e">
        <f t="shared" si="72"/>
        <v>#DIV/0!</v>
      </c>
      <c r="X393" s="43">
        <f t="shared" si="77"/>
        <v>0</v>
      </c>
      <c r="Y393" s="43">
        <v>0</v>
      </c>
      <c r="Z393" s="43">
        <v>0</v>
      </c>
      <c r="AA393" s="43">
        <v>0</v>
      </c>
      <c r="AB393" s="43"/>
      <c r="AC393" s="43" t="e">
        <f t="shared" si="73"/>
        <v>#DIV/0!</v>
      </c>
      <c r="AD393" s="43"/>
      <c r="AE393" s="43" t="e">
        <f t="shared" si="74"/>
        <v>#DIV/0!</v>
      </c>
      <c r="AF393" s="43" t="e">
        <f t="shared" si="68"/>
        <v>#DIV/0!</v>
      </c>
      <c r="AG393" s="43" t="e">
        <f t="shared" si="69"/>
        <v>#DIV/0!</v>
      </c>
      <c r="AH393" s="38">
        <v>45397</v>
      </c>
      <c r="AI393" s="38"/>
      <c r="AJ393" s="38"/>
      <c r="AK393" s="38"/>
      <c r="AL393" s="38"/>
      <c r="AM393" s="48"/>
      <c r="AN393" s="42"/>
      <c r="AO393" s="42"/>
      <c r="AP393" s="42"/>
      <c r="AQ393" s="42"/>
      <c r="AR393" s="42"/>
      <c r="AS393" s="50"/>
      <c r="AT393" s="39"/>
      <c r="AU393" s="39"/>
      <c r="AV393" s="49"/>
      <c r="AW393" s="39"/>
      <c r="AX393" s="39">
        <v>10</v>
      </c>
      <c r="AY393" s="30" t="e">
        <f>(J393*10)/100</f>
        <v>#VALUE!</v>
      </c>
      <c r="AZ393" s="42"/>
    </row>
    <row r="394" spans="1:52" ht="39" customHeight="1" x14ac:dyDescent="0.25">
      <c r="A394" s="61" t="s">
        <v>2148</v>
      </c>
      <c r="B394" s="62">
        <v>45343</v>
      </c>
      <c r="C394" s="39">
        <v>1416</v>
      </c>
      <c r="D394" s="37"/>
      <c r="E394" s="42"/>
      <c r="F394" s="38"/>
      <c r="G394" s="39"/>
      <c r="H394" s="42"/>
      <c r="I394" s="64" t="s">
        <v>2149</v>
      </c>
      <c r="J394" s="63">
        <v>45157260</v>
      </c>
      <c r="K394" s="43">
        <v>0</v>
      </c>
      <c r="L394" s="56">
        <v>0</v>
      </c>
      <c r="M394" s="56">
        <v>0</v>
      </c>
      <c r="N394" s="44">
        <f t="shared" si="71"/>
        <v>100</v>
      </c>
      <c r="O394" s="45">
        <f t="shared" si="75"/>
        <v>45157260</v>
      </c>
      <c r="P394" s="43"/>
      <c r="Q394" s="45">
        <f t="shared" si="76"/>
        <v>45157260</v>
      </c>
      <c r="R394" s="43">
        <v>0</v>
      </c>
      <c r="S394" s="30">
        <f t="shared" si="70"/>
        <v>0</v>
      </c>
      <c r="T394" s="30">
        <f t="shared" si="70"/>
        <v>0</v>
      </c>
      <c r="U394" s="30" t="e">
        <f>T394/X394</f>
        <v>#DIV/0!</v>
      </c>
      <c r="V394" s="43" t="e">
        <f>T394/X394</f>
        <v>#DIV/0!</v>
      </c>
      <c r="W394" s="43" t="e">
        <f t="shared" si="72"/>
        <v>#DIV/0!</v>
      </c>
      <c r="X394" s="43">
        <f t="shared" si="77"/>
        <v>0</v>
      </c>
      <c r="Y394" s="43">
        <v>0</v>
      </c>
      <c r="Z394" s="43">
        <v>0</v>
      </c>
      <c r="AA394" s="43">
        <v>0</v>
      </c>
      <c r="AB394" s="43"/>
      <c r="AC394" s="43" t="e">
        <f t="shared" si="73"/>
        <v>#DIV/0!</v>
      </c>
      <c r="AD394" s="43"/>
      <c r="AE394" s="43" t="e">
        <f t="shared" si="74"/>
        <v>#DIV/0!</v>
      </c>
      <c r="AF394" s="43" t="e">
        <f t="shared" si="68"/>
        <v>#DIV/0!</v>
      </c>
      <c r="AG394" s="43" t="e">
        <f t="shared" si="69"/>
        <v>#DIV/0!</v>
      </c>
      <c r="AH394" s="38">
        <v>45397</v>
      </c>
      <c r="AI394" s="38">
        <v>45443</v>
      </c>
      <c r="AJ394" s="38"/>
      <c r="AK394" s="38"/>
      <c r="AL394" s="38"/>
      <c r="AM394" s="48"/>
      <c r="AN394" s="42"/>
      <c r="AO394" s="42"/>
      <c r="AP394" s="42"/>
      <c r="AQ394" s="42"/>
      <c r="AR394" s="42"/>
      <c r="AS394" s="50"/>
      <c r="AT394" s="39"/>
      <c r="AU394" s="39"/>
      <c r="AV394" s="49"/>
      <c r="AW394" s="39"/>
      <c r="AX394" s="39">
        <v>10</v>
      </c>
      <c r="AY394" s="30">
        <f>(J394*10)/100</f>
        <v>4515726</v>
      </c>
      <c r="AZ394" s="42"/>
    </row>
    <row r="395" spans="1:52" ht="39" customHeight="1" x14ac:dyDescent="0.25">
      <c r="A395" s="61" t="s">
        <v>2150</v>
      </c>
      <c r="B395" s="62">
        <v>45343</v>
      </c>
      <c r="C395" s="39">
        <v>1512</v>
      </c>
      <c r="D395" s="37"/>
      <c r="E395" s="42"/>
      <c r="F395" s="38"/>
      <c r="G395" s="39"/>
      <c r="H395" s="42"/>
      <c r="I395" s="65" t="s">
        <v>2110</v>
      </c>
      <c r="J395" s="63">
        <v>61618718.600000001</v>
      </c>
      <c r="K395" s="43">
        <v>0</v>
      </c>
      <c r="L395" s="56">
        <v>0</v>
      </c>
      <c r="M395" s="56">
        <v>0</v>
      </c>
      <c r="N395" s="44">
        <f t="shared" si="71"/>
        <v>100</v>
      </c>
      <c r="O395" s="45">
        <f t="shared" si="75"/>
        <v>61618718.600000001</v>
      </c>
      <c r="P395" s="43"/>
      <c r="Q395" s="45">
        <f t="shared" si="76"/>
        <v>61618718.600000001</v>
      </c>
      <c r="R395" s="43">
        <v>0</v>
      </c>
      <c r="S395" s="30">
        <f t="shared" si="70"/>
        <v>0</v>
      </c>
      <c r="T395" s="30">
        <f t="shared" si="70"/>
        <v>0</v>
      </c>
      <c r="U395" s="30" t="e">
        <f>T395/X395</f>
        <v>#DIV/0!</v>
      </c>
      <c r="V395" s="43" t="e">
        <f>T395/X395</f>
        <v>#DIV/0!</v>
      </c>
      <c r="W395" s="43" t="e">
        <f t="shared" si="72"/>
        <v>#DIV/0!</v>
      </c>
      <c r="X395" s="43">
        <f t="shared" si="77"/>
        <v>0</v>
      </c>
      <c r="Y395" s="43">
        <v>0</v>
      </c>
      <c r="Z395" s="43">
        <v>0</v>
      </c>
      <c r="AA395" s="43">
        <v>0</v>
      </c>
      <c r="AB395" s="43"/>
      <c r="AC395" s="43" t="e">
        <f t="shared" si="73"/>
        <v>#DIV/0!</v>
      </c>
      <c r="AD395" s="43"/>
      <c r="AE395" s="43" t="e">
        <f t="shared" si="74"/>
        <v>#DIV/0!</v>
      </c>
      <c r="AF395" s="43" t="e">
        <f t="shared" si="68"/>
        <v>#DIV/0!</v>
      </c>
      <c r="AG395" s="43" t="e">
        <f t="shared" si="69"/>
        <v>#DIV/0!</v>
      </c>
      <c r="AH395" s="38">
        <v>45397</v>
      </c>
      <c r="AI395" s="38"/>
      <c r="AJ395" s="38"/>
      <c r="AK395" s="38"/>
      <c r="AL395" s="38"/>
      <c r="AM395" s="48"/>
      <c r="AN395" s="42"/>
      <c r="AO395" s="42"/>
      <c r="AP395" s="42"/>
      <c r="AQ395" s="42"/>
      <c r="AR395" s="42"/>
      <c r="AS395" s="50"/>
      <c r="AT395" s="39"/>
      <c r="AU395" s="39"/>
      <c r="AV395" s="49"/>
      <c r="AW395" s="39"/>
      <c r="AX395" s="39">
        <v>10</v>
      </c>
      <c r="AY395" s="30">
        <f>(J395*10)/100</f>
        <v>6161871.8600000003</v>
      </c>
      <c r="AZ395" s="42"/>
    </row>
    <row r="396" spans="1:52" ht="39" customHeight="1" x14ac:dyDescent="0.25">
      <c r="A396" s="61" t="s">
        <v>2151</v>
      </c>
      <c r="B396" s="62">
        <v>45343</v>
      </c>
      <c r="C396" s="39">
        <v>1416</v>
      </c>
      <c r="D396" s="37"/>
      <c r="E396" s="42"/>
      <c r="F396" s="38"/>
      <c r="G396" s="39"/>
      <c r="H396" s="42"/>
      <c r="I396" s="64" t="s">
        <v>2152</v>
      </c>
      <c r="J396" s="63">
        <v>217068760</v>
      </c>
      <c r="K396" s="43">
        <v>0</v>
      </c>
      <c r="L396" s="56">
        <v>0</v>
      </c>
      <c r="M396" s="56">
        <v>0</v>
      </c>
      <c r="N396" s="44">
        <f t="shared" si="71"/>
        <v>100</v>
      </c>
      <c r="O396" s="45">
        <f t="shared" si="75"/>
        <v>217068760</v>
      </c>
      <c r="P396" s="43"/>
      <c r="Q396" s="45">
        <f t="shared" si="76"/>
        <v>217068760</v>
      </c>
      <c r="R396" s="43">
        <v>0</v>
      </c>
      <c r="S396" s="30">
        <f t="shared" si="70"/>
        <v>0</v>
      </c>
      <c r="T396" s="30">
        <f t="shared" si="70"/>
        <v>0</v>
      </c>
      <c r="U396" s="30" t="e">
        <f>T396/X396</f>
        <v>#DIV/0!</v>
      </c>
      <c r="V396" s="43" t="e">
        <f>T396/X396</f>
        <v>#DIV/0!</v>
      </c>
      <c r="W396" s="43" t="e">
        <f t="shared" si="72"/>
        <v>#DIV/0!</v>
      </c>
      <c r="X396" s="43">
        <f t="shared" si="77"/>
        <v>0</v>
      </c>
      <c r="Y396" s="43">
        <v>0</v>
      </c>
      <c r="Z396" s="43">
        <v>0</v>
      </c>
      <c r="AA396" s="43">
        <v>0</v>
      </c>
      <c r="AB396" s="43"/>
      <c r="AC396" s="43" t="e">
        <f t="shared" si="73"/>
        <v>#DIV/0!</v>
      </c>
      <c r="AD396" s="43"/>
      <c r="AE396" s="43" t="e">
        <f t="shared" si="74"/>
        <v>#DIV/0!</v>
      </c>
      <c r="AF396" s="43" t="e">
        <f t="shared" si="68"/>
        <v>#DIV/0!</v>
      </c>
      <c r="AG396" s="43" t="e">
        <f t="shared" si="69"/>
        <v>#DIV/0!</v>
      </c>
      <c r="AH396" s="38">
        <v>45397</v>
      </c>
      <c r="AI396" s="38"/>
      <c r="AJ396" s="38"/>
      <c r="AK396" s="38"/>
      <c r="AL396" s="38"/>
      <c r="AM396" s="48"/>
      <c r="AN396" s="42"/>
      <c r="AO396" s="42"/>
      <c r="AP396" s="42"/>
      <c r="AQ396" s="42"/>
      <c r="AR396" s="42"/>
      <c r="AS396" s="50"/>
      <c r="AT396" s="39"/>
      <c r="AU396" s="39"/>
      <c r="AV396" s="49"/>
      <c r="AW396" s="39"/>
      <c r="AX396" s="39">
        <v>10</v>
      </c>
      <c r="AY396" s="30">
        <f>(J396*10)/100</f>
        <v>21706876</v>
      </c>
      <c r="AZ396" s="42"/>
    </row>
    <row r="397" spans="1:52" ht="39" customHeight="1" x14ac:dyDescent="0.25">
      <c r="A397" s="61" t="s">
        <v>2153</v>
      </c>
      <c r="B397" s="62">
        <v>45343</v>
      </c>
      <c r="C397" s="39">
        <v>1416</v>
      </c>
      <c r="D397" s="37"/>
      <c r="E397" s="42"/>
      <c r="F397" s="38"/>
      <c r="G397" s="39"/>
      <c r="H397" s="42"/>
      <c r="I397" s="64" t="s">
        <v>2154</v>
      </c>
      <c r="J397" s="63">
        <v>351221410</v>
      </c>
      <c r="K397" s="43">
        <v>0</v>
      </c>
      <c r="L397" s="56">
        <v>0</v>
      </c>
      <c r="M397" s="56">
        <v>0</v>
      </c>
      <c r="N397" s="44">
        <f t="shared" si="71"/>
        <v>100</v>
      </c>
      <c r="O397" s="45">
        <f t="shared" si="75"/>
        <v>351221410</v>
      </c>
      <c r="P397" s="43"/>
      <c r="Q397" s="45">
        <f t="shared" si="76"/>
        <v>351221410</v>
      </c>
      <c r="R397" s="43">
        <v>0</v>
      </c>
      <c r="S397" s="30">
        <f t="shared" si="70"/>
        <v>0</v>
      </c>
      <c r="T397" s="30">
        <f t="shared" si="70"/>
        <v>0</v>
      </c>
      <c r="U397" s="30" t="e">
        <f>T397/X397</f>
        <v>#DIV/0!</v>
      </c>
      <c r="V397" s="43" t="e">
        <f>T397/X397</f>
        <v>#DIV/0!</v>
      </c>
      <c r="W397" s="43" t="e">
        <f t="shared" si="72"/>
        <v>#DIV/0!</v>
      </c>
      <c r="X397" s="43">
        <f t="shared" si="77"/>
        <v>0</v>
      </c>
      <c r="Y397" s="43">
        <v>0</v>
      </c>
      <c r="Z397" s="43">
        <v>0</v>
      </c>
      <c r="AA397" s="43">
        <v>0</v>
      </c>
      <c r="AB397" s="43"/>
      <c r="AC397" s="43" t="e">
        <f t="shared" si="73"/>
        <v>#DIV/0!</v>
      </c>
      <c r="AD397" s="43"/>
      <c r="AE397" s="43" t="e">
        <f t="shared" si="74"/>
        <v>#DIV/0!</v>
      </c>
      <c r="AF397" s="43" t="e">
        <f t="shared" si="68"/>
        <v>#DIV/0!</v>
      </c>
      <c r="AG397" s="43" t="e">
        <f t="shared" si="69"/>
        <v>#DIV/0!</v>
      </c>
      <c r="AH397" s="38">
        <v>45397</v>
      </c>
      <c r="AI397" s="38"/>
      <c r="AJ397" s="38"/>
      <c r="AK397" s="38"/>
      <c r="AL397" s="38"/>
      <c r="AM397" s="48"/>
      <c r="AN397" s="42"/>
      <c r="AO397" s="42"/>
      <c r="AP397" s="42"/>
      <c r="AQ397" s="42"/>
      <c r="AR397" s="42"/>
      <c r="AS397" s="50"/>
      <c r="AT397" s="39"/>
      <c r="AU397" s="39"/>
      <c r="AV397" s="49"/>
      <c r="AW397" s="39"/>
      <c r="AX397" s="39">
        <v>10</v>
      </c>
      <c r="AY397" s="30">
        <f>(J397*10)/100</f>
        <v>35122141</v>
      </c>
      <c r="AZ397" s="42"/>
    </row>
    <row r="398" spans="1:52" ht="39" customHeight="1" x14ac:dyDescent="0.25">
      <c r="A398" s="61" t="s">
        <v>2155</v>
      </c>
      <c r="B398" s="62">
        <v>45343</v>
      </c>
      <c r="C398" s="39">
        <v>545</v>
      </c>
      <c r="D398" s="37"/>
      <c r="E398" s="42"/>
      <c r="F398" s="38"/>
      <c r="G398" s="39"/>
      <c r="H398" s="42"/>
      <c r="I398" s="64" t="s">
        <v>567</v>
      </c>
      <c r="J398" s="63">
        <v>40387347</v>
      </c>
      <c r="K398" s="43">
        <v>0</v>
      </c>
      <c r="L398" s="56">
        <v>0</v>
      </c>
      <c r="M398" s="56">
        <v>0</v>
      </c>
      <c r="N398" s="44">
        <f t="shared" si="71"/>
        <v>100</v>
      </c>
      <c r="O398" s="45">
        <f t="shared" si="75"/>
        <v>40387347</v>
      </c>
      <c r="P398" s="43"/>
      <c r="Q398" s="45">
        <f t="shared" si="76"/>
        <v>40387347</v>
      </c>
      <c r="R398" s="43">
        <v>0</v>
      </c>
      <c r="S398" s="30">
        <f t="shared" si="70"/>
        <v>0</v>
      </c>
      <c r="T398" s="30">
        <f t="shared" si="70"/>
        <v>0</v>
      </c>
      <c r="U398" s="30" t="e">
        <f>T398/X398</f>
        <v>#DIV/0!</v>
      </c>
      <c r="V398" s="43" t="e">
        <f>T398/X398</f>
        <v>#DIV/0!</v>
      </c>
      <c r="W398" s="43" t="e">
        <f t="shared" si="72"/>
        <v>#DIV/0!</v>
      </c>
      <c r="X398" s="43">
        <f t="shared" si="77"/>
        <v>0</v>
      </c>
      <c r="Y398" s="43">
        <v>0</v>
      </c>
      <c r="Z398" s="43">
        <v>0</v>
      </c>
      <c r="AA398" s="43">
        <v>0</v>
      </c>
      <c r="AB398" s="43"/>
      <c r="AC398" s="43" t="e">
        <f t="shared" si="73"/>
        <v>#DIV/0!</v>
      </c>
      <c r="AD398" s="43"/>
      <c r="AE398" s="43" t="e">
        <f t="shared" si="74"/>
        <v>#DIV/0!</v>
      </c>
      <c r="AF398" s="43" t="e">
        <f t="shared" si="68"/>
        <v>#DIV/0!</v>
      </c>
      <c r="AG398" s="43" t="e">
        <f t="shared" si="69"/>
        <v>#DIV/0!</v>
      </c>
      <c r="AH398" s="38">
        <v>45382</v>
      </c>
      <c r="AI398" s="38"/>
      <c r="AJ398" s="38"/>
      <c r="AK398" s="38"/>
      <c r="AL398" s="38"/>
      <c r="AM398" s="48"/>
      <c r="AN398" s="42"/>
      <c r="AO398" s="42"/>
      <c r="AP398" s="42"/>
      <c r="AQ398" s="42"/>
      <c r="AR398" s="42"/>
      <c r="AS398" s="50"/>
      <c r="AT398" s="39"/>
      <c r="AU398" s="39"/>
      <c r="AV398" s="49"/>
      <c r="AW398" s="39"/>
      <c r="AX398" s="39">
        <v>10</v>
      </c>
      <c r="AY398" s="30">
        <f>(J398*10)/100</f>
        <v>4038734.7</v>
      </c>
      <c r="AZ398" s="42"/>
    </row>
    <row r="399" spans="1:52" ht="39" customHeight="1" x14ac:dyDescent="0.25">
      <c r="A399" s="61" t="s">
        <v>2156</v>
      </c>
      <c r="B399" s="62">
        <v>45343</v>
      </c>
      <c r="C399" s="39">
        <v>1512</v>
      </c>
      <c r="D399" s="37"/>
      <c r="E399" s="42"/>
      <c r="F399" s="38"/>
      <c r="G399" s="39"/>
      <c r="H399" s="42"/>
      <c r="I399" s="64" t="s">
        <v>2157</v>
      </c>
      <c r="J399" s="63">
        <v>6719892.2999999998</v>
      </c>
      <c r="K399" s="43">
        <v>0</v>
      </c>
      <c r="L399" s="56">
        <v>0</v>
      </c>
      <c r="M399" s="56">
        <v>0</v>
      </c>
      <c r="N399" s="44">
        <f t="shared" si="71"/>
        <v>100</v>
      </c>
      <c r="O399" s="45">
        <f t="shared" si="75"/>
        <v>6719892.2999999998</v>
      </c>
      <c r="P399" s="43"/>
      <c r="Q399" s="45">
        <f t="shared" si="76"/>
        <v>6719892.2999999998</v>
      </c>
      <c r="R399" s="43">
        <v>0</v>
      </c>
      <c r="S399" s="30">
        <f t="shared" si="70"/>
        <v>0</v>
      </c>
      <c r="T399" s="30">
        <f t="shared" si="70"/>
        <v>0</v>
      </c>
      <c r="U399" s="30" t="e">
        <f>T399/X399</f>
        <v>#DIV/0!</v>
      </c>
      <c r="V399" s="43" t="e">
        <f>T399/X399</f>
        <v>#DIV/0!</v>
      </c>
      <c r="W399" s="43" t="e">
        <f t="shared" si="72"/>
        <v>#DIV/0!</v>
      </c>
      <c r="X399" s="43">
        <f t="shared" si="77"/>
        <v>0</v>
      </c>
      <c r="Y399" s="43">
        <v>0</v>
      </c>
      <c r="Z399" s="43">
        <v>0</v>
      </c>
      <c r="AA399" s="43">
        <v>0</v>
      </c>
      <c r="AB399" s="43"/>
      <c r="AC399" s="43" t="e">
        <f t="shared" si="73"/>
        <v>#DIV/0!</v>
      </c>
      <c r="AD399" s="43"/>
      <c r="AE399" s="43" t="e">
        <f t="shared" si="74"/>
        <v>#DIV/0!</v>
      </c>
      <c r="AF399" s="43" t="e">
        <f t="shared" ref="AF399:AF462" si="78">X399/AV399</f>
        <v>#DIV/0!</v>
      </c>
      <c r="AG399" s="43" t="e">
        <f t="shared" ref="AG399:AG462" si="79">_xlfn.CEILING.MATH(AF399)</f>
        <v>#DIV/0!</v>
      </c>
      <c r="AH399" s="38">
        <v>45397</v>
      </c>
      <c r="AI399" s="38"/>
      <c r="AJ399" s="38"/>
      <c r="AK399" s="38"/>
      <c r="AL399" s="38"/>
      <c r="AM399" s="48"/>
      <c r="AN399" s="42"/>
      <c r="AO399" s="42"/>
      <c r="AP399" s="42"/>
      <c r="AQ399" s="42"/>
      <c r="AR399" s="42"/>
      <c r="AS399" s="50"/>
      <c r="AT399" s="39"/>
      <c r="AU399" s="39"/>
      <c r="AV399" s="49"/>
      <c r="AW399" s="39"/>
      <c r="AX399" s="39">
        <v>10</v>
      </c>
      <c r="AY399" s="30">
        <f>(J399*10)/100</f>
        <v>671989.23</v>
      </c>
      <c r="AZ399" s="42"/>
    </row>
    <row r="400" spans="1:52" ht="39" customHeight="1" x14ac:dyDescent="0.25">
      <c r="A400" s="61" t="s">
        <v>2158</v>
      </c>
      <c r="B400" s="62">
        <v>45343</v>
      </c>
      <c r="C400" s="42" t="s">
        <v>2081</v>
      </c>
      <c r="D400" s="37"/>
      <c r="E400" s="42"/>
      <c r="F400" s="38"/>
      <c r="G400" s="39"/>
      <c r="H400" s="42"/>
      <c r="I400" s="64" t="s">
        <v>1449</v>
      </c>
      <c r="J400" s="63">
        <v>435864</v>
      </c>
      <c r="K400" s="43">
        <v>0</v>
      </c>
      <c r="L400" s="56">
        <v>0</v>
      </c>
      <c r="M400" s="56">
        <v>0</v>
      </c>
      <c r="N400" s="44">
        <f t="shared" si="71"/>
        <v>100</v>
      </c>
      <c r="O400" s="45">
        <f t="shared" si="75"/>
        <v>435864</v>
      </c>
      <c r="P400" s="43"/>
      <c r="Q400" s="45">
        <f t="shared" si="76"/>
        <v>435864</v>
      </c>
      <c r="R400" s="43">
        <v>0</v>
      </c>
      <c r="S400" s="30">
        <f t="shared" si="70"/>
        <v>0</v>
      </c>
      <c r="T400" s="30">
        <f t="shared" si="70"/>
        <v>0</v>
      </c>
      <c r="U400" s="30" t="e">
        <f>T400/X400</f>
        <v>#DIV/0!</v>
      </c>
      <c r="V400" s="43" t="e">
        <f>T400/X400</f>
        <v>#DIV/0!</v>
      </c>
      <c r="W400" s="43" t="e">
        <f t="shared" si="72"/>
        <v>#DIV/0!</v>
      </c>
      <c r="X400" s="43">
        <f t="shared" si="77"/>
        <v>0</v>
      </c>
      <c r="Y400" s="43">
        <v>0</v>
      </c>
      <c r="Z400" s="43">
        <v>0</v>
      </c>
      <c r="AA400" s="43">
        <v>0</v>
      </c>
      <c r="AB400" s="43"/>
      <c r="AC400" s="43" t="e">
        <f t="shared" si="73"/>
        <v>#DIV/0!</v>
      </c>
      <c r="AD400" s="43"/>
      <c r="AE400" s="43" t="e">
        <f t="shared" si="74"/>
        <v>#DIV/0!</v>
      </c>
      <c r="AF400" s="43" t="e">
        <f t="shared" si="78"/>
        <v>#DIV/0!</v>
      </c>
      <c r="AG400" s="43" t="e">
        <f t="shared" si="79"/>
        <v>#DIV/0!</v>
      </c>
      <c r="AH400" s="38">
        <v>45397</v>
      </c>
      <c r="AI400" s="38"/>
      <c r="AJ400" s="38"/>
      <c r="AK400" s="38"/>
      <c r="AL400" s="38"/>
      <c r="AM400" s="48"/>
      <c r="AN400" s="42"/>
      <c r="AO400" s="42"/>
      <c r="AP400" s="42"/>
      <c r="AQ400" s="42"/>
      <c r="AR400" s="42"/>
      <c r="AS400" s="50"/>
      <c r="AT400" s="39"/>
      <c r="AU400" s="39"/>
      <c r="AV400" s="49"/>
      <c r="AW400" s="39"/>
      <c r="AX400" s="39">
        <v>10</v>
      </c>
      <c r="AY400" s="30">
        <f>(J400*10)/100</f>
        <v>43586.400000000001</v>
      </c>
      <c r="AZ400" s="42"/>
    </row>
    <row r="401" spans="1:52" ht="39" customHeight="1" x14ac:dyDescent="0.25">
      <c r="A401" s="61" t="s">
        <v>2159</v>
      </c>
      <c r="B401" s="62">
        <v>45343</v>
      </c>
      <c r="C401" s="39">
        <v>1416</v>
      </c>
      <c r="D401" s="37"/>
      <c r="E401" s="42"/>
      <c r="F401" s="38"/>
      <c r="G401" s="39"/>
      <c r="H401" s="42"/>
      <c r="I401" s="64" t="s">
        <v>2160</v>
      </c>
      <c r="J401" s="63">
        <v>205846080</v>
      </c>
      <c r="K401" s="43">
        <v>0</v>
      </c>
      <c r="L401" s="56">
        <v>0</v>
      </c>
      <c r="M401" s="56">
        <v>0</v>
      </c>
      <c r="N401" s="44">
        <f t="shared" si="71"/>
        <v>100</v>
      </c>
      <c r="O401" s="45">
        <f t="shared" si="75"/>
        <v>205846080</v>
      </c>
      <c r="P401" s="43"/>
      <c r="Q401" s="45">
        <f t="shared" si="76"/>
        <v>205846080</v>
      </c>
      <c r="R401" s="43">
        <v>0</v>
      </c>
      <c r="S401" s="30">
        <f t="shared" si="70"/>
        <v>0</v>
      </c>
      <c r="T401" s="30">
        <f t="shared" si="70"/>
        <v>0</v>
      </c>
      <c r="U401" s="30" t="e">
        <f>T401/X401</f>
        <v>#DIV/0!</v>
      </c>
      <c r="V401" s="43" t="e">
        <f>T401/X401</f>
        <v>#DIV/0!</v>
      </c>
      <c r="W401" s="43" t="e">
        <f t="shared" si="72"/>
        <v>#DIV/0!</v>
      </c>
      <c r="X401" s="43">
        <f t="shared" si="77"/>
        <v>0</v>
      </c>
      <c r="Y401" s="43">
        <v>0</v>
      </c>
      <c r="Z401" s="43">
        <v>0</v>
      </c>
      <c r="AA401" s="43">
        <v>0</v>
      </c>
      <c r="AB401" s="43"/>
      <c r="AC401" s="43" t="e">
        <f t="shared" si="73"/>
        <v>#DIV/0!</v>
      </c>
      <c r="AD401" s="43"/>
      <c r="AE401" s="43" t="e">
        <f t="shared" si="74"/>
        <v>#DIV/0!</v>
      </c>
      <c r="AF401" s="43" t="e">
        <f t="shared" si="78"/>
        <v>#DIV/0!</v>
      </c>
      <c r="AG401" s="43" t="e">
        <f t="shared" si="79"/>
        <v>#DIV/0!</v>
      </c>
      <c r="AH401" s="38">
        <v>45397</v>
      </c>
      <c r="AI401" s="38"/>
      <c r="AJ401" s="38"/>
      <c r="AK401" s="38"/>
      <c r="AL401" s="38"/>
      <c r="AM401" s="48"/>
      <c r="AN401" s="42"/>
      <c r="AO401" s="42"/>
      <c r="AP401" s="42"/>
      <c r="AQ401" s="42"/>
      <c r="AR401" s="42"/>
      <c r="AS401" s="50"/>
      <c r="AT401" s="39"/>
      <c r="AU401" s="39"/>
      <c r="AV401" s="49"/>
      <c r="AW401" s="39"/>
      <c r="AX401" s="39">
        <v>10</v>
      </c>
      <c r="AY401" s="30">
        <f>(J401*10)/100</f>
        <v>20584608</v>
      </c>
      <c r="AZ401" s="42"/>
    </row>
    <row r="402" spans="1:52" ht="39" customHeight="1" x14ac:dyDescent="0.25">
      <c r="A402" s="61" t="s">
        <v>2161</v>
      </c>
      <c r="B402" s="62">
        <v>45343</v>
      </c>
      <c r="C402" s="39">
        <v>1512</v>
      </c>
      <c r="D402" s="37"/>
      <c r="E402" s="42"/>
      <c r="F402" s="38"/>
      <c r="G402" s="39"/>
      <c r="H402" s="42"/>
      <c r="I402" s="64" t="s">
        <v>2162</v>
      </c>
      <c r="J402" s="63">
        <v>6320413</v>
      </c>
      <c r="K402" s="43">
        <v>0</v>
      </c>
      <c r="L402" s="56">
        <v>0</v>
      </c>
      <c r="M402" s="56">
        <v>0</v>
      </c>
      <c r="N402" s="44">
        <f t="shared" si="71"/>
        <v>100</v>
      </c>
      <c r="O402" s="45">
        <f t="shared" si="75"/>
        <v>6320413</v>
      </c>
      <c r="P402" s="43"/>
      <c r="Q402" s="45">
        <f t="shared" si="76"/>
        <v>6320413</v>
      </c>
      <c r="R402" s="43">
        <v>0</v>
      </c>
      <c r="S402" s="30">
        <f t="shared" si="70"/>
        <v>0</v>
      </c>
      <c r="T402" s="30">
        <f t="shared" si="70"/>
        <v>0</v>
      </c>
      <c r="U402" s="30" t="e">
        <f>T402/X402</f>
        <v>#DIV/0!</v>
      </c>
      <c r="V402" s="43" t="e">
        <f>T402/X402</f>
        <v>#DIV/0!</v>
      </c>
      <c r="W402" s="43" t="e">
        <f t="shared" si="72"/>
        <v>#DIV/0!</v>
      </c>
      <c r="X402" s="43">
        <f t="shared" si="77"/>
        <v>0</v>
      </c>
      <c r="Y402" s="43">
        <v>0</v>
      </c>
      <c r="Z402" s="43">
        <v>0</v>
      </c>
      <c r="AA402" s="43">
        <v>0</v>
      </c>
      <c r="AB402" s="43"/>
      <c r="AC402" s="43" t="e">
        <f t="shared" si="73"/>
        <v>#DIV/0!</v>
      </c>
      <c r="AD402" s="43"/>
      <c r="AE402" s="43" t="e">
        <f t="shared" si="74"/>
        <v>#DIV/0!</v>
      </c>
      <c r="AF402" s="43" t="e">
        <f t="shared" si="78"/>
        <v>#DIV/0!</v>
      </c>
      <c r="AG402" s="43" t="e">
        <f t="shared" si="79"/>
        <v>#DIV/0!</v>
      </c>
      <c r="AH402" s="38">
        <v>45397</v>
      </c>
      <c r="AI402" s="38"/>
      <c r="AJ402" s="38"/>
      <c r="AK402" s="38"/>
      <c r="AL402" s="38"/>
      <c r="AM402" s="48"/>
      <c r="AN402" s="42"/>
      <c r="AO402" s="42"/>
      <c r="AP402" s="42"/>
      <c r="AQ402" s="42"/>
      <c r="AR402" s="42"/>
      <c r="AS402" s="50"/>
      <c r="AT402" s="39"/>
      <c r="AU402" s="39"/>
      <c r="AV402" s="49"/>
      <c r="AW402" s="39"/>
      <c r="AX402" s="39">
        <v>10</v>
      </c>
      <c r="AY402" s="30">
        <f>(J402*10)/100</f>
        <v>632041.30000000005</v>
      </c>
      <c r="AZ402" s="42"/>
    </row>
    <row r="403" spans="1:52" ht="39" customHeight="1" x14ac:dyDescent="0.25">
      <c r="A403" s="61" t="s">
        <v>2163</v>
      </c>
      <c r="B403" s="62">
        <v>45343</v>
      </c>
      <c r="C403" s="39">
        <v>1512</v>
      </c>
      <c r="D403" s="37"/>
      <c r="E403" s="42"/>
      <c r="F403" s="38"/>
      <c r="G403" s="39"/>
      <c r="H403" s="42"/>
      <c r="I403" s="64" t="s">
        <v>2164</v>
      </c>
      <c r="J403" s="63">
        <v>3552037</v>
      </c>
      <c r="K403" s="43">
        <v>0</v>
      </c>
      <c r="L403" s="56">
        <v>0</v>
      </c>
      <c r="M403" s="56">
        <v>0</v>
      </c>
      <c r="N403" s="44">
        <f t="shared" si="71"/>
        <v>100</v>
      </c>
      <c r="O403" s="45">
        <f t="shared" si="75"/>
        <v>3552037</v>
      </c>
      <c r="P403" s="43"/>
      <c r="Q403" s="45">
        <f t="shared" si="76"/>
        <v>3552037</v>
      </c>
      <c r="R403" s="43">
        <v>0</v>
      </c>
      <c r="S403" s="30">
        <f t="shared" si="70"/>
        <v>0</v>
      </c>
      <c r="T403" s="30">
        <f t="shared" si="70"/>
        <v>0</v>
      </c>
      <c r="U403" s="30" t="e">
        <f>T403/X403</f>
        <v>#DIV/0!</v>
      </c>
      <c r="V403" s="43" t="e">
        <f>T403/X403</f>
        <v>#DIV/0!</v>
      </c>
      <c r="W403" s="43" t="e">
        <f t="shared" si="72"/>
        <v>#DIV/0!</v>
      </c>
      <c r="X403" s="43">
        <f t="shared" si="77"/>
        <v>0</v>
      </c>
      <c r="Y403" s="43">
        <v>0</v>
      </c>
      <c r="Z403" s="43">
        <v>0</v>
      </c>
      <c r="AA403" s="43">
        <v>0</v>
      </c>
      <c r="AB403" s="43"/>
      <c r="AC403" s="43" t="e">
        <f t="shared" si="73"/>
        <v>#DIV/0!</v>
      </c>
      <c r="AD403" s="43"/>
      <c r="AE403" s="43" t="e">
        <f t="shared" si="74"/>
        <v>#DIV/0!</v>
      </c>
      <c r="AF403" s="43" t="e">
        <f t="shared" si="78"/>
        <v>#DIV/0!</v>
      </c>
      <c r="AG403" s="43" t="e">
        <f t="shared" si="79"/>
        <v>#DIV/0!</v>
      </c>
      <c r="AH403" s="38">
        <v>45397</v>
      </c>
      <c r="AI403" s="38"/>
      <c r="AJ403" s="38"/>
      <c r="AK403" s="38"/>
      <c r="AL403" s="38"/>
      <c r="AM403" s="48"/>
      <c r="AN403" s="42"/>
      <c r="AO403" s="42"/>
      <c r="AP403" s="42"/>
      <c r="AQ403" s="42"/>
      <c r="AR403" s="42"/>
      <c r="AS403" s="50"/>
      <c r="AT403" s="39"/>
      <c r="AU403" s="39"/>
      <c r="AV403" s="49"/>
      <c r="AW403" s="39"/>
      <c r="AX403" s="39">
        <v>10</v>
      </c>
      <c r="AY403" s="30">
        <f>(J403*10)/100</f>
        <v>355203.7</v>
      </c>
      <c r="AZ403" s="42"/>
    </row>
    <row r="404" spans="1:52" ht="39" customHeight="1" x14ac:dyDescent="0.25">
      <c r="A404" s="61" t="s">
        <v>2165</v>
      </c>
      <c r="B404" s="62">
        <v>45343</v>
      </c>
      <c r="C404" s="39">
        <v>1512</v>
      </c>
      <c r="D404" s="37"/>
      <c r="E404" s="42"/>
      <c r="F404" s="38"/>
      <c r="G404" s="39"/>
      <c r="H404" s="42"/>
      <c r="I404" s="64" t="s">
        <v>2166</v>
      </c>
      <c r="J404" s="63">
        <v>2941323</v>
      </c>
      <c r="K404" s="43">
        <v>0</v>
      </c>
      <c r="L404" s="56">
        <v>0</v>
      </c>
      <c r="M404" s="56">
        <v>0</v>
      </c>
      <c r="N404" s="44">
        <f t="shared" si="71"/>
        <v>100</v>
      </c>
      <c r="O404" s="45">
        <f t="shared" si="75"/>
        <v>2941323</v>
      </c>
      <c r="P404" s="43"/>
      <c r="Q404" s="45">
        <f t="shared" si="76"/>
        <v>2941323</v>
      </c>
      <c r="R404" s="43">
        <v>0</v>
      </c>
      <c r="S404" s="30">
        <f t="shared" si="70"/>
        <v>0</v>
      </c>
      <c r="T404" s="30">
        <f t="shared" si="70"/>
        <v>0</v>
      </c>
      <c r="U404" s="30" t="e">
        <f>T404/X404</f>
        <v>#DIV/0!</v>
      </c>
      <c r="V404" s="43" t="e">
        <f>T404/X404</f>
        <v>#DIV/0!</v>
      </c>
      <c r="W404" s="43" t="e">
        <f t="shared" si="72"/>
        <v>#DIV/0!</v>
      </c>
      <c r="X404" s="43">
        <f t="shared" si="77"/>
        <v>0</v>
      </c>
      <c r="Y404" s="43">
        <v>0</v>
      </c>
      <c r="Z404" s="43">
        <v>0</v>
      </c>
      <c r="AA404" s="43">
        <v>0</v>
      </c>
      <c r="AB404" s="43"/>
      <c r="AC404" s="43" t="e">
        <f t="shared" si="73"/>
        <v>#DIV/0!</v>
      </c>
      <c r="AD404" s="43"/>
      <c r="AE404" s="43" t="e">
        <f t="shared" si="74"/>
        <v>#DIV/0!</v>
      </c>
      <c r="AF404" s="43" t="e">
        <f t="shared" si="78"/>
        <v>#DIV/0!</v>
      </c>
      <c r="AG404" s="43" t="e">
        <f t="shared" si="79"/>
        <v>#DIV/0!</v>
      </c>
      <c r="AH404" s="38">
        <v>45397</v>
      </c>
      <c r="AI404" s="38"/>
      <c r="AJ404" s="38"/>
      <c r="AK404" s="38"/>
      <c r="AL404" s="38"/>
      <c r="AM404" s="48"/>
      <c r="AN404" s="42"/>
      <c r="AO404" s="42"/>
      <c r="AP404" s="42"/>
      <c r="AQ404" s="42"/>
      <c r="AR404" s="42"/>
      <c r="AS404" s="50"/>
      <c r="AT404" s="39"/>
      <c r="AU404" s="39"/>
      <c r="AV404" s="49"/>
      <c r="AW404" s="39"/>
      <c r="AX404" s="39">
        <v>10</v>
      </c>
      <c r="AY404" s="30">
        <f>(J404*10)/100</f>
        <v>294132.3</v>
      </c>
      <c r="AZ404" s="42"/>
    </row>
    <row r="405" spans="1:52" ht="39" customHeight="1" x14ac:dyDescent="0.25">
      <c r="A405" s="61" t="s">
        <v>2167</v>
      </c>
      <c r="B405" s="62">
        <v>45343</v>
      </c>
      <c r="C405" s="39">
        <v>1512</v>
      </c>
      <c r="D405" s="37"/>
      <c r="E405" s="42"/>
      <c r="F405" s="38"/>
      <c r="G405" s="39"/>
      <c r="H405" s="42"/>
      <c r="I405" s="64" t="s">
        <v>2168</v>
      </c>
      <c r="J405" s="63">
        <v>376852.5</v>
      </c>
      <c r="K405" s="43">
        <v>0</v>
      </c>
      <c r="L405" s="56">
        <v>0</v>
      </c>
      <c r="M405" s="56">
        <v>0</v>
      </c>
      <c r="N405" s="44">
        <f t="shared" si="71"/>
        <v>100</v>
      </c>
      <c r="O405" s="45">
        <f t="shared" si="75"/>
        <v>376852.5</v>
      </c>
      <c r="P405" s="43"/>
      <c r="Q405" s="45">
        <f t="shared" si="76"/>
        <v>376852.5</v>
      </c>
      <c r="R405" s="43">
        <v>0</v>
      </c>
      <c r="S405" s="30">
        <f t="shared" si="70"/>
        <v>0</v>
      </c>
      <c r="T405" s="30">
        <f t="shared" si="70"/>
        <v>0</v>
      </c>
      <c r="U405" s="30" t="e">
        <f>T405/X405</f>
        <v>#DIV/0!</v>
      </c>
      <c r="V405" s="43" t="e">
        <f>T405/X405</f>
        <v>#DIV/0!</v>
      </c>
      <c r="W405" s="43" t="e">
        <f t="shared" si="72"/>
        <v>#DIV/0!</v>
      </c>
      <c r="X405" s="43">
        <f t="shared" si="77"/>
        <v>0</v>
      </c>
      <c r="Y405" s="43">
        <v>0</v>
      </c>
      <c r="Z405" s="43">
        <v>0</v>
      </c>
      <c r="AA405" s="43">
        <v>0</v>
      </c>
      <c r="AB405" s="43"/>
      <c r="AC405" s="43" t="e">
        <f t="shared" si="73"/>
        <v>#DIV/0!</v>
      </c>
      <c r="AD405" s="43"/>
      <c r="AE405" s="43" t="e">
        <f t="shared" si="74"/>
        <v>#DIV/0!</v>
      </c>
      <c r="AF405" s="43" t="e">
        <f t="shared" si="78"/>
        <v>#DIV/0!</v>
      </c>
      <c r="AG405" s="43" t="e">
        <f t="shared" si="79"/>
        <v>#DIV/0!</v>
      </c>
      <c r="AH405" s="38">
        <v>45397</v>
      </c>
      <c r="AI405" s="38"/>
      <c r="AJ405" s="38"/>
      <c r="AK405" s="38"/>
      <c r="AL405" s="38"/>
      <c r="AM405" s="48"/>
      <c r="AN405" s="42"/>
      <c r="AO405" s="42"/>
      <c r="AP405" s="42"/>
      <c r="AQ405" s="42"/>
      <c r="AR405" s="42"/>
      <c r="AS405" s="50"/>
      <c r="AT405" s="39"/>
      <c r="AU405" s="39"/>
      <c r="AV405" s="49"/>
      <c r="AW405" s="39"/>
      <c r="AX405" s="39">
        <v>10</v>
      </c>
      <c r="AY405" s="30">
        <f>(J405*10)/100</f>
        <v>37685.25</v>
      </c>
      <c r="AZ405" s="42"/>
    </row>
    <row r="406" spans="1:52" ht="39" customHeight="1" x14ac:dyDescent="0.25">
      <c r="A406" s="61" t="s">
        <v>2169</v>
      </c>
      <c r="B406" s="62">
        <v>45343</v>
      </c>
      <c r="C406" s="39">
        <v>1512</v>
      </c>
      <c r="D406" s="37"/>
      <c r="E406" s="42"/>
      <c r="F406" s="38"/>
      <c r="G406" s="39"/>
      <c r="H406" s="42"/>
      <c r="I406" s="64" t="s">
        <v>2101</v>
      </c>
      <c r="J406" s="63">
        <v>2216439.5</v>
      </c>
      <c r="K406" s="43">
        <v>0</v>
      </c>
      <c r="L406" s="56">
        <v>0</v>
      </c>
      <c r="M406" s="56">
        <v>0</v>
      </c>
      <c r="N406" s="44">
        <f t="shared" si="71"/>
        <v>100</v>
      </c>
      <c r="O406" s="45">
        <f t="shared" si="75"/>
        <v>2216439.5</v>
      </c>
      <c r="P406" s="43"/>
      <c r="Q406" s="45">
        <f t="shared" si="76"/>
        <v>2216439.5</v>
      </c>
      <c r="R406" s="43">
        <v>0</v>
      </c>
      <c r="S406" s="30">
        <f t="shared" si="70"/>
        <v>0</v>
      </c>
      <c r="T406" s="30">
        <f t="shared" si="70"/>
        <v>0</v>
      </c>
      <c r="U406" s="30" t="e">
        <f>T406/X406</f>
        <v>#DIV/0!</v>
      </c>
      <c r="V406" s="43" t="e">
        <f>T406/X406</f>
        <v>#DIV/0!</v>
      </c>
      <c r="W406" s="43" t="e">
        <f t="shared" si="72"/>
        <v>#DIV/0!</v>
      </c>
      <c r="X406" s="43">
        <f t="shared" si="77"/>
        <v>0</v>
      </c>
      <c r="Y406" s="43">
        <v>0</v>
      </c>
      <c r="Z406" s="43">
        <v>0</v>
      </c>
      <c r="AA406" s="43">
        <v>0</v>
      </c>
      <c r="AB406" s="43"/>
      <c r="AC406" s="43" t="e">
        <f t="shared" si="73"/>
        <v>#DIV/0!</v>
      </c>
      <c r="AD406" s="43"/>
      <c r="AE406" s="43" t="e">
        <f t="shared" si="74"/>
        <v>#DIV/0!</v>
      </c>
      <c r="AF406" s="43" t="e">
        <f t="shared" si="78"/>
        <v>#DIV/0!</v>
      </c>
      <c r="AG406" s="43" t="e">
        <f t="shared" si="79"/>
        <v>#DIV/0!</v>
      </c>
      <c r="AH406" s="38">
        <v>45397</v>
      </c>
      <c r="AI406" s="38"/>
      <c r="AJ406" s="38"/>
      <c r="AK406" s="38"/>
      <c r="AL406" s="38"/>
      <c r="AM406" s="48"/>
      <c r="AN406" s="42"/>
      <c r="AO406" s="42"/>
      <c r="AP406" s="42"/>
      <c r="AQ406" s="42"/>
      <c r="AR406" s="42"/>
      <c r="AS406" s="50"/>
      <c r="AT406" s="39"/>
      <c r="AU406" s="39"/>
      <c r="AV406" s="49"/>
      <c r="AW406" s="39"/>
      <c r="AX406" s="39">
        <v>10</v>
      </c>
      <c r="AY406" s="30">
        <f>(J406*10)/100</f>
        <v>221643.95</v>
      </c>
      <c r="AZ406" s="42"/>
    </row>
    <row r="407" spans="1:52" ht="39" customHeight="1" x14ac:dyDescent="0.25">
      <c r="A407" s="61" t="s">
        <v>2170</v>
      </c>
      <c r="B407" s="62">
        <v>45343</v>
      </c>
      <c r="C407" s="39">
        <v>1416</v>
      </c>
      <c r="D407" s="37"/>
      <c r="E407" s="42"/>
      <c r="F407" s="38"/>
      <c r="G407" s="39"/>
      <c r="H407" s="42"/>
      <c r="I407" s="64" t="s">
        <v>2171</v>
      </c>
      <c r="J407" s="63">
        <v>194060560</v>
      </c>
      <c r="K407" s="43">
        <v>0</v>
      </c>
      <c r="L407" s="56">
        <v>0</v>
      </c>
      <c r="M407" s="56">
        <v>0</v>
      </c>
      <c r="N407" s="44">
        <f t="shared" si="71"/>
        <v>100</v>
      </c>
      <c r="O407" s="45">
        <f t="shared" si="75"/>
        <v>194060560</v>
      </c>
      <c r="P407" s="43"/>
      <c r="Q407" s="45">
        <f t="shared" si="76"/>
        <v>194060560</v>
      </c>
      <c r="R407" s="43">
        <v>0</v>
      </c>
      <c r="S407" s="30">
        <f t="shared" ref="S407:T470" si="80">R407</f>
        <v>0</v>
      </c>
      <c r="T407" s="30">
        <f t="shared" si="80"/>
        <v>0</v>
      </c>
      <c r="U407" s="30" t="e">
        <f>T407/X407</f>
        <v>#DIV/0!</v>
      </c>
      <c r="V407" s="43" t="e">
        <f>T407/X407</f>
        <v>#DIV/0!</v>
      </c>
      <c r="W407" s="43" t="e">
        <f t="shared" si="72"/>
        <v>#DIV/0!</v>
      </c>
      <c r="X407" s="43">
        <f t="shared" si="77"/>
        <v>0</v>
      </c>
      <c r="Y407" s="43">
        <v>0</v>
      </c>
      <c r="Z407" s="43">
        <v>0</v>
      </c>
      <c r="AA407" s="43">
        <v>0</v>
      </c>
      <c r="AB407" s="43"/>
      <c r="AC407" s="43" t="e">
        <f t="shared" si="73"/>
        <v>#DIV/0!</v>
      </c>
      <c r="AD407" s="43"/>
      <c r="AE407" s="43" t="e">
        <f t="shared" si="74"/>
        <v>#DIV/0!</v>
      </c>
      <c r="AF407" s="43" t="e">
        <f t="shared" si="78"/>
        <v>#DIV/0!</v>
      </c>
      <c r="AG407" s="43" t="e">
        <f t="shared" si="79"/>
        <v>#DIV/0!</v>
      </c>
      <c r="AH407" s="38">
        <v>45397</v>
      </c>
      <c r="AI407" s="38"/>
      <c r="AJ407" s="38"/>
      <c r="AK407" s="38"/>
      <c r="AL407" s="38"/>
      <c r="AM407" s="48"/>
      <c r="AN407" s="42"/>
      <c r="AO407" s="42"/>
      <c r="AP407" s="42"/>
      <c r="AQ407" s="42"/>
      <c r="AR407" s="42"/>
      <c r="AS407" s="50"/>
      <c r="AT407" s="39"/>
      <c r="AU407" s="39"/>
      <c r="AV407" s="49"/>
      <c r="AW407" s="39"/>
      <c r="AX407" s="39">
        <v>10</v>
      </c>
      <c r="AY407" s="30">
        <f>(J407*10)/100</f>
        <v>19406056</v>
      </c>
      <c r="AZ407" s="42"/>
    </row>
    <row r="408" spans="1:52" ht="39" customHeight="1" x14ac:dyDescent="0.25">
      <c r="A408" s="61" t="s">
        <v>2172</v>
      </c>
      <c r="B408" s="62">
        <v>45343</v>
      </c>
      <c r="C408" s="39">
        <v>1416</v>
      </c>
      <c r="D408" s="37"/>
      <c r="E408" s="42"/>
      <c r="F408" s="38"/>
      <c r="G408" s="39"/>
      <c r="H408" s="42"/>
      <c r="I408" s="64" t="s">
        <v>2173</v>
      </c>
      <c r="J408" s="63">
        <v>57676320</v>
      </c>
      <c r="K408" s="43">
        <v>0</v>
      </c>
      <c r="L408" s="56">
        <v>0</v>
      </c>
      <c r="M408" s="56">
        <v>0</v>
      </c>
      <c r="N408" s="44">
        <f t="shared" si="71"/>
        <v>100</v>
      </c>
      <c r="O408" s="45">
        <f t="shared" si="75"/>
        <v>57676320</v>
      </c>
      <c r="P408" s="43"/>
      <c r="Q408" s="45">
        <f t="shared" si="76"/>
        <v>57676320</v>
      </c>
      <c r="R408" s="43">
        <v>0</v>
      </c>
      <c r="S408" s="30">
        <f t="shared" si="80"/>
        <v>0</v>
      </c>
      <c r="T408" s="30">
        <f t="shared" si="80"/>
        <v>0</v>
      </c>
      <c r="U408" s="30" t="e">
        <f>T408/X408</f>
        <v>#DIV/0!</v>
      </c>
      <c r="V408" s="43" t="e">
        <f>T408/X408</f>
        <v>#DIV/0!</v>
      </c>
      <c r="W408" s="43" t="e">
        <f t="shared" si="72"/>
        <v>#DIV/0!</v>
      </c>
      <c r="X408" s="43">
        <f t="shared" si="77"/>
        <v>0</v>
      </c>
      <c r="Y408" s="43">
        <v>0</v>
      </c>
      <c r="Z408" s="43">
        <v>0</v>
      </c>
      <c r="AA408" s="43">
        <v>0</v>
      </c>
      <c r="AB408" s="43"/>
      <c r="AC408" s="43" t="e">
        <f t="shared" si="73"/>
        <v>#DIV/0!</v>
      </c>
      <c r="AD408" s="43"/>
      <c r="AE408" s="43" t="e">
        <f t="shared" si="74"/>
        <v>#DIV/0!</v>
      </c>
      <c r="AF408" s="43" t="e">
        <f t="shared" si="78"/>
        <v>#DIV/0!</v>
      </c>
      <c r="AG408" s="43" t="e">
        <f t="shared" si="79"/>
        <v>#DIV/0!</v>
      </c>
      <c r="AH408" s="38">
        <v>45397</v>
      </c>
      <c r="AI408" s="38"/>
      <c r="AJ408" s="38"/>
      <c r="AK408" s="38"/>
      <c r="AL408" s="38"/>
      <c r="AM408" s="48"/>
      <c r="AN408" s="42"/>
      <c r="AO408" s="42"/>
      <c r="AP408" s="42"/>
      <c r="AQ408" s="42"/>
      <c r="AR408" s="42"/>
      <c r="AS408" s="50"/>
      <c r="AT408" s="39"/>
      <c r="AU408" s="39"/>
      <c r="AV408" s="49"/>
      <c r="AW408" s="39"/>
      <c r="AX408" s="39">
        <v>10</v>
      </c>
      <c r="AY408" s="30">
        <f>(J408*10)/100</f>
        <v>5767632</v>
      </c>
      <c r="AZ408" s="42"/>
    </row>
    <row r="409" spans="1:52" ht="15.75" customHeight="1" x14ac:dyDescent="0.25">
      <c r="A409" s="61" t="s">
        <v>2174</v>
      </c>
      <c r="B409" s="62">
        <v>45344</v>
      </c>
      <c r="C409" s="39">
        <v>545</v>
      </c>
      <c r="D409" s="37"/>
      <c r="E409" s="42"/>
      <c r="F409" s="38"/>
      <c r="G409" s="39"/>
      <c r="H409" s="42"/>
      <c r="I409" s="64" t="s">
        <v>2175</v>
      </c>
      <c r="J409" s="63">
        <v>610782757.20000005</v>
      </c>
      <c r="K409" s="43">
        <v>0</v>
      </c>
      <c r="L409" s="56">
        <v>0</v>
      </c>
      <c r="M409" s="56">
        <v>0</v>
      </c>
      <c r="N409" s="44">
        <f t="shared" si="71"/>
        <v>100</v>
      </c>
      <c r="O409" s="45">
        <f t="shared" si="75"/>
        <v>610782757.20000005</v>
      </c>
      <c r="P409" s="43"/>
      <c r="Q409" s="45">
        <f t="shared" si="76"/>
        <v>610782757.20000005</v>
      </c>
      <c r="R409" s="43">
        <v>0</v>
      </c>
      <c r="S409" s="30">
        <f t="shared" si="80"/>
        <v>0</v>
      </c>
      <c r="T409" s="30">
        <f t="shared" si="80"/>
        <v>0</v>
      </c>
      <c r="U409" s="30" t="e">
        <f>T409/X409</f>
        <v>#DIV/0!</v>
      </c>
      <c r="V409" s="43" t="e">
        <f>T409/X409</f>
        <v>#DIV/0!</v>
      </c>
      <c r="W409" s="43" t="e">
        <f t="shared" si="72"/>
        <v>#DIV/0!</v>
      </c>
      <c r="X409" s="43">
        <f t="shared" si="77"/>
        <v>0</v>
      </c>
      <c r="Y409" s="43">
        <v>0</v>
      </c>
      <c r="Z409" s="43">
        <v>0</v>
      </c>
      <c r="AA409" s="43">
        <v>0</v>
      </c>
      <c r="AB409" s="43"/>
      <c r="AC409" s="43" t="e">
        <f t="shared" si="73"/>
        <v>#DIV/0!</v>
      </c>
      <c r="AD409" s="43"/>
      <c r="AE409" s="43" t="e">
        <f t="shared" si="74"/>
        <v>#DIV/0!</v>
      </c>
      <c r="AF409" s="43" t="e">
        <f t="shared" si="78"/>
        <v>#DIV/0!</v>
      </c>
      <c r="AG409" s="43" t="e">
        <f t="shared" si="79"/>
        <v>#DIV/0!</v>
      </c>
      <c r="AH409" s="38"/>
      <c r="AI409" s="38"/>
      <c r="AJ409" s="38"/>
      <c r="AK409" s="38"/>
      <c r="AL409" s="38"/>
      <c r="AM409" s="48"/>
      <c r="AN409" s="42"/>
      <c r="AO409" s="42"/>
      <c r="AP409" s="42"/>
      <c r="AQ409" s="42"/>
      <c r="AR409" s="42"/>
      <c r="AS409" s="50"/>
      <c r="AT409" s="39"/>
      <c r="AU409" s="39"/>
      <c r="AV409" s="49"/>
      <c r="AW409" s="39"/>
      <c r="AX409" s="39">
        <v>10</v>
      </c>
      <c r="AY409" s="30">
        <f>(J409*10)/100</f>
        <v>61078275.719999999</v>
      </c>
      <c r="AZ409" s="42"/>
    </row>
    <row r="410" spans="1:52" ht="15.75" customHeight="1" x14ac:dyDescent="0.25">
      <c r="A410" s="61" t="s">
        <v>2176</v>
      </c>
      <c r="B410" s="62">
        <v>45344</v>
      </c>
      <c r="C410" s="39" t="s">
        <v>2140</v>
      </c>
      <c r="D410" s="37"/>
      <c r="E410" s="42"/>
      <c r="F410" s="38"/>
      <c r="G410" s="39"/>
      <c r="H410" s="42"/>
      <c r="I410" s="64" t="s">
        <v>2177</v>
      </c>
      <c r="J410" s="63">
        <v>256453.29</v>
      </c>
      <c r="K410" s="43">
        <v>0</v>
      </c>
      <c r="L410" s="56">
        <v>0</v>
      </c>
      <c r="M410" s="56">
        <v>0</v>
      </c>
      <c r="N410" s="44">
        <f t="shared" si="71"/>
        <v>100</v>
      </c>
      <c r="O410" s="45">
        <f t="shared" si="75"/>
        <v>256453.29</v>
      </c>
      <c r="P410" s="43"/>
      <c r="Q410" s="45">
        <f t="shared" si="76"/>
        <v>256453.29</v>
      </c>
      <c r="R410" s="43">
        <v>0</v>
      </c>
      <c r="S410" s="30">
        <f t="shared" si="80"/>
        <v>0</v>
      </c>
      <c r="T410" s="30">
        <f t="shared" si="80"/>
        <v>0</v>
      </c>
      <c r="U410" s="30" t="e">
        <f>T410/X410</f>
        <v>#DIV/0!</v>
      </c>
      <c r="V410" s="43" t="e">
        <f>T410/X410</f>
        <v>#DIV/0!</v>
      </c>
      <c r="W410" s="43" t="e">
        <f t="shared" si="72"/>
        <v>#DIV/0!</v>
      </c>
      <c r="X410" s="43">
        <f t="shared" si="77"/>
        <v>0</v>
      </c>
      <c r="Y410" s="43">
        <v>0</v>
      </c>
      <c r="Z410" s="43">
        <v>0</v>
      </c>
      <c r="AA410" s="43">
        <v>0</v>
      </c>
      <c r="AB410" s="43"/>
      <c r="AC410" s="43" t="e">
        <f t="shared" si="73"/>
        <v>#DIV/0!</v>
      </c>
      <c r="AD410" s="43"/>
      <c r="AE410" s="43" t="e">
        <f t="shared" si="74"/>
        <v>#DIV/0!</v>
      </c>
      <c r="AF410" s="43" t="e">
        <f t="shared" si="78"/>
        <v>#DIV/0!</v>
      </c>
      <c r="AG410" s="43" t="e">
        <f t="shared" si="79"/>
        <v>#DIV/0!</v>
      </c>
      <c r="AH410" s="38"/>
      <c r="AI410" s="38"/>
      <c r="AJ410" s="38"/>
      <c r="AK410" s="38"/>
      <c r="AL410" s="38"/>
      <c r="AM410" s="48"/>
      <c r="AN410" s="42"/>
      <c r="AO410" s="42"/>
      <c r="AP410" s="42"/>
      <c r="AQ410" s="42"/>
      <c r="AR410" s="42"/>
      <c r="AS410" s="50"/>
      <c r="AT410" s="39"/>
      <c r="AU410" s="39"/>
      <c r="AV410" s="49"/>
      <c r="AW410" s="39"/>
      <c r="AX410" s="39">
        <v>10</v>
      </c>
      <c r="AY410" s="30">
        <f>(J410*10)/100</f>
        <v>25645.328999999998</v>
      </c>
      <c r="AZ410" s="42"/>
    </row>
    <row r="411" spans="1:52" ht="15.75" customHeight="1" x14ac:dyDescent="0.25">
      <c r="A411" s="61" t="s">
        <v>2178</v>
      </c>
      <c r="B411" s="62">
        <v>45344</v>
      </c>
      <c r="C411" s="39">
        <v>1416</v>
      </c>
      <c r="D411" s="37"/>
      <c r="E411" s="42"/>
      <c r="F411" s="38"/>
      <c r="G411" s="39"/>
      <c r="H411" s="42"/>
      <c r="I411" s="64" t="s">
        <v>778</v>
      </c>
      <c r="J411" s="63">
        <v>1175551149.8499999</v>
      </c>
      <c r="K411" s="43">
        <v>0</v>
      </c>
      <c r="L411" s="56">
        <v>0</v>
      </c>
      <c r="M411" s="56">
        <v>0</v>
      </c>
      <c r="N411" s="44">
        <f t="shared" si="71"/>
        <v>100</v>
      </c>
      <c r="O411" s="45">
        <f t="shared" si="75"/>
        <v>1175551149.8499999</v>
      </c>
      <c r="P411" s="43"/>
      <c r="Q411" s="45">
        <f t="shared" si="76"/>
        <v>1175551149.8499999</v>
      </c>
      <c r="R411" s="43">
        <v>0</v>
      </c>
      <c r="S411" s="30">
        <f t="shared" si="80"/>
        <v>0</v>
      </c>
      <c r="T411" s="30">
        <f t="shared" si="80"/>
        <v>0</v>
      </c>
      <c r="U411" s="30" t="e">
        <f>T411/X411</f>
        <v>#DIV/0!</v>
      </c>
      <c r="V411" s="43" t="e">
        <f>T411/X411</f>
        <v>#DIV/0!</v>
      </c>
      <c r="W411" s="43" t="e">
        <f t="shared" si="72"/>
        <v>#DIV/0!</v>
      </c>
      <c r="X411" s="43">
        <f t="shared" si="77"/>
        <v>0</v>
      </c>
      <c r="Y411" s="43">
        <v>0</v>
      </c>
      <c r="Z411" s="43">
        <v>0</v>
      </c>
      <c r="AA411" s="43">
        <v>0</v>
      </c>
      <c r="AB411" s="43"/>
      <c r="AC411" s="43" t="e">
        <f t="shared" si="73"/>
        <v>#DIV/0!</v>
      </c>
      <c r="AD411" s="43"/>
      <c r="AE411" s="43" t="e">
        <f t="shared" si="74"/>
        <v>#DIV/0!</v>
      </c>
      <c r="AF411" s="43" t="e">
        <f t="shared" si="78"/>
        <v>#DIV/0!</v>
      </c>
      <c r="AG411" s="43" t="e">
        <f t="shared" si="79"/>
        <v>#DIV/0!</v>
      </c>
      <c r="AH411" s="38"/>
      <c r="AI411" s="38"/>
      <c r="AJ411" s="38"/>
      <c r="AK411" s="38"/>
      <c r="AL411" s="38"/>
      <c r="AM411" s="48"/>
      <c r="AN411" s="42"/>
      <c r="AO411" s="42"/>
      <c r="AP411" s="42"/>
      <c r="AQ411" s="42"/>
      <c r="AR411" s="42"/>
      <c r="AS411" s="50"/>
      <c r="AT411" s="39"/>
      <c r="AU411" s="39"/>
      <c r="AV411" s="49"/>
      <c r="AW411" s="39"/>
      <c r="AX411" s="39">
        <v>10</v>
      </c>
      <c r="AY411" s="30">
        <f>(J411*10)/100</f>
        <v>117555114.985</v>
      </c>
      <c r="AZ411" s="42"/>
    </row>
    <row r="412" spans="1:52" ht="15.75" customHeight="1" x14ac:dyDescent="0.25">
      <c r="A412" s="61" t="s">
        <v>2179</v>
      </c>
      <c r="B412" s="62">
        <v>45344</v>
      </c>
      <c r="C412" s="39">
        <v>1512</v>
      </c>
      <c r="D412" s="37"/>
      <c r="E412" s="42"/>
      <c r="F412" s="38"/>
      <c r="G412" s="39"/>
      <c r="H412" s="42"/>
      <c r="I412" s="64" t="s">
        <v>2180</v>
      </c>
      <c r="J412" s="63">
        <v>64523605.799999997</v>
      </c>
      <c r="K412" s="43">
        <v>0</v>
      </c>
      <c r="L412" s="56">
        <v>0</v>
      </c>
      <c r="M412" s="56">
        <v>0</v>
      </c>
      <c r="N412" s="44">
        <f t="shared" si="71"/>
        <v>100</v>
      </c>
      <c r="O412" s="45">
        <f t="shared" si="75"/>
        <v>64523605.799999997</v>
      </c>
      <c r="P412" s="43"/>
      <c r="Q412" s="45">
        <f t="shared" si="76"/>
        <v>64523605.799999997</v>
      </c>
      <c r="R412" s="43">
        <v>0</v>
      </c>
      <c r="S412" s="30">
        <f t="shared" si="80"/>
        <v>0</v>
      </c>
      <c r="T412" s="30">
        <f t="shared" si="80"/>
        <v>0</v>
      </c>
      <c r="U412" s="30" t="e">
        <f>T412/X412</f>
        <v>#DIV/0!</v>
      </c>
      <c r="V412" s="43" t="e">
        <f>T412/X412</f>
        <v>#DIV/0!</v>
      </c>
      <c r="W412" s="43" t="e">
        <f t="shared" si="72"/>
        <v>#DIV/0!</v>
      </c>
      <c r="X412" s="43">
        <f t="shared" si="77"/>
        <v>0</v>
      </c>
      <c r="Y412" s="43">
        <v>0</v>
      </c>
      <c r="Z412" s="43">
        <v>0</v>
      </c>
      <c r="AA412" s="43">
        <v>0</v>
      </c>
      <c r="AB412" s="43"/>
      <c r="AC412" s="43" t="e">
        <f t="shared" si="73"/>
        <v>#DIV/0!</v>
      </c>
      <c r="AD412" s="43"/>
      <c r="AE412" s="43" t="e">
        <f t="shared" si="74"/>
        <v>#DIV/0!</v>
      </c>
      <c r="AF412" s="43" t="e">
        <f t="shared" si="78"/>
        <v>#DIV/0!</v>
      </c>
      <c r="AG412" s="43" t="e">
        <f t="shared" si="79"/>
        <v>#DIV/0!</v>
      </c>
      <c r="AH412" s="38"/>
      <c r="AI412" s="38"/>
      <c r="AJ412" s="38"/>
      <c r="AK412" s="38"/>
      <c r="AL412" s="38"/>
      <c r="AM412" s="48"/>
      <c r="AN412" s="42"/>
      <c r="AO412" s="42"/>
      <c r="AP412" s="42"/>
      <c r="AQ412" s="42"/>
      <c r="AR412" s="42"/>
      <c r="AS412" s="50"/>
      <c r="AT412" s="39"/>
      <c r="AU412" s="39"/>
      <c r="AV412" s="49"/>
      <c r="AW412" s="39"/>
      <c r="AX412" s="39">
        <v>10</v>
      </c>
      <c r="AY412" s="30">
        <f>(J412*10)/100</f>
        <v>6452360.5800000001</v>
      </c>
      <c r="AZ412" s="42"/>
    </row>
    <row r="413" spans="1:52" ht="15.75" customHeight="1" x14ac:dyDescent="0.25">
      <c r="A413" s="61" t="s">
        <v>2181</v>
      </c>
      <c r="B413" s="62">
        <v>45344</v>
      </c>
      <c r="C413" s="39">
        <v>1416</v>
      </c>
      <c r="D413" s="37"/>
      <c r="E413" s="42"/>
      <c r="F413" s="38"/>
      <c r="G413" s="39"/>
      <c r="H413" s="42"/>
      <c r="I413" s="64" t="s">
        <v>2182</v>
      </c>
      <c r="J413" s="63">
        <v>124614128</v>
      </c>
      <c r="K413" s="43">
        <v>0</v>
      </c>
      <c r="L413" s="56">
        <v>0</v>
      </c>
      <c r="M413" s="56">
        <v>0</v>
      </c>
      <c r="N413" s="44">
        <f t="shared" si="71"/>
        <v>100</v>
      </c>
      <c r="O413" s="45">
        <f t="shared" si="75"/>
        <v>124614128</v>
      </c>
      <c r="P413" s="43"/>
      <c r="Q413" s="45">
        <f t="shared" si="76"/>
        <v>124614128</v>
      </c>
      <c r="R413" s="43">
        <v>0</v>
      </c>
      <c r="S413" s="30">
        <f t="shared" si="80"/>
        <v>0</v>
      </c>
      <c r="T413" s="30">
        <f t="shared" si="80"/>
        <v>0</v>
      </c>
      <c r="U413" s="30" t="e">
        <f>T413/X413</f>
        <v>#DIV/0!</v>
      </c>
      <c r="V413" s="43" t="e">
        <f>T413/X413</f>
        <v>#DIV/0!</v>
      </c>
      <c r="W413" s="43" t="e">
        <f t="shared" si="72"/>
        <v>#DIV/0!</v>
      </c>
      <c r="X413" s="43">
        <f t="shared" si="77"/>
        <v>0</v>
      </c>
      <c r="Y413" s="43">
        <v>0</v>
      </c>
      <c r="Z413" s="43">
        <v>0</v>
      </c>
      <c r="AA413" s="43">
        <v>0</v>
      </c>
      <c r="AB413" s="43"/>
      <c r="AC413" s="43" t="e">
        <f t="shared" si="73"/>
        <v>#DIV/0!</v>
      </c>
      <c r="AD413" s="43"/>
      <c r="AE413" s="43" t="e">
        <f t="shared" si="74"/>
        <v>#DIV/0!</v>
      </c>
      <c r="AF413" s="43" t="e">
        <f t="shared" si="78"/>
        <v>#DIV/0!</v>
      </c>
      <c r="AG413" s="43" t="e">
        <f t="shared" si="79"/>
        <v>#DIV/0!</v>
      </c>
      <c r="AH413" s="38"/>
      <c r="AI413" s="38"/>
      <c r="AJ413" s="38"/>
      <c r="AK413" s="38"/>
      <c r="AL413" s="38"/>
      <c r="AM413" s="48"/>
      <c r="AN413" s="42"/>
      <c r="AO413" s="42"/>
      <c r="AP413" s="42"/>
      <c r="AQ413" s="42"/>
      <c r="AR413" s="42"/>
      <c r="AS413" s="50"/>
      <c r="AT413" s="39"/>
      <c r="AU413" s="39"/>
      <c r="AV413" s="49"/>
      <c r="AW413" s="39"/>
      <c r="AX413" s="39">
        <v>10</v>
      </c>
      <c r="AY413" s="30">
        <f>(J413*10)/100</f>
        <v>12461412.800000001</v>
      </c>
      <c r="AZ413" s="42"/>
    </row>
    <row r="414" spans="1:52" ht="15.75" customHeight="1" x14ac:dyDescent="0.25">
      <c r="A414" s="61" t="s">
        <v>2183</v>
      </c>
      <c r="B414" s="62">
        <v>45344</v>
      </c>
      <c r="C414" s="39">
        <v>1512</v>
      </c>
      <c r="D414" s="37"/>
      <c r="E414" s="42"/>
      <c r="F414" s="38"/>
      <c r="G414" s="39"/>
      <c r="H414" s="42"/>
      <c r="I414" s="64" t="s">
        <v>2184</v>
      </c>
      <c r="J414" s="63">
        <v>6269270.1299999999</v>
      </c>
      <c r="K414" s="43">
        <v>0</v>
      </c>
      <c r="L414" s="56">
        <v>0</v>
      </c>
      <c r="M414" s="56">
        <v>0</v>
      </c>
      <c r="N414" s="44">
        <f t="shared" si="71"/>
        <v>100</v>
      </c>
      <c r="O414" s="45">
        <f t="shared" si="75"/>
        <v>6269270.1299999999</v>
      </c>
      <c r="P414" s="43"/>
      <c r="Q414" s="45">
        <f t="shared" si="76"/>
        <v>6269270.1299999999</v>
      </c>
      <c r="R414" s="43">
        <v>0</v>
      </c>
      <c r="S414" s="30">
        <f t="shared" si="80"/>
        <v>0</v>
      </c>
      <c r="T414" s="30">
        <f t="shared" si="80"/>
        <v>0</v>
      </c>
      <c r="U414" s="30" t="e">
        <f>T414/X414</f>
        <v>#DIV/0!</v>
      </c>
      <c r="V414" s="43" t="e">
        <f>T414/X414</f>
        <v>#DIV/0!</v>
      </c>
      <c r="W414" s="43" t="e">
        <f t="shared" si="72"/>
        <v>#DIV/0!</v>
      </c>
      <c r="X414" s="43">
        <f t="shared" si="77"/>
        <v>0</v>
      </c>
      <c r="Y414" s="43">
        <v>0</v>
      </c>
      <c r="Z414" s="43">
        <v>0</v>
      </c>
      <c r="AA414" s="43">
        <v>0</v>
      </c>
      <c r="AB414" s="43"/>
      <c r="AC414" s="43" t="e">
        <f t="shared" si="73"/>
        <v>#DIV/0!</v>
      </c>
      <c r="AD414" s="43"/>
      <c r="AE414" s="43" t="e">
        <f t="shared" si="74"/>
        <v>#DIV/0!</v>
      </c>
      <c r="AF414" s="43" t="e">
        <f t="shared" si="78"/>
        <v>#DIV/0!</v>
      </c>
      <c r="AG414" s="43" t="e">
        <f t="shared" si="79"/>
        <v>#DIV/0!</v>
      </c>
      <c r="AH414" s="38"/>
      <c r="AI414" s="38"/>
      <c r="AJ414" s="38"/>
      <c r="AK414" s="38"/>
      <c r="AL414" s="38"/>
      <c r="AM414" s="48"/>
      <c r="AN414" s="42"/>
      <c r="AO414" s="42"/>
      <c r="AP414" s="42"/>
      <c r="AQ414" s="42"/>
      <c r="AR414" s="42"/>
      <c r="AS414" s="50"/>
      <c r="AT414" s="39"/>
      <c r="AU414" s="39"/>
      <c r="AV414" s="49"/>
      <c r="AW414" s="39"/>
      <c r="AX414" s="39">
        <v>10</v>
      </c>
      <c r="AY414" s="30">
        <f>(J414*10)/100</f>
        <v>626927.01299999992</v>
      </c>
      <c r="AZ414" s="42"/>
    </row>
    <row r="415" spans="1:52" ht="15.75" customHeight="1" x14ac:dyDescent="0.25">
      <c r="A415" s="61" t="s">
        <v>2185</v>
      </c>
      <c r="B415" s="62">
        <v>45344</v>
      </c>
      <c r="C415" s="39">
        <v>1416</v>
      </c>
      <c r="D415" s="37"/>
      <c r="E415" s="42"/>
      <c r="F415" s="38"/>
      <c r="G415" s="39"/>
      <c r="H415" s="42"/>
      <c r="I415" s="64" t="s">
        <v>2186</v>
      </c>
      <c r="J415" s="63">
        <v>70148691.599999994</v>
      </c>
      <c r="K415" s="43">
        <v>0</v>
      </c>
      <c r="L415" s="56">
        <v>0</v>
      </c>
      <c r="M415" s="56">
        <v>0</v>
      </c>
      <c r="N415" s="44">
        <f t="shared" si="71"/>
        <v>100</v>
      </c>
      <c r="O415" s="45">
        <f t="shared" si="75"/>
        <v>70148691.599999994</v>
      </c>
      <c r="P415" s="43"/>
      <c r="Q415" s="45">
        <f t="shared" si="76"/>
        <v>70148691.599999994</v>
      </c>
      <c r="R415" s="43">
        <v>0</v>
      </c>
      <c r="S415" s="30">
        <f t="shared" si="80"/>
        <v>0</v>
      </c>
      <c r="T415" s="30">
        <f t="shared" si="80"/>
        <v>0</v>
      </c>
      <c r="U415" s="30" t="e">
        <f>T415/X415</f>
        <v>#DIV/0!</v>
      </c>
      <c r="V415" s="43" t="e">
        <f>T415/X415</f>
        <v>#DIV/0!</v>
      </c>
      <c r="W415" s="43" t="e">
        <f t="shared" si="72"/>
        <v>#DIV/0!</v>
      </c>
      <c r="X415" s="43">
        <f t="shared" si="77"/>
        <v>0</v>
      </c>
      <c r="Y415" s="43">
        <v>0</v>
      </c>
      <c r="Z415" s="43">
        <v>0</v>
      </c>
      <c r="AA415" s="43">
        <v>0</v>
      </c>
      <c r="AB415" s="43"/>
      <c r="AC415" s="43" t="e">
        <f t="shared" si="73"/>
        <v>#DIV/0!</v>
      </c>
      <c r="AD415" s="43"/>
      <c r="AE415" s="43" t="e">
        <f t="shared" si="74"/>
        <v>#DIV/0!</v>
      </c>
      <c r="AF415" s="43" t="e">
        <f t="shared" si="78"/>
        <v>#DIV/0!</v>
      </c>
      <c r="AG415" s="43" t="e">
        <f t="shared" si="79"/>
        <v>#DIV/0!</v>
      </c>
      <c r="AH415" s="38"/>
      <c r="AI415" s="38"/>
      <c r="AJ415" s="38"/>
      <c r="AK415" s="38"/>
      <c r="AL415" s="38"/>
      <c r="AM415" s="48"/>
      <c r="AN415" s="42"/>
      <c r="AO415" s="42"/>
      <c r="AP415" s="42"/>
      <c r="AQ415" s="42"/>
      <c r="AR415" s="42"/>
      <c r="AS415" s="50"/>
      <c r="AT415" s="39"/>
      <c r="AU415" s="39"/>
      <c r="AV415" s="49"/>
      <c r="AW415" s="39"/>
      <c r="AX415" s="39">
        <v>10</v>
      </c>
      <c r="AY415" s="30">
        <f>(J415*10)/100</f>
        <v>7014869.1600000001</v>
      </c>
      <c r="AZ415" s="42"/>
    </row>
    <row r="416" spans="1:52" ht="15.75" customHeight="1" x14ac:dyDescent="0.25">
      <c r="A416" s="61" t="s">
        <v>2187</v>
      </c>
      <c r="B416" s="62">
        <v>45344</v>
      </c>
      <c r="C416" s="39">
        <v>1512</v>
      </c>
      <c r="D416" s="37"/>
      <c r="E416" s="42"/>
      <c r="F416" s="38"/>
      <c r="G416" s="39"/>
      <c r="H416" s="42"/>
      <c r="I416" s="64" t="s">
        <v>2188</v>
      </c>
      <c r="J416" s="63">
        <v>9144960</v>
      </c>
      <c r="K416" s="43">
        <v>0</v>
      </c>
      <c r="L416" s="56">
        <v>0</v>
      </c>
      <c r="M416" s="56">
        <v>0</v>
      </c>
      <c r="N416" s="44">
        <f t="shared" ref="N416:N479" si="81">((J416-P416)/J416)*100</f>
        <v>100</v>
      </c>
      <c r="O416" s="45">
        <f t="shared" si="75"/>
        <v>9144960</v>
      </c>
      <c r="P416" s="43"/>
      <c r="Q416" s="45">
        <f t="shared" si="76"/>
        <v>9144960</v>
      </c>
      <c r="R416" s="43">
        <v>0</v>
      </c>
      <c r="S416" s="30">
        <f t="shared" si="80"/>
        <v>0</v>
      </c>
      <c r="T416" s="30">
        <f t="shared" si="80"/>
        <v>0</v>
      </c>
      <c r="U416" s="30" t="e">
        <f>T416/X416</f>
        <v>#DIV/0!</v>
      </c>
      <c r="V416" s="43" t="e">
        <f>T416/X416</f>
        <v>#DIV/0!</v>
      </c>
      <c r="W416" s="43" t="e">
        <f t="shared" si="72"/>
        <v>#DIV/0!</v>
      </c>
      <c r="X416" s="43">
        <f t="shared" si="77"/>
        <v>0</v>
      </c>
      <c r="Y416" s="43">
        <v>0</v>
      </c>
      <c r="Z416" s="43">
        <v>0</v>
      </c>
      <c r="AA416" s="43">
        <v>0</v>
      </c>
      <c r="AB416" s="43"/>
      <c r="AC416" s="43" t="e">
        <f t="shared" si="73"/>
        <v>#DIV/0!</v>
      </c>
      <c r="AD416" s="43"/>
      <c r="AE416" s="43" t="e">
        <f t="shared" si="74"/>
        <v>#DIV/0!</v>
      </c>
      <c r="AF416" s="43" t="e">
        <f t="shared" si="78"/>
        <v>#DIV/0!</v>
      </c>
      <c r="AG416" s="43" t="e">
        <f t="shared" si="79"/>
        <v>#DIV/0!</v>
      </c>
      <c r="AH416" s="38"/>
      <c r="AI416" s="38"/>
      <c r="AJ416" s="38"/>
      <c r="AK416" s="38"/>
      <c r="AL416" s="38"/>
      <c r="AM416" s="48"/>
      <c r="AN416" s="42"/>
      <c r="AO416" s="42"/>
      <c r="AP416" s="42"/>
      <c r="AQ416" s="42"/>
      <c r="AR416" s="42"/>
      <c r="AS416" s="50"/>
      <c r="AT416" s="39"/>
      <c r="AU416" s="39"/>
      <c r="AV416" s="49"/>
      <c r="AW416" s="39"/>
      <c r="AX416" s="39">
        <v>10</v>
      </c>
      <c r="AY416" s="30">
        <f>(J416*10)/100</f>
        <v>914496</v>
      </c>
      <c r="AZ416" s="42"/>
    </row>
    <row r="417" spans="1:52" ht="15.75" customHeight="1" x14ac:dyDescent="0.25">
      <c r="A417" s="61" t="s">
        <v>2189</v>
      </c>
      <c r="B417" s="62">
        <v>45344</v>
      </c>
      <c r="C417" s="39">
        <v>1416</v>
      </c>
      <c r="D417" s="37"/>
      <c r="E417" s="42"/>
      <c r="F417" s="38"/>
      <c r="G417" s="39"/>
      <c r="H417" s="42"/>
      <c r="I417" s="64" t="s">
        <v>1104</v>
      </c>
      <c r="J417" s="63">
        <v>233179952.59999999</v>
      </c>
      <c r="K417" s="43">
        <v>0</v>
      </c>
      <c r="L417" s="56">
        <v>0</v>
      </c>
      <c r="M417" s="56">
        <v>0</v>
      </c>
      <c r="N417" s="44">
        <f t="shared" si="81"/>
        <v>100</v>
      </c>
      <c r="O417" s="45">
        <f t="shared" si="75"/>
        <v>233179952.59999999</v>
      </c>
      <c r="P417" s="43"/>
      <c r="Q417" s="45">
        <f t="shared" si="76"/>
        <v>233179952.59999999</v>
      </c>
      <c r="R417" s="43">
        <v>0</v>
      </c>
      <c r="S417" s="30">
        <f t="shared" si="80"/>
        <v>0</v>
      </c>
      <c r="T417" s="30">
        <f t="shared" si="80"/>
        <v>0</v>
      </c>
      <c r="U417" s="30" t="e">
        <f>T417/X417</f>
        <v>#DIV/0!</v>
      </c>
      <c r="V417" s="43" t="e">
        <f>T417/X417</f>
        <v>#DIV/0!</v>
      </c>
      <c r="W417" s="43" t="e">
        <f t="shared" si="72"/>
        <v>#DIV/0!</v>
      </c>
      <c r="X417" s="43">
        <f t="shared" si="77"/>
        <v>0</v>
      </c>
      <c r="Y417" s="43">
        <v>0</v>
      </c>
      <c r="Z417" s="43">
        <v>0</v>
      </c>
      <c r="AA417" s="43">
        <v>0</v>
      </c>
      <c r="AB417" s="43"/>
      <c r="AC417" s="43" t="e">
        <f t="shared" si="73"/>
        <v>#DIV/0!</v>
      </c>
      <c r="AD417" s="43"/>
      <c r="AE417" s="43" t="e">
        <f t="shared" si="74"/>
        <v>#DIV/0!</v>
      </c>
      <c r="AF417" s="43" t="e">
        <f t="shared" si="78"/>
        <v>#DIV/0!</v>
      </c>
      <c r="AG417" s="43" t="e">
        <f t="shared" si="79"/>
        <v>#DIV/0!</v>
      </c>
      <c r="AH417" s="38"/>
      <c r="AI417" s="38"/>
      <c r="AJ417" s="38"/>
      <c r="AK417" s="38"/>
      <c r="AL417" s="38"/>
      <c r="AM417" s="48"/>
      <c r="AN417" s="42"/>
      <c r="AO417" s="42"/>
      <c r="AP417" s="42"/>
      <c r="AQ417" s="42"/>
      <c r="AR417" s="42"/>
      <c r="AS417" s="50"/>
      <c r="AT417" s="39"/>
      <c r="AU417" s="39"/>
      <c r="AV417" s="49"/>
      <c r="AW417" s="39"/>
      <c r="AX417" s="39">
        <v>10</v>
      </c>
      <c r="AY417" s="30">
        <f>(J417*10)/100</f>
        <v>23317995.260000002</v>
      </c>
      <c r="AZ417" s="42"/>
    </row>
    <row r="418" spans="1:52" ht="15.75" customHeight="1" x14ac:dyDescent="0.25">
      <c r="A418" s="61" t="s">
        <v>2190</v>
      </c>
      <c r="B418" s="62">
        <v>45344</v>
      </c>
      <c r="C418" s="39" t="s">
        <v>2140</v>
      </c>
      <c r="D418" s="37"/>
      <c r="E418" s="42"/>
      <c r="F418" s="38"/>
      <c r="G418" s="39"/>
      <c r="H418" s="42"/>
      <c r="I418" s="64" t="s">
        <v>2191</v>
      </c>
      <c r="J418" s="63">
        <v>9525545.0999999996</v>
      </c>
      <c r="K418" s="43">
        <v>0</v>
      </c>
      <c r="L418" s="56">
        <v>0</v>
      </c>
      <c r="M418" s="56">
        <v>0</v>
      </c>
      <c r="N418" s="44">
        <f t="shared" si="81"/>
        <v>100</v>
      </c>
      <c r="O418" s="45">
        <f t="shared" si="75"/>
        <v>9525545.0999999996</v>
      </c>
      <c r="P418" s="43"/>
      <c r="Q418" s="45">
        <f t="shared" si="76"/>
        <v>9525545.0999999996</v>
      </c>
      <c r="R418" s="43">
        <v>0</v>
      </c>
      <c r="S418" s="30">
        <f t="shared" si="80"/>
        <v>0</v>
      </c>
      <c r="T418" s="30">
        <f t="shared" si="80"/>
        <v>0</v>
      </c>
      <c r="U418" s="30" t="e">
        <f>T418/X418</f>
        <v>#DIV/0!</v>
      </c>
      <c r="V418" s="43" t="e">
        <f>T418/X418</f>
        <v>#DIV/0!</v>
      </c>
      <c r="W418" s="43" t="e">
        <f t="shared" si="72"/>
        <v>#DIV/0!</v>
      </c>
      <c r="X418" s="43">
        <f t="shared" si="77"/>
        <v>0</v>
      </c>
      <c r="Y418" s="43">
        <v>0</v>
      </c>
      <c r="Z418" s="43">
        <v>0</v>
      </c>
      <c r="AA418" s="43">
        <v>0</v>
      </c>
      <c r="AB418" s="43"/>
      <c r="AC418" s="43" t="e">
        <f t="shared" si="73"/>
        <v>#DIV/0!</v>
      </c>
      <c r="AD418" s="43"/>
      <c r="AE418" s="43" t="e">
        <f t="shared" si="74"/>
        <v>#DIV/0!</v>
      </c>
      <c r="AF418" s="43" t="e">
        <f t="shared" si="78"/>
        <v>#DIV/0!</v>
      </c>
      <c r="AG418" s="43" t="e">
        <f t="shared" si="79"/>
        <v>#DIV/0!</v>
      </c>
      <c r="AH418" s="38"/>
      <c r="AI418" s="38"/>
      <c r="AJ418" s="38"/>
      <c r="AK418" s="38"/>
      <c r="AL418" s="38"/>
      <c r="AM418" s="48"/>
      <c r="AN418" s="42"/>
      <c r="AO418" s="42"/>
      <c r="AP418" s="42"/>
      <c r="AQ418" s="42"/>
      <c r="AR418" s="42"/>
      <c r="AS418" s="50"/>
      <c r="AT418" s="39"/>
      <c r="AU418" s="39"/>
      <c r="AV418" s="49"/>
      <c r="AW418" s="39"/>
      <c r="AX418" s="39">
        <v>10</v>
      </c>
      <c r="AY418" s="30">
        <f>(J418*10)/100</f>
        <v>952554.51</v>
      </c>
      <c r="AZ418" s="42"/>
    </row>
    <row r="419" spans="1:52" ht="15.75" customHeight="1" x14ac:dyDescent="0.25">
      <c r="A419" s="61" t="s">
        <v>2192</v>
      </c>
      <c r="B419" s="62">
        <v>45344</v>
      </c>
      <c r="C419" s="39">
        <v>1416</v>
      </c>
      <c r="D419" s="37"/>
      <c r="E419" s="42"/>
      <c r="F419" s="38"/>
      <c r="G419" s="39"/>
      <c r="H419" s="42"/>
      <c r="I419" s="64" t="s">
        <v>1154</v>
      </c>
      <c r="J419" s="68" t="s">
        <v>2193</v>
      </c>
      <c r="K419" s="43">
        <v>0</v>
      </c>
      <c r="L419" s="56">
        <v>0</v>
      </c>
      <c r="M419" s="56">
        <v>0</v>
      </c>
      <c r="N419" s="44" t="e">
        <f t="shared" si="81"/>
        <v>#VALUE!</v>
      </c>
      <c r="O419" s="45" t="e">
        <f t="shared" si="75"/>
        <v>#VALUE!</v>
      </c>
      <c r="P419" s="43"/>
      <c r="Q419" s="45" t="e">
        <f t="shared" si="76"/>
        <v>#VALUE!</v>
      </c>
      <c r="R419" s="43">
        <v>0</v>
      </c>
      <c r="S419" s="30">
        <f t="shared" si="80"/>
        <v>0</v>
      </c>
      <c r="T419" s="30">
        <f t="shared" si="80"/>
        <v>0</v>
      </c>
      <c r="U419" s="30" t="e">
        <f>T419/X419</f>
        <v>#DIV/0!</v>
      </c>
      <c r="V419" s="43" t="e">
        <f>T419/X419</f>
        <v>#DIV/0!</v>
      </c>
      <c r="W419" s="43" t="e">
        <f t="shared" si="72"/>
        <v>#DIV/0!</v>
      </c>
      <c r="X419" s="43">
        <f t="shared" si="77"/>
        <v>0</v>
      </c>
      <c r="Y419" s="43">
        <v>0</v>
      </c>
      <c r="Z419" s="43">
        <v>0</v>
      </c>
      <c r="AA419" s="43">
        <v>0</v>
      </c>
      <c r="AB419" s="43"/>
      <c r="AC419" s="43" t="e">
        <f t="shared" si="73"/>
        <v>#DIV/0!</v>
      </c>
      <c r="AD419" s="43"/>
      <c r="AE419" s="43" t="e">
        <f t="shared" si="74"/>
        <v>#DIV/0!</v>
      </c>
      <c r="AF419" s="43" t="e">
        <f t="shared" si="78"/>
        <v>#DIV/0!</v>
      </c>
      <c r="AG419" s="43" t="e">
        <f t="shared" si="79"/>
        <v>#DIV/0!</v>
      </c>
      <c r="AH419" s="38"/>
      <c r="AI419" s="38"/>
      <c r="AJ419" s="38"/>
      <c r="AK419" s="38"/>
      <c r="AL419" s="38"/>
      <c r="AM419" s="48"/>
      <c r="AN419" s="42"/>
      <c r="AO419" s="42"/>
      <c r="AP419" s="42"/>
      <c r="AQ419" s="42"/>
      <c r="AR419" s="42"/>
      <c r="AS419" s="50"/>
      <c r="AT419" s="39"/>
      <c r="AU419" s="39"/>
      <c r="AV419" s="49"/>
      <c r="AW419" s="39"/>
      <c r="AX419" s="39">
        <v>10</v>
      </c>
      <c r="AY419" s="30" t="e">
        <f>(J419*10)/100</f>
        <v>#VALUE!</v>
      </c>
      <c r="AZ419" s="42"/>
    </row>
    <row r="420" spans="1:52" ht="15.75" customHeight="1" x14ac:dyDescent="0.25">
      <c r="A420" s="61" t="s">
        <v>2194</v>
      </c>
      <c r="B420" s="62">
        <v>45344</v>
      </c>
      <c r="C420" s="39">
        <v>1512</v>
      </c>
      <c r="D420" s="37"/>
      <c r="E420" s="42"/>
      <c r="F420" s="38"/>
      <c r="G420" s="39"/>
      <c r="H420" s="42"/>
      <c r="I420" s="64" t="s">
        <v>2195</v>
      </c>
      <c r="J420" s="63">
        <v>542628909.89999998</v>
      </c>
      <c r="K420" s="43">
        <v>0</v>
      </c>
      <c r="L420" s="56">
        <v>0</v>
      </c>
      <c r="M420" s="56">
        <v>0</v>
      </c>
      <c r="N420" s="44">
        <f t="shared" si="81"/>
        <v>100</v>
      </c>
      <c r="O420" s="45">
        <f t="shared" si="75"/>
        <v>542628909.89999998</v>
      </c>
      <c r="P420" s="43"/>
      <c r="Q420" s="45">
        <f t="shared" si="76"/>
        <v>542628909.89999998</v>
      </c>
      <c r="R420" s="43">
        <v>0</v>
      </c>
      <c r="S420" s="30">
        <f t="shared" si="80"/>
        <v>0</v>
      </c>
      <c r="T420" s="30">
        <f t="shared" si="80"/>
        <v>0</v>
      </c>
      <c r="U420" s="30" t="e">
        <f>T420/X420</f>
        <v>#DIV/0!</v>
      </c>
      <c r="V420" s="43" t="e">
        <f>T420/X420</f>
        <v>#DIV/0!</v>
      </c>
      <c r="W420" s="43" t="e">
        <f t="shared" si="72"/>
        <v>#DIV/0!</v>
      </c>
      <c r="X420" s="43">
        <f t="shared" si="77"/>
        <v>0</v>
      </c>
      <c r="Y420" s="43">
        <v>0</v>
      </c>
      <c r="Z420" s="43">
        <v>0</v>
      </c>
      <c r="AA420" s="43">
        <v>0</v>
      </c>
      <c r="AB420" s="43"/>
      <c r="AC420" s="43" t="e">
        <f t="shared" si="73"/>
        <v>#DIV/0!</v>
      </c>
      <c r="AD420" s="43"/>
      <c r="AE420" s="43" t="e">
        <f t="shared" si="74"/>
        <v>#DIV/0!</v>
      </c>
      <c r="AF420" s="43" t="e">
        <f t="shared" si="78"/>
        <v>#DIV/0!</v>
      </c>
      <c r="AG420" s="43" t="e">
        <f t="shared" si="79"/>
        <v>#DIV/0!</v>
      </c>
      <c r="AH420" s="38"/>
      <c r="AI420" s="38"/>
      <c r="AJ420" s="38"/>
      <c r="AK420" s="38"/>
      <c r="AL420" s="38"/>
      <c r="AM420" s="48"/>
      <c r="AN420" s="42"/>
      <c r="AO420" s="42"/>
      <c r="AP420" s="42"/>
      <c r="AQ420" s="42"/>
      <c r="AR420" s="42"/>
      <c r="AS420" s="50"/>
      <c r="AT420" s="39"/>
      <c r="AU420" s="39"/>
      <c r="AV420" s="49"/>
      <c r="AW420" s="39"/>
      <c r="AX420" s="39">
        <v>10</v>
      </c>
      <c r="AY420" s="30">
        <f>(J420*10)/100</f>
        <v>54262890.990000002</v>
      </c>
      <c r="AZ420" s="42"/>
    </row>
    <row r="421" spans="1:52" ht="15.75" customHeight="1" x14ac:dyDescent="0.25">
      <c r="A421" s="61" t="s">
        <v>2196</v>
      </c>
      <c r="B421" s="62">
        <v>45344</v>
      </c>
      <c r="C421" s="39">
        <v>1512</v>
      </c>
      <c r="D421" s="37"/>
      <c r="E421" s="42"/>
      <c r="F421" s="38"/>
      <c r="G421" s="39"/>
      <c r="H421" s="42"/>
      <c r="I421" s="64" t="s">
        <v>2191</v>
      </c>
      <c r="J421" s="63">
        <v>145567236.30000001</v>
      </c>
      <c r="K421" s="43">
        <v>0</v>
      </c>
      <c r="L421" s="56">
        <v>0</v>
      </c>
      <c r="M421" s="56">
        <v>0</v>
      </c>
      <c r="N421" s="44">
        <f t="shared" si="81"/>
        <v>100</v>
      </c>
      <c r="O421" s="45">
        <f t="shared" si="75"/>
        <v>145567236.30000001</v>
      </c>
      <c r="P421" s="43"/>
      <c r="Q421" s="45">
        <f t="shared" si="76"/>
        <v>145567236.30000001</v>
      </c>
      <c r="R421" s="43">
        <v>0</v>
      </c>
      <c r="S421" s="30">
        <f t="shared" si="80"/>
        <v>0</v>
      </c>
      <c r="T421" s="30">
        <f t="shared" si="80"/>
        <v>0</v>
      </c>
      <c r="U421" s="30" t="e">
        <f>T421/X421</f>
        <v>#DIV/0!</v>
      </c>
      <c r="V421" s="43" t="e">
        <f>T421/X421</f>
        <v>#DIV/0!</v>
      </c>
      <c r="W421" s="43" t="e">
        <f t="shared" si="72"/>
        <v>#DIV/0!</v>
      </c>
      <c r="X421" s="43">
        <f t="shared" si="77"/>
        <v>0</v>
      </c>
      <c r="Y421" s="43">
        <v>0</v>
      </c>
      <c r="Z421" s="43">
        <v>0</v>
      </c>
      <c r="AA421" s="43">
        <v>0</v>
      </c>
      <c r="AB421" s="43"/>
      <c r="AC421" s="43" t="e">
        <f t="shared" si="73"/>
        <v>#DIV/0!</v>
      </c>
      <c r="AD421" s="43"/>
      <c r="AE421" s="43" t="e">
        <f t="shared" si="74"/>
        <v>#DIV/0!</v>
      </c>
      <c r="AF421" s="43" t="e">
        <f t="shared" si="78"/>
        <v>#DIV/0!</v>
      </c>
      <c r="AG421" s="43" t="e">
        <f t="shared" si="79"/>
        <v>#DIV/0!</v>
      </c>
      <c r="AH421" s="38"/>
      <c r="AI421" s="38"/>
      <c r="AJ421" s="38"/>
      <c r="AK421" s="38"/>
      <c r="AL421" s="38"/>
      <c r="AM421" s="48"/>
      <c r="AN421" s="42"/>
      <c r="AO421" s="42"/>
      <c r="AP421" s="42"/>
      <c r="AQ421" s="42"/>
      <c r="AR421" s="42"/>
      <c r="AS421" s="50"/>
      <c r="AT421" s="39"/>
      <c r="AU421" s="39"/>
      <c r="AV421" s="49"/>
      <c r="AW421" s="39"/>
      <c r="AX421" s="39">
        <v>10</v>
      </c>
      <c r="AY421" s="30">
        <f>(J421*10)/100</f>
        <v>14556723.630000001</v>
      </c>
      <c r="AZ421" s="42"/>
    </row>
    <row r="422" spans="1:52" ht="15.75" customHeight="1" x14ac:dyDescent="0.25">
      <c r="A422" s="61" t="s">
        <v>2197</v>
      </c>
      <c r="B422" s="62">
        <v>45344</v>
      </c>
      <c r="C422" s="39">
        <v>1416</v>
      </c>
      <c r="D422" s="37"/>
      <c r="E422" s="42"/>
      <c r="F422" s="38"/>
      <c r="G422" s="39"/>
      <c r="H422" s="42"/>
      <c r="I422" s="64" t="s">
        <v>2198</v>
      </c>
      <c r="J422" s="63">
        <v>173661265.13999999</v>
      </c>
      <c r="K422" s="43">
        <v>0</v>
      </c>
      <c r="L422" s="56">
        <v>0</v>
      </c>
      <c r="M422" s="56">
        <v>0</v>
      </c>
      <c r="N422" s="44">
        <f t="shared" si="81"/>
        <v>100</v>
      </c>
      <c r="O422" s="45">
        <f t="shared" si="75"/>
        <v>173661265.13999999</v>
      </c>
      <c r="P422" s="43"/>
      <c r="Q422" s="45">
        <f t="shared" si="76"/>
        <v>173661265.13999999</v>
      </c>
      <c r="R422" s="43">
        <v>0</v>
      </c>
      <c r="S422" s="30">
        <f t="shared" si="80"/>
        <v>0</v>
      </c>
      <c r="T422" s="30">
        <f t="shared" si="80"/>
        <v>0</v>
      </c>
      <c r="U422" s="30" t="e">
        <f>T422/X422</f>
        <v>#DIV/0!</v>
      </c>
      <c r="V422" s="43" t="e">
        <f>T422/X422</f>
        <v>#DIV/0!</v>
      </c>
      <c r="W422" s="43" t="e">
        <f t="shared" si="72"/>
        <v>#DIV/0!</v>
      </c>
      <c r="X422" s="43">
        <f t="shared" si="77"/>
        <v>0</v>
      </c>
      <c r="Y422" s="43">
        <v>0</v>
      </c>
      <c r="Z422" s="43">
        <v>0</v>
      </c>
      <c r="AA422" s="43">
        <v>0</v>
      </c>
      <c r="AB422" s="43"/>
      <c r="AC422" s="43" t="e">
        <f t="shared" si="73"/>
        <v>#DIV/0!</v>
      </c>
      <c r="AD422" s="43"/>
      <c r="AE422" s="43" t="e">
        <f t="shared" si="74"/>
        <v>#DIV/0!</v>
      </c>
      <c r="AF422" s="43" t="e">
        <f t="shared" si="78"/>
        <v>#DIV/0!</v>
      </c>
      <c r="AG422" s="43" t="e">
        <f t="shared" si="79"/>
        <v>#DIV/0!</v>
      </c>
      <c r="AH422" s="38"/>
      <c r="AI422" s="38"/>
      <c r="AJ422" s="38"/>
      <c r="AK422" s="38"/>
      <c r="AL422" s="38"/>
      <c r="AM422" s="48"/>
      <c r="AN422" s="42"/>
      <c r="AO422" s="42"/>
      <c r="AP422" s="42"/>
      <c r="AQ422" s="42"/>
      <c r="AR422" s="42"/>
      <c r="AS422" s="50"/>
      <c r="AT422" s="39"/>
      <c r="AU422" s="39"/>
      <c r="AV422" s="49"/>
      <c r="AW422" s="39"/>
      <c r="AX422" s="39">
        <v>10</v>
      </c>
      <c r="AY422" s="30">
        <f>(J422*10)/100</f>
        <v>17366126.513999999</v>
      </c>
      <c r="AZ422" s="42"/>
    </row>
    <row r="423" spans="1:52" ht="15.75" customHeight="1" x14ac:dyDescent="0.25">
      <c r="A423" s="46"/>
      <c r="B423" s="38"/>
      <c r="C423" s="39"/>
      <c r="D423" s="37"/>
      <c r="E423" s="42"/>
      <c r="F423" s="38"/>
      <c r="G423" s="39"/>
      <c r="H423" s="42"/>
      <c r="I423" s="42"/>
      <c r="J423" s="43">
        <v>0</v>
      </c>
      <c r="K423" s="43">
        <v>0</v>
      </c>
      <c r="L423" s="56">
        <v>0</v>
      </c>
      <c r="M423" s="56">
        <v>0</v>
      </c>
      <c r="N423" s="44" t="e">
        <f t="shared" si="81"/>
        <v>#DIV/0!</v>
      </c>
      <c r="O423" s="45">
        <f t="shared" si="75"/>
        <v>0</v>
      </c>
      <c r="P423" s="43"/>
      <c r="Q423" s="45">
        <f t="shared" si="76"/>
        <v>0</v>
      </c>
      <c r="R423" s="43">
        <v>0</v>
      </c>
      <c r="S423" s="30">
        <f t="shared" si="80"/>
        <v>0</v>
      </c>
      <c r="T423" s="30">
        <f t="shared" si="80"/>
        <v>0</v>
      </c>
      <c r="U423" s="30" t="e">
        <f>T423/X423</f>
        <v>#DIV/0!</v>
      </c>
      <c r="V423" s="43" t="e">
        <f>T423/X423</f>
        <v>#DIV/0!</v>
      </c>
      <c r="W423" s="43" t="e">
        <f t="shared" si="72"/>
        <v>#DIV/0!</v>
      </c>
      <c r="X423" s="43">
        <f t="shared" si="77"/>
        <v>0</v>
      </c>
      <c r="Y423" s="43">
        <v>0</v>
      </c>
      <c r="Z423" s="43">
        <v>0</v>
      </c>
      <c r="AA423" s="43">
        <v>0</v>
      </c>
      <c r="AB423" s="43"/>
      <c r="AC423" s="43" t="e">
        <f t="shared" si="73"/>
        <v>#DIV/0!</v>
      </c>
      <c r="AD423" s="43"/>
      <c r="AE423" s="43" t="e">
        <f t="shared" si="74"/>
        <v>#DIV/0!</v>
      </c>
      <c r="AF423" s="43" t="e">
        <f t="shared" si="78"/>
        <v>#DIV/0!</v>
      </c>
      <c r="AG423" s="43" t="e">
        <f t="shared" si="79"/>
        <v>#DIV/0!</v>
      </c>
      <c r="AH423" s="38"/>
      <c r="AI423" s="38"/>
      <c r="AJ423" s="38"/>
      <c r="AK423" s="38"/>
      <c r="AL423" s="38"/>
      <c r="AM423" s="48"/>
      <c r="AN423" s="42"/>
      <c r="AO423" s="42"/>
      <c r="AP423" s="42"/>
      <c r="AQ423" s="42"/>
      <c r="AR423" s="42"/>
      <c r="AS423" s="50"/>
      <c r="AT423" s="39"/>
      <c r="AU423" s="39"/>
      <c r="AV423" s="49"/>
      <c r="AW423" s="39"/>
      <c r="AX423" s="39">
        <v>10</v>
      </c>
      <c r="AY423" s="30">
        <f>(J423*10)/100</f>
        <v>0</v>
      </c>
      <c r="AZ423" s="42"/>
    </row>
    <row r="424" spans="1:52" ht="15.75" customHeight="1" x14ac:dyDescent="0.25">
      <c r="A424" s="46"/>
      <c r="B424" s="38"/>
      <c r="C424" s="39"/>
      <c r="D424" s="37"/>
      <c r="E424" s="42"/>
      <c r="F424" s="38"/>
      <c r="G424" s="39"/>
      <c r="H424" s="42"/>
      <c r="I424" s="42"/>
      <c r="J424" s="43">
        <v>0</v>
      </c>
      <c r="K424" s="43">
        <v>0</v>
      </c>
      <c r="L424" s="56">
        <v>0</v>
      </c>
      <c r="M424" s="56">
        <v>0</v>
      </c>
      <c r="N424" s="44" t="e">
        <f t="shared" si="81"/>
        <v>#DIV/0!</v>
      </c>
      <c r="O424" s="45">
        <f t="shared" si="75"/>
        <v>0</v>
      </c>
      <c r="P424" s="43"/>
      <c r="Q424" s="45">
        <f t="shared" si="76"/>
        <v>0</v>
      </c>
      <c r="R424" s="43">
        <v>0</v>
      </c>
      <c r="S424" s="30">
        <f t="shared" si="80"/>
        <v>0</v>
      </c>
      <c r="T424" s="30">
        <f t="shared" si="80"/>
        <v>0</v>
      </c>
      <c r="U424" s="30" t="e">
        <f>T424/X424</f>
        <v>#DIV/0!</v>
      </c>
      <c r="V424" s="43" t="e">
        <f>T424/X424</f>
        <v>#DIV/0!</v>
      </c>
      <c r="W424" s="43" t="e">
        <f t="shared" si="72"/>
        <v>#DIV/0!</v>
      </c>
      <c r="X424" s="43">
        <f t="shared" si="77"/>
        <v>0</v>
      </c>
      <c r="Y424" s="43">
        <v>0</v>
      </c>
      <c r="Z424" s="43">
        <v>0</v>
      </c>
      <c r="AA424" s="43">
        <v>0</v>
      </c>
      <c r="AB424" s="43"/>
      <c r="AC424" s="43" t="e">
        <f t="shared" si="73"/>
        <v>#DIV/0!</v>
      </c>
      <c r="AD424" s="43"/>
      <c r="AE424" s="43" t="e">
        <f t="shared" si="74"/>
        <v>#DIV/0!</v>
      </c>
      <c r="AF424" s="43" t="e">
        <f t="shared" si="78"/>
        <v>#DIV/0!</v>
      </c>
      <c r="AG424" s="43" t="e">
        <f t="shared" si="79"/>
        <v>#DIV/0!</v>
      </c>
      <c r="AH424" s="38"/>
      <c r="AI424" s="38"/>
      <c r="AJ424" s="38"/>
      <c r="AK424" s="38"/>
      <c r="AL424" s="38"/>
      <c r="AM424" s="48"/>
      <c r="AN424" s="42"/>
      <c r="AO424" s="42"/>
      <c r="AP424" s="42"/>
      <c r="AQ424" s="42"/>
      <c r="AR424" s="42"/>
      <c r="AS424" s="50"/>
      <c r="AT424" s="39"/>
      <c r="AU424" s="39"/>
      <c r="AV424" s="49"/>
      <c r="AW424" s="39"/>
      <c r="AX424" s="39">
        <v>10</v>
      </c>
      <c r="AY424" s="30">
        <f>(J424*10)/100</f>
        <v>0</v>
      </c>
      <c r="AZ424" s="42"/>
    </row>
    <row r="425" spans="1:52" ht="15.75" customHeight="1" x14ac:dyDescent="0.25">
      <c r="A425" s="46"/>
      <c r="B425" s="38"/>
      <c r="C425" s="39"/>
      <c r="D425" s="37"/>
      <c r="E425" s="42"/>
      <c r="F425" s="38"/>
      <c r="G425" s="39"/>
      <c r="H425" s="42"/>
      <c r="I425" s="42"/>
      <c r="J425" s="43">
        <v>0</v>
      </c>
      <c r="K425" s="43">
        <v>0</v>
      </c>
      <c r="L425" s="56">
        <v>0</v>
      </c>
      <c r="M425" s="56">
        <v>0</v>
      </c>
      <c r="N425" s="44" t="e">
        <f t="shared" si="81"/>
        <v>#DIV/0!</v>
      </c>
      <c r="O425" s="45">
        <f t="shared" si="75"/>
        <v>0</v>
      </c>
      <c r="P425" s="43"/>
      <c r="Q425" s="45">
        <f t="shared" si="76"/>
        <v>0</v>
      </c>
      <c r="R425" s="43">
        <v>0</v>
      </c>
      <c r="S425" s="30">
        <f t="shared" si="80"/>
        <v>0</v>
      </c>
      <c r="T425" s="30">
        <f t="shared" si="80"/>
        <v>0</v>
      </c>
      <c r="U425" s="30" t="e">
        <f>T425/X425</f>
        <v>#DIV/0!</v>
      </c>
      <c r="V425" s="43" t="e">
        <f>T425/X425</f>
        <v>#DIV/0!</v>
      </c>
      <c r="W425" s="43" t="e">
        <f t="shared" si="72"/>
        <v>#DIV/0!</v>
      </c>
      <c r="X425" s="43">
        <f t="shared" si="77"/>
        <v>0</v>
      </c>
      <c r="Y425" s="43">
        <v>0</v>
      </c>
      <c r="Z425" s="43">
        <v>0</v>
      </c>
      <c r="AA425" s="43">
        <v>0</v>
      </c>
      <c r="AB425" s="43"/>
      <c r="AC425" s="43" t="e">
        <f t="shared" si="73"/>
        <v>#DIV/0!</v>
      </c>
      <c r="AD425" s="43"/>
      <c r="AE425" s="43" t="e">
        <f t="shared" si="74"/>
        <v>#DIV/0!</v>
      </c>
      <c r="AF425" s="43" t="e">
        <f t="shared" si="78"/>
        <v>#DIV/0!</v>
      </c>
      <c r="AG425" s="43" t="e">
        <f t="shared" si="79"/>
        <v>#DIV/0!</v>
      </c>
      <c r="AH425" s="38"/>
      <c r="AI425" s="38"/>
      <c r="AJ425" s="38"/>
      <c r="AK425" s="38"/>
      <c r="AL425" s="38"/>
      <c r="AM425" s="48"/>
      <c r="AN425" s="42"/>
      <c r="AO425" s="42"/>
      <c r="AP425" s="42"/>
      <c r="AQ425" s="42"/>
      <c r="AR425" s="42"/>
      <c r="AS425" s="50"/>
      <c r="AT425" s="39"/>
      <c r="AU425" s="39"/>
      <c r="AV425" s="49"/>
      <c r="AW425" s="39"/>
      <c r="AX425" s="39">
        <v>10</v>
      </c>
      <c r="AY425" s="30">
        <f>(J425*10)/100</f>
        <v>0</v>
      </c>
      <c r="AZ425" s="42"/>
    </row>
    <row r="426" spans="1:52" ht="15.75" customHeight="1" x14ac:dyDescent="0.25">
      <c r="A426" s="46"/>
      <c r="B426" s="38"/>
      <c r="C426" s="39"/>
      <c r="D426" s="37"/>
      <c r="E426" s="42"/>
      <c r="F426" s="38"/>
      <c r="G426" s="39"/>
      <c r="H426" s="42"/>
      <c r="I426" s="42"/>
      <c r="J426" s="43">
        <v>0</v>
      </c>
      <c r="K426" s="43">
        <v>0</v>
      </c>
      <c r="L426" s="56">
        <v>0</v>
      </c>
      <c r="M426" s="56">
        <v>0</v>
      </c>
      <c r="N426" s="44" t="e">
        <f t="shared" si="81"/>
        <v>#DIV/0!</v>
      </c>
      <c r="O426" s="45">
        <f t="shared" si="75"/>
        <v>0</v>
      </c>
      <c r="P426" s="43"/>
      <c r="Q426" s="45">
        <f t="shared" si="76"/>
        <v>0</v>
      </c>
      <c r="R426" s="43">
        <v>0</v>
      </c>
      <c r="S426" s="30">
        <f t="shared" si="80"/>
        <v>0</v>
      </c>
      <c r="T426" s="30">
        <f t="shared" si="80"/>
        <v>0</v>
      </c>
      <c r="U426" s="30" t="e">
        <f>T426/X426</f>
        <v>#DIV/0!</v>
      </c>
      <c r="V426" s="43" t="e">
        <f>T426/X426</f>
        <v>#DIV/0!</v>
      </c>
      <c r="W426" s="43" t="e">
        <f t="shared" si="72"/>
        <v>#DIV/0!</v>
      </c>
      <c r="X426" s="43">
        <f t="shared" si="77"/>
        <v>0</v>
      </c>
      <c r="Y426" s="43">
        <v>0</v>
      </c>
      <c r="Z426" s="43">
        <v>0</v>
      </c>
      <c r="AA426" s="43">
        <v>0</v>
      </c>
      <c r="AB426" s="43"/>
      <c r="AC426" s="43" t="e">
        <f t="shared" si="73"/>
        <v>#DIV/0!</v>
      </c>
      <c r="AD426" s="43"/>
      <c r="AE426" s="43" t="e">
        <f t="shared" si="74"/>
        <v>#DIV/0!</v>
      </c>
      <c r="AF426" s="43" t="e">
        <f t="shared" si="78"/>
        <v>#DIV/0!</v>
      </c>
      <c r="AG426" s="43" t="e">
        <f t="shared" si="79"/>
        <v>#DIV/0!</v>
      </c>
      <c r="AH426" s="38"/>
      <c r="AI426" s="38"/>
      <c r="AJ426" s="38"/>
      <c r="AK426" s="38"/>
      <c r="AL426" s="38"/>
      <c r="AM426" s="48"/>
      <c r="AN426" s="42"/>
      <c r="AO426" s="42"/>
      <c r="AP426" s="42"/>
      <c r="AQ426" s="42"/>
      <c r="AR426" s="42"/>
      <c r="AS426" s="50"/>
      <c r="AT426" s="39"/>
      <c r="AU426" s="39"/>
      <c r="AV426" s="49"/>
      <c r="AW426" s="39"/>
      <c r="AX426" s="39">
        <v>10</v>
      </c>
      <c r="AY426" s="30">
        <f>(J426*10)/100</f>
        <v>0</v>
      </c>
      <c r="AZ426" s="42"/>
    </row>
    <row r="427" spans="1:52" ht="15.75" customHeight="1" x14ac:dyDescent="0.25">
      <c r="A427" s="46"/>
      <c r="B427" s="38"/>
      <c r="C427" s="39"/>
      <c r="D427" s="37"/>
      <c r="E427" s="42"/>
      <c r="F427" s="38"/>
      <c r="G427" s="39"/>
      <c r="H427" s="42"/>
      <c r="I427" s="42"/>
      <c r="J427" s="43">
        <v>0</v>
      </c>
      <c r="K427" s="43">
        <v>0</v>
      </c>
      <c r="L427" s="56">
        <v>0</v>
      </c>
      <c r="M427" s="56">
        <v>0</v>
      </c>
      <c r="N427" s="44" t="e">
        <f t="shared" si="81"/>
        <v>#DIV/0!</v>
      </c>
      <c r="O427" s="45">
        <f t="shared" si="75"/>
        <v>0</v>
      </c>
      <c r="P427" s="43"/>
      <c r="Q427" s="45">
        <f t="shared" si="76"/>
        <v>0</v>
      </c>
      <c r="R427" s="43">
        <v>0</v>
      </c>
      <c r="S427" s="30">
        <f t="shared" si="80"/>
        <v>0</v>
      </c>
      <c r="T427" s="30">
        <f t="shared" si="80"/>
        <v>0</v>
      </c>
      <c r="U427" s="30" t="e">
        <f>T427/X427</f>
        <v>#DIV/0!</v>
      </c>
      <c r="V427" s="43" t="e">
        <f>T427/X427</f>
        <v>#DIV/0!</v>
      </c>
      <c r="W427" s="43" t="e">
        <f t="shared" si="72"/>
        <v>#DIV/0!</v>
      </c>
      <c r="X427" s="43">
        <f t="shared" si="77"/>
        <v>0</v>
      </c>
      <c r="Y427" s="43">
        <v>0</v>
      </c>
      <c r="Z427" s="43">
        <v>0</v>
      </c>
      <c r="AA427" s="43">
        <v>0</v>
      </c>
      <c r="AB427" s="43"/>
      <c r="AC427" s="43" t="e">
        <f t="shared" si="73"/>
        <v>#DIV/0!</v>
      </c>
      <c r="AD427" s="43"/>
      <c r="AE427" s="43" t="e">
        <f t="shared" si="74"/>
        <v>#DIV/0!</v>
      </c>
      <c r="AF427" s="43" t="e">
        <f t="shared" si="78"/>
        <v>#DIV/0!</v>
      </c>
      <c r="AG427" s="43" t="e">
        <f t="shared" si="79"/>
        <v>#DIV/0!</v>
      </c>
      <c r="AH427" s="38"/>
      <c r="AI427" s="38"/>
      <c r="AJ427" s="38"/>
      <c r="AK427" s="38"/>
      <c r="AL427" s="38"/>
      <c r="AM427" s="48"/>
      <c r="AN427" s="42"/>
      <c r="AO427" s="42"/>
      <c r="AP427" s="42"/>
      <c r="AQ427" s="42"/>
      <c r="AR427" s="42"/>
      <c r="AS427" s="50"/>
      <c r="AT427" s="39"/>
      <c r="AU427" s="39"/>
      <c r="AV427" s="49"/>
      <c r="AW427" s="39"/>
      <c r="AX427" s="39">
        <v>10</v>
      </c>
      <c r="AY427" s="30">
        <f>(J427*10)/100</f>
        <v>0</v>
      </c>
      <c r="AZ427" s="42"/>
    </row>
    <row r="428" spans="1:52" ht="15.75" customHeight="1" x14ac:dyDescent="0.25">
      <c r="A428" s="46"/>
      <c r="B428" s="38"/>
      <c r="C428" s="39"/>
      <c r="D428" s="37"/>
      <c r="E428" s="42"/>
      <c r="F428" s="38"/>
      <c r="G428" s="39"/>
      <c r="H428" s="42"/>
      <c r="I428" s="42"/>
      <c r="J428" s="43">
        <v>0</v>
      </c>
      <c r="K428" s="43">
        <v>0</v>
      </c>
      <c r="L428" s="56">
        <v>0</v>
      </c>
      <c r="M428" s="56">
        <v>0</v>
      </c>
      <c r="N428" s="44" t="e">
        <f t="shared" si="81"/>
        <v>#DIV/0!</v>
      </c>
      <c r="O428" s="45">
        <f t="shared" si="75"/>
        <v>0</v>
      </c>
      <c r="P428" s="43"/>
      <c r="Q428" s="45">
        <f t="shared" si="76"/>
        <v>0</v>
      </c>
      <c r="R428" s="43">
        <v>0</v>
      </c>
      <c r="S428" s="30">
        <f t="shared" si="80"/>
        <v>0</v>
      </c>
      <c r="T428" s="30">
        <f t="shared" si="80"/>
        <v>0</v>
      </c>
      <c r="U428" s="30" t="e">
        <f>T428/X428</f>
        <v>#DIV/0!</v>
      </c>
      <c r="V428" s="43" t="e">
        <f>T428/X428</f>
        <v>#DIV/0!</v>
      </c>
      <c r="W428" s="43" t="e">
        <f t="shared" si="72"/>
        <v>#DIV/0!</v>
      </c>
      <c r="X428" s="43">
        <f t="shared" si="77"/>
        <v>0</v>
      </c>
      <c r="Y428" s="43">
        <v>0</v>
      </c>
      <c r="Z428" s="43">
        <v>0</v>
      </c>
      <c r="AA428" s="43">
        <v>0</v>
      </c>
      <c r="AB428" s="43"/>
      <c r="AC428" s="43" t="e">
        <f t="shared" si="73"/>
        <v>#DIV/0!</v>
      </c>
      <c r="AD428" s="43"/>
      <c r="AE428" s="43" t="e">
        <f t="shared" si="74"/>
        <v>#DIV/0!</v>
      </c>
      <c r="AF428" s="43" t="e">
        <f t="shared" si="78"/>
        <v>#DIV/0!</v>
      </c>
      <c r="AG428" s="43" t="e">
        <f t="shared" si="79"/>
        <v>#DIV/0!</v>
      </c>
      <c r="AH428" s="38"/>
      <c r="AI428" s="38"/>
      <c r="AJ428" s="38"/>
      <c r="AK428" s="38"/>
      <c r="AL428" s="38"/>
      <c r="AM428" s="48"/>
      <c r="AN428" s="42"/>
      <c r="AO428" s="42"/>
      <c r="AP428" s="42"/>
      <c r="AQ428" s="42"/>
      <c r="AR428" s="42"/>
      <c r="AS428" s="50"/>
      <c r="AT428" s="39"/>
      <c r="AU428" s="39"/>
      <c r="AV428" s="49"/>
      <c r="AW428" s="39"/>
      <c r="AX428" s="39">
        <v>10</v>
      </c>
      <c r="AY428" s="30">
        <f>(J428*10)/100</f>
        <v>0</v>
      </c>
      <c r="AZ428" s="42"/>
    </row>
    <row r="429" spans="1:52" ht="15.75" customHeight="1" x14ac:dyDescent="0.25">
      <c r="A429" s="46"/>
      <c r="B429" s="38"/>
      <c r="C429" s="39"/>
      <c r="D429" s="37"/>
      <c r="E429" s="42"/>
      <c r="F429" s="38"/>
      <c r="G429" s="39"/>
      <c r="H429" s="42"/>
      <c r="I429" s="42"/>
      <c r="J429" s="43">
        <v>0</v>
      </c>
      <c r="K429" s="43">
        <v>0</v>
      </c>
      <c r="L429" s="56">
        <v>0</v>
      </c>
      <c r="M429" s="56">
        <v>0</v>
      </c>
      <c r="N429" s="44" t="e">
        <f t="shared" si="81"/>
        <v>#DIV/0!</v>
      </c>
      <c r="O429" s="45">
        <f t="shared" si="75"/>
        <v>0</v>
      </c>
      <c r="P429" s="43"/>
      <c r="Q429" s="45">
        <f t="shared" si="76"/>
        <v>0</v>
      </c>
      <c r="R429" s="43">
        <v>0</v>
      </c>
      <c r="S429" s="30">
        <f t="shared" si="80"/>
        <v>0</v>
      </c>
      <c r="T429" s="30">
        <f t="shared" si="80"/>
        <v>0</v>
      </c>
      <c r="U429" s="30" t="e">
        <f>T429/X429</f>
        <v>#DIV/0!</v>
      </c>
      <c r="V429" s="43" t="e">
        <f>T429/X429</f>
        <v>#DIV/0!</v>
      </c>
      <c r="W429" s="43" t="e">
        <f t="shared" si="72"/>
        <v>#DIV/0!</v>
      </c>
      <c r="X429" s="43">
        <f t="shared" si="77"/>
        <v>0</v>
      </c>
      <c r="Y429" s="43">
        <v>0</v>
      </c>
      <c r="Z429" s="43">
        <v>0</v>
      </c>
      <c r="AA429" s="43">
        <v>0</v>
      </c>
      <c r="AB429" s="43"/>
      <c r="AC429" s="43" t="e">
        <f t="shared" si="73"/>
        <v>#DIV/0!</v>
      </c>
      <c r="AD429" s="43"/>
      <c r="AE429" s="43" t="e">
        <f t="shared" si="74"/>
        <v>#DIV/0!</v>
      </c>
      <c r="AF429" s="43" t="e">
        <f t="shared" si="78"/>
        <v>#DIV/0!</v>
      </c>
      <c r="AG429" s="43" t="e">
        <f t="shared" si="79"/>
        <v>#DIV/0!</v>
      </c>
      <c r="AH429" s="38"/>
      <c r="AI429" s="38"/>
      <c r="AJ429" s="38"/>
      <c r="AK429" s="38"/>
      <c r="AL429" s="38"/>
      <c r="AM429" s="48"/>
      <c r="AN429" s="42"/>
      <c r="AO429" s="42"/>
      <c r="AP429" s="42"/>
      <c r="AQ429" s="42"/>
      <c r="AR429" s="42"/>
      <c r="AS429" s="50"/>
      <c r="AT429" s="39"/>
      <c r="AU429" s="39"/>
      <c r="AV429" s="49"/>
      <c r="AW429" s="39"/>
      <c r="AX429" s="39">
        <v>10</v>
      </c>
      <c r="AY429" s="30">
        <f>(J429*10)/100</f>
        <v>0</v>
      </c>
      <c r="AZ429" s="42"/>
    </row>
    <row r="430" spans="1:52" ht="15.75" customHeight="1" x14ac:dyDescent="0.25">
      <c r="A430" s="46"/>
      <c r="B430" s="38"/>
      <c r="C430" s="39"/>
      <c r="D430" s="37"/>
      <c r="E430" s="42"/>
      <c r="F430" s="38"/>
      <c r="G430" s="39"/>
      <c r="H430" s="42"/>
      <c r="I430" s="42"/>
      <c r="J430" s="43">
        <v>0</v>
      </c>
      <c r="K430" s="43">
        <v>0</v>
      </c>
      <c r="L430" s="56">
        <v>0</v>
      </c>
      <c r="M430" s="56">
        <v>0</v>
      </c>
      <c r="N430" s="44" t="e">
        <f t="shared" si="81"/>
        <v>#DIV/0!</v>
      </c>
      <c r="O430" s="45">
        <f t="shared" si="75"/>
        <v>0</v>
      </c>
      <c r="P430" s="43"/>
      <c r="Q430" s="45">
        <f t="shared" si="76"/>
        <v>0</v>
      </c>
      <c r="R430" s="43">
        <v>0</v>
      </c>
      <c r="S430" s="30">
        <f t="shared" si="80"/>
        <v>0</v>
      </c>
      <c r="T430" s="30">
        <f t="shared" si="80"/>
        <v>0</v>
      </c>
      <c r="U430" s="30" t="e">
        <f>T430/X430</f>
        <v>#DIV/0!</v>
      </c>
      <c r="V430" s="43" t="e">
        <f>T430/X430</f>
        <v>#DIV/0!</v>
      </c>
      <c r="W430" s="43" t="e">
        <f t="shared" si="72"/>
        <v>#DIV/0!</v>
      </c>
      <c r="X430" s="43">
        <f t="shared" si="77"/>
        <v>0</v>
      </c>
      <c r="Y430" s="43">
        <v>0</v>
      </c>
      <c r="Z430" s="43">
        <v>0</v>
      </c>
      <c r="AA430" s="43">
        <v>0</v>
      </c>
      <c r="AB430" s="43"/>
      <c r="AC430" s="43" t="e">
        <f t="shared" si="73"/>
        <v>#DIV/0!</v>
      </c>
      <c r="AD430" s="43"/>
      <c r="AE430" s="43" t="e">
        <f t="shared" si="74"/>
        <v>#DIV/0!</v>
      </c>
      <c r="AF430" s="43" t="e">
        <f t="shared" si="78"/>
        <v>#DIV/0!</v>
      </c>
      <c r="AG430" s="43" t="e">
        <f t="shared" si="79"/>
        <v>#DIV/0!</v>
      </c>
      <c r="AH430" s="38"/>
      <c r="AI430" s="38"/>
      <c r="AJ430" s="38"/>
      <c r="AK430" s="38"/>
      <c r="AL430" s="38"/>
      <c r="AM430" s="48"/>
      <c r="AN430" s="42"/>
      <c r="AO430" s="42"/>
      <c r="AP430" s="42"/>
      <c r="AQ430" s="42"/>
      <c r="AR430" s="42"/>
      <c r="AS430" s="50"/>
      <c r="AT430" s="39"/>
      <c r="AU430" s="39"/>
      <c r="AV430" s="49"/>
      <c r="AW430" s="39"/>
      <c r="AX430" s="39">
        <v>10</v>
      </c>
      <c r="AY430" s="30">
        <f>(J430*10)/100</f>
        <v>0</v>
      </c>
      <c r="AZ430" s="42"/>
    </row>
    <row r="431" spans="1:52" ht="15.75" customHeight="1" x14ac:dyDescent="0.25">
      <c r="A431" s="46"/>
      <c r="B431" s="38"/>
      <c r="C431" s="39"/>
      <c r="D431" s="37"/>
      <c r="E431" s="42"/>
      <c r="F431" s="38"/>
      <c r="G431" s="39"/>
      <c r="H431" s="42"/>
      <c r="I431" s="42"/>
      <c r="J431" s="43">
        <v>0</v>
      </c>
      <c r="K431" s="43">
        <v>0</v>
      </c>
      <c r="L431" s="56">
        <v>0</v>
      </c>
      <c r="M431" s="56">
        <v>0</v>
      </c>
      <c r="N431" s="44" t="e">
        <f t="shared" si="81"/>
        <v>#DIV/0!</v>
      </c>
      <c r="O431" s="45">
        <f t="shared" si="75"/>
        <v>0</v>
      </c>
      <c r="P431" s="43"/>
      <c r="Q431" s="45">
        <f t="shared" si="76"/>
        <v>0</v>
      </c>
      <c r="R431" s="43">
        <v>0</v>
      </c>
      <c r="S431" s="30">
        <f t="shared" si="80"/>
        <v>0</v>
      </c>
      <c r="T431" s="30">
        <f t="shared" si="80"/>
        <v>0</v>
      </c>
      <c r="U431" s="30" t="e">
        <f>T431/X431</f>
        <v>#DIV/0!</v>
      </c>
      <c r="V431" s="43" t="e">
        <f>T431/X431</f>
        <v>#DIV/0!</v>
      </c>
      <c r="W431" s="43" t="e">
        <f t="shared" si="72"/>
        <v>#DIV/0!</v>
      </c>
      <c r="X431" s="43">
        <f t="shared" si="77"/>
        <v>0</v>
      </c>
      <c r="Y431" s="43">
        <v>0</v>
      </c>
      <c r="Z431" s="43">
        <v>0</v>
      </c>
      <c r="AA431" s="43">
        <v>0</v>
      </c>
      <c r="AB431" s="43"/>
      <c r="AC431" s="43" t="e">
        <f t="shared" si="73"/>
        <v>#DIV/0!</v>
      </c>
      <c r="AD431" s="43"/>
      <c r="AE431" s="43" t="e">
        <f t="shared" si="74"/>
        <v>#DIV/0!</v>
      </c>
      <c r="AF431" s="43" t="e">
        <f t="shared" si="78"/>
        <v>#DIV/0!</v>
      </c>
      <c r="AG431" s="43" t="e">
        <f t="shared" si="79"/>
        <v>#DIV/0!</v>
      </c>
      <c r="AH431" s="38"/>
      <c r="AI431" s="38"/>
      <c r="AJ431" s="38"/>
      <c r="AK431" s="38"/>
      <c r="AL431" s="38"/>
      <c r="AM431" s="48"/>
      <c r="AN431" s="42"/>
      <c r="AO431" s="42"/>
      <c r="AP431" s="42"/>
      <c r="AQ431" s="42"/>
      <c r="AR431" s="42"/>
      <c r="AS431" s="50"/>
      <c r="AT431" s="39"/>
      <c r="AU431" s="39"/>
      <c r="AV431" s="49"/>
      <c r="AW431" s="39"/>
      <c r="AX431" s="39">
        <v>10</v>
      </c>
      <c r="AY431" s="30">
        <f>(J431*10)/100</f>
        <v>0</v>
      </c>
      <c r="AZ431" s="42"/>
    </row>
    <row r="432" spans="1:52" ht="15.75" customHeight="1" x14ac:dyDescent="0.25">
      <c r="A432" s="46"/>
      <c r="B432" s="38"/>
      <c r="C432" s="39"/>
      <c r="D432" s="37"/>
      <c r="E432" s="42"/>
      <c r="F432" s="38"/>
      <c r="G432" s="39"/>
      <c r="H432" s="42"/>
      <c r="I432" s="42"/>
      <c r="J432" s="43">
        <v>0</v>
      </c>
      <c r="K432" s="43">
        <v>0</v>
      </c>
      <c r="L432" s="56">
        <v>0</v>
      </c>
      <c r="M432" s="56">
        <v>0</v>
      </c>
      <c r="N432" s="44" t="e">
        <f t="shared" si="81"/>
        <v>#DIV/0!</v>
      </c>
      <c r="O432" s="45">
        <f t="shared" si="75"/>
        <v>0</v>
      </c>
      <c r="P432" s="43"/>
      <c r="Q432" s="45">
        <f t="shared" si="76"/>
        <v>0</v>
      </c>
      <c r="R432" s="43">
        <v>0</v>
      </c>
      <c r="S432" s="30">
        <f t="shared" si="80"/>
        <v>0</v>
      </c>
      <c r="T432" s="30">
        <f t="shared" si="80"/>
        <v>0</v>
      </c>
      <c r="U432" s="30" t="e">
        <f>T432/X432</f>
        <v>#DIV/0!</v>
      </c>
      <c r="V432" s="43" t="e">
        <f>T432/X432</f>
        <v>#DIV/0!</v>
      </c>
      <c r="W432" s="43" t="e">
        <f t="shared" si="72"/>
        <v>#DIV/0!</v>
      </c>
      <c r="X432" s="43">
        <f t="shared" si="77"/>
        <v>0</v>
      </c>
      <c r="Y432" s="43">
        <v>0</v>
      </c>
      <c r="Z432" s="43">
        <v>0</v>
      </c>
      <c r="AA432" s="43">
        <v>0</v>
      </c>
      <c r="AB432" s="43"/>
      <c r="AC432" s="43" t="e">
        <f t="shared" si="73"/>
        <v>#DIV/0!</v>
      </c>
      <c r="AD432" s="43"/>
      <c r="AE432" s="43" t="e">
        <f t="shared" si="74"/>
        <v>#DIV/0!</v>
      </c>
      <c r="AF432" s="43" t="e">
        <f t="shared" si="78"/>
        <v>#DIV/0!</v>
      </c>
      <c r="AG432" s="43" t="e">
        <f t="shared" si="79"/>
        <v>#DIV/0!</v>
      </c>
      <c r="AH432" s="38"/>
      <c r="AI432" s="38"/>
      <c r="AJ432" s="38"/>
      <c r="AK432" s="38"/>
      <c r="AL432" s="38"/>
      <c r="AM432" s="48"/>
      <c r="AN432" s="42"/>
      <c r="AO432" s="42"/>
      <c r="AP432" s="42"/>
      <c r="AQ432" s="42"/>
      <c r="AR432" s="42"/>
      <c r="AS432" s="50"/>
      <c r="AT432" s="39"/>
      <c r="AU432" s="39"/>
      <c r="AV432" s="49"/>
      <c r="AW432" s="39"/>
      <c r="AX432" s="39">
        <v>10</v>
      </c>
      <c r="AY432" s="30">
        <f>(J432*10)/100</f>
        <v>0</v>
      </c>
      <c r="AZ432" s="42"/>
    </row>
    <row r="433" spans="1:52" ht="15.75" customHeight="1" x14ac:dyDescent="0.25">
      <c r="A433" s="46"/>
      <c r="B433" s="38"/>
      <c r="C433" s="39"/>
      <c r="D433" s="37"/>
      <c r="E433" s="42"/>
      <c r="F433" s="38"/>
      <c r="G433" s="39"/>
      <c r="H433" s="42"/>
      <c r="I433" s="42"/>
      <c r="J433" s="43">
        <v>0</v>
      </c>
      <c r="K433" s="43">
        <v>0</v>
      </c>
      <c r="L433" s="56">
        <v>0</v>
      </c>
      <c r="M433" s="56">
        <v>0</v>
      </c>
      <c r="N433" s="44" t="e">
        <f t="shared" si="81"/>
        <v>#DIV/0!</v>
      </c>
      <c r="O433" s="45">
        <f t="shared" si="75"/>
        <v>0</v>
      </c>
      <c r="P433" s="43"/>
      <c r="Q433" s="45">
        <f t="shared" si="76"/>
        <v>0</v>
      </c>
      <c r="R433" s="43">
        <v>0</v>
      </c>
      <c r="S433" s="30">
        <f t="shared" si="80"/>
        <v>0</v>
      </c>
      <c r="T433" s="30">
        <f t="shared" si="80"/>
        <v>0</v>
      </c>
      <c r="U433" s="30" t="e">
        <f>T433/X433</f>
        <v>#DIV/0!</v>
      </c>
      <c r="V433" s="43" t="e">
        <f>T433/X433</f>
        <v>#DIV/0!</v>
      </c>
      <c r="W433" s="43" t="e">
        <f t="shared" si="72"/>
        <v>#DIV/0!</v>
      </c>
      <c r="X433" s="43">
        <f t="shared" si="77"/>
        <v>0</v>
      </c>
      <c r="Y433" s="43">
        <v>0</v>
      </c>
      <c r="Z433" s="43">
        <v>0</v>
      </c>
      <c r="AA433" s="43">
        <v>0</v>
      </c>
      <c r="AB433" s="43"/>
      <c r="AC433" s="43" t="e">
        <f t="shared" si="73"/>
        <v>#DIV/0!</v>
      </c>
      <c r="AD433" s="43"/>
      <c r="AE433" s="43" t="e">
        <f t="shared" si="74"/>
        <v>#DIV/0!</v>
      </c>
      <c r="AF433" s="43" t="e">
        <f t="shared" si="78"/>
        <v>#DIV/0!</v>
      </c>
      <c r="AG433" s="43" t="e">
        <f t="shared" si="79"/>
        <v>#DIV/0!</v>
      </c>
      <c r="AH433" s="38"/>
      <c r="AI433" s="38"/>
      <c r="AJ433" s="38"/>
      <c r="AK433" s="38"/>
      <c r="AL433" s="38"/>
      <c r="AM433" s="48"/>
      <c r="AN433" s="42"/>
      <c r="AO433" s="42"/>
      <c r="AP433" s="42"/>
      <c r="AQ433" s="42"/>
      <c r="AR433" s="42"/>
      <c r="AS433" s="50"/>
      <c r="AT433" s="39"/>
      <c r="AU433" s="39"/>
      <c r="AV433" s="49"/>
      <c r="AW433" s="39"/>
      <c r="AX433" s="39">
        <v>10</v>
      </c>
      <c r="AY433" s="30">
        <f>(J433*10)/100</f>
        <v>0</v>
      </c>
      <c r="AZ433" s="42"/>
    </row>
    <row r="434" spans="1:52" ht="15.75" customHeight="1" x14ac:dyDescent="0.25">
      <c r="A434" s="46"/>
      <c r="B434" s="38"/>
      <c r="C434" s="39"/>
      <c r="D434" s="37"/>
      <c r="E434" s="42"/>
      <c r="F434" s="38"/>
      <c r="G434" s="39"/>
      <c r="H434" s="42"/>
      <c r="I434" s="42"/>
      <c r="J434" s="43">
        <v>0</v>
      </c>
      <c r="K434" s="43">
        <v>0</v>
      </c>
      <c r="L434" s="56">
        <v>0</v>
      </c>
      <c r="M434" s="56">
        <v>0</v>
      </c>
      <c r="N434" s="44" t="e">
        <f t="shared" si="81"/>
        <v>#DIV/0!</v>
      </c>
      <c r="O434" s="45">
        <f t="shared" si="75"/>
        <v>0</v>
      </c>
      <c r="P434" s="43"/>
      <c r="Q434" s="45">
        <f t="shared" si="76"/>
        <v>0</v>
      </c>
      <c r="R434" s="43">
        <v>0</v>
      </c>
      <c r="S434" s="30">
        <f t="shared" si="80"/>
        <v>0</v>
      </c>
      <c r="T434" s="30">
        <f t="shared" si="80"/>
        <v>0</v>
      </c>
      <c r="U434" s="30" t="e">
        <f>T434/X434</f>
        <v>#DIV/0!</v>
      </c>
      <c r="V434" s="43" t="e">
        <f>T434/X434</f>
        <v>#DIV/0!</v>
      </c>
      <c r="W434" s="43" t="e">
        <f t="shared" si="72"/>
        <v>#DIV/0!</v>
      </c>
      <c r="X434" s="43">
        <f t="shared" si="77"/>
        <v>0</v>
      </c>
      <c r="Y434" s="43">
        <v>0</v>
      </c>
      <c r="Z434" s="43">
        <v>0</v>
      </c>
      <c r="AA434" s="43">
        <v>0</v>
      </c>
      <c r="AB434" s="43"/>
      <c r="AC434" s="43" t="e">
        <f t="shared" si="73"/>
        <v>#DIV/0!</v>
      </c>
      <c r="AD434" s="43"/>
      <c r="AE434" s="43" t="e">
        <f t="shared" si="74"/>
        <v>#DIV/0!</v>
      </c>
      <c r="AF434" s="43" t="e">
        <f t="shared" si="78"/>
        <v>#DIV/0!</v>
      </c>
      <c r="AG434" s="43" t="e">
        <f t="shared" si="79"/>
        <v>#DIV/0!</v>
      </c>
      <c r="AH434" s="38"/>
      <c r="AI434" s="38"/>
      <c r="AJ434" s="38"/>
      <c r="AK434" s="38"/>
      <c r="AL434" s="38"/>
      <c r="AM434" s="48"/>
      <c r="AN434" s="42"/>
      <c r="AO434" s="42"/>
      <c r="AP434" s="42"/>
      <c r="AQ434" s="42"/>
      <c r="AR434" s="42"/>
      <c r="AS434" s="50"/>
      <c r="AT434" s="39"/>
      <c r="AU434" s="39"/>
      <c r="AV434" s="49"/>
      <c r="AW434" s="39"/>
      <c r="AX434" s="39">
        <v>10</v>
      </c>
      <c r="AY434" s="30">
        <f>(J434*10)/100</f>
        <v>0</v>
      </c>
      <c r="AZ434" s="42"/>
    </row>
    <row r="435" spans="1:52" ht="15.75" customHeight="1" x14ac:dyDescent="0.25">
      <c r="A435" s="46"/>
      <c r="B435" s="38"/>
      <c r="C435" s="39"/>
      <c r="D435" s="37"/>
      <c r="E435" s="42"/>
      <c r="F435" s="38"/>
      <c r="G435" s="39"/>
      <c r="H435" s="42"/>
      <c r="I435" s="42"/>
      <c r="J435" s="43">
        <v>0</v>
      </c>
      <c r="K435" s="43">
        <v>0</v>
      </c>
      <c r="L435" s="56">
        <v>0</v>
      </c>
      <c r="M435" s="56">
        <v>0</v>
      </c>
      <c r="N435" s="44" t="e">
        <f t="shared" si="81"/>
        <v>#DIV/0!</v>
      </c>
      <c r="O435" s="45">
        <f t="shared" si="75"/>
        <v>0</v>
      </c>
      <c r="P435" s="43"/>
      <c r="Q435" s="45">
        <f t="shared" si="76"/>
        <v>0</v>
      </c>
      <c r="R435" s="43">
        <v>0</v>
      </c>
      <c r="S435" s="30">
        <f t="shared" si="80"/>
        <v>0</v>
      </c>
      <c r="T435" s="30">
        <f t="shared" si="80"/>
        <v>0</v>
      </c>
      <c r="U435" s="30" t="e">
        <f>T435/X435</f>
        <v>#DIV/0!</v>
      </c>
      <c r="V435" s="43" t="e">
        <f>T435/X435</f>
        <v>#DIV/0!</v>
      </c>
      <c r="W435" s="43" t="e">
        <f t="shared" si="72"/>
        <v>#DIV/0!</v>
      </c>
      <c r="X435" s="43">
        <f t="shared" si="77"/>
        <v>0</v>
      </c>
      <c r="Y435" s="43">
        <v>0</v>
      </c>
      <c r="Z435" s="43">
        <v>0</v>
      </c>
      <c r="AA435" s="43">
        <v>0</v>
      </c>
      <c r="AB435" s="43"/>
      <c r="AC435" s="43" t="e">
        <f t="shared" si="73"/>
        <v>#DIV/0!</v>
      </c>
      <c r="AD435" s="43"/>
      <c r="AE435" s="43" t="e">
        <f t="shared" si="74"/>
        <v>#DIV/0!</v>
      </c>
      <c r="AF435" s="43" t="e">
        <f t="shared" si="78"/>
        <v>#DIV/0!</v>
      </c>
      <c r="AG435" s="43" t="e">
        <f t="shared" si="79"/>
        <v>#DIV/0!</v>
      </c>
      <c r="AH435" s="38"/>
      <c r="AI435" s="38"/>
      <c r="AJ435" s="38"/>
      <c r="AK435" s="38"/>
      <c r="AL435" s="38"/>
      <c r="AM435" s="48"/>
      <c r="AN435" s="42"/>
      <c r="AO435" s="42"/>
      <c r="AP435" s="42"/>
      <c r="AQ435" s="42"/>
      <c r="AR435" s="42"/>
      <c r="AS435" s="50"/>
      <c r="AT435" s="39"/>
      <c r="AU435" s="39"/>
      <c r="AV435" s="49"/>
      <c r="AW435" s="39"/>
      <c r="AX435" s="39">
        <v>10</v>
      </c>
      <c r="AY435" s="30">
        <f>(J435*10)/100</f>
        <v>0</v>
      </c>
      <c r="AZ435" s="42"/>
    </row>
    <row r="436" spans="1:52" ht="15.75" customHeight="1" x14ac:dyDescent="0.25">
      <c r="A436" s="46"/>
      <c r="B436" s="38"/>
      <c r="C436" s="39"/>
      <c r="D436" s="37"/>
      <c r="E436" s="42"/>
      <c r="F436" s="38"/>
      <c r="G436" s="39"/>
      <c r="H436" s="42"/>
      <c r="I436" s="42"/>
      <c r="J436" s="43">
        <v>0</v>
      </c>
      <c r="K436" s="43">
        <v>0</v>
      </c>
      <c r="L436" s="56">
        <v>0</v>
      </c>
      <c r="M436" s="56">
        <v>0</v>
      </c>
      <c r="N436" s="44" t="e">
        <f t="shared" si="81"/>
        <v>#DIV/0!</v>
      </c>
      <c r="O436" s="45">
        <f t="shared" si="75"/>
        <v>0</v>
      </c>
      <c r="P436" s="43"/>
      <c r="Q436" s="45">
        <f t="shared" si="76"/>
        <v>0</v>
      </c>
      <c r="R436" s="43">
        <v>0</v>
      </c>
      <c r="S436" s="30">
        <f t="shared" si="80"/>
        <v>0</v>
      </c>
      <c r="T436" s="30">
        <f t="shared" si="80"/>
        <v>0</v>
      </c>
      <c r="U436" s="30" t="e">
        <f>T436/X436</f>
        <v>#DIV/0!</v>
      </c>
      <c r="V436" s="43" t="e">
        <f>T436/X436</f>
        <v>#DIV/0!</v>
      </c>
      <c r="W436" s="43" t="e">
        <f t="shared" si="72"/>
        <v>#DIV/0!</v>
      </c>
      <c r="X436" s="43">
        <f t="shared" si="77"/>
        <v>0</v>
      </c>
      <c r="Y436" s="43">
        <v>0</v>
      </c>
      <c r="Z436" s="43">
        <v>0</v>
      </c>
      <c r="AA436" s="43">
        <v>0</v>
      </c>
      <c r="AB436" s="43"/>
      <c r="AC436" s="43" t="e">
        <f t="shared" si="73"/>
        <v>#DIV/0!</v>
      </c>
      <c r="AD436" s="43"/>
      <c r="AE436" s="43" t="e">
        <f t="shared" si="74"/>
        <v>#DIV/0!</v>
      </c>
      <c r="AF436" s="43" t="e">
        <f t="shared" si="78"/>
        <v>#DIV/0!</v>
      </c>
      <c r="AG436" s="43" t="e">
        <f t="shared" si="79"/>
        <v>#DIV/0!</v>
      </c>
      <c r="AH436" s="38"/>
      <c r="AI436" s="38"/>
      <c r="AJ436" s="38"/>
      <c r="AK436" s="38"/>
      <c r="AL436" s="38"/>
      <c r="AM436" s="48"/>
      <c r="AN436" s="42"/>
      <c r="AO436" s="42"/>
      <c r="AP436" s="42"/>
      <c r="AQ436" s="42"/>
      <c r="AR436" s="42"/>
      <c r="AS436" s="50"/>
      <c r="AT436" s="39"/>
      <c r="AU436" s="39"/>
      <c r="AV436" s="49"/>
      <c r="AW436" s="39"/>
      <c r="AX436" s="39">
        <v>10</v>
      </c>
      <c r="AY436" s="30">
        <f>(J436*10)/100</f>
        <v>0</v>
      </c>
      <c r="AZ436" s="42"/>
    </row>
    <row r="437" spans="1:52" ht="15.75" customHeight="1" x14ac:dyDescent="0.25">
      <c r="A437" s="46"/>
      <c r="B437" s="38"/>
      <c r="C437" s="39"/>
      <c r="D437" s="37"/>
      <c r="E437" s="42"/>
      <c r="F437" s="38"/>
      <c r="G437" s="39"/>
      <c r="H437" s="42"/>
      <c r="I437" s="42"/>
      <c r="J437" s="43">
        <v>0</v>
      </c>
      <c r="K437" s="43">
        <v>0</v>
      </c>
      <c r="L437" s="56">
        <v>0</v>
      </c>
      <c r="M437" s="56">
        <v>0</v>
      </c>
      <c r="N437" s="44" t="e">
        <f t="shared" si="81"/>
        <v>#DIV/0!</v>
      </c>
      <c r="O437" s="45">
        <f t="shared" si="75"/>
        <v>0</v>
      </c>
      <c r="P437" s="43"/>
      <c r="Q437" s="45">
        <f t="shared" si="76"/>
        <v>0</v>
      </c>
      <c r="R437" s="43">
        <v>0</v>
      </c>
      <c r="S437" s="30">
        <f t="shared" si="80"/>
        <v>0</v>
      </c>
      <c r="T437" s="30">
        <f t="shared" si="80"/>
        <v>0</v>
      </c>
      <c r="U437" s="30" t="e">
        <f>T437/X437</f>
        <v>#DIV/0!</v>
      </c>
      <c r="V437" s="43" t="e">
        <f>T437/X437</f>
        <v>#DIV/0!</v>
      </c>
      <c r="W437" s="43" t="e">
        <f t="shared" si="72"/>
        <v>#DIV/0!</v>
      </c>
      <c r="X437" s="43">
        <f t="shared" si="77"/>
        <v>0</v>
      </c>
      <c r="Y437" s="43">
        <v>0</v>
      </c>
      <c r="Z437" s="43">
        <v>0</v>
      </c>
      <c r="AA437" s="43">
        <v>0</v>
      </c>
      <c r="AB437" s="43"/>
      <c r="AC437" s="43" t="e">
        <f t="shared" si="73"/>
        <v>#DIV/0!</v>
      </c>
      <c r="AD437" s="43"/>
      <c r="AE437" s="43" t="e">
        <f t="shared" si="74"/>
        <v>#DIV/0!</v>
      </c>
      <c r="AF437" s="43" t="e">
        <f t="shared" si="78"/>
        <v>#DIV/0!</v>
      </c>
      <c r="AG437" s="43" t="e">
        <f t="shared" si="79"/>
        <v>#DIV/0!</v>
      </c>
      <c r="AH437" s="38"/>
      <c r="AI437" s="38"/>
      <c r="AJ437" s="38"/>
      <c r="AK437" s="38"/>
      <c r="AL437" s="38"/>
      <c r="AM437" s="48"/>
      <c r="AN437" s="42"/>
      <c r="AO437" s="42"/>
      <c r="AP437" s="42"/>
      <c r="AQ437" s="42"/>
      <c r="AR437" s="42"/>
      <c r="AS437" s="50"/>
      <c r="AT437" s="39"/>
      <c r="AU437" s="39"/>
      <c r="AV437" s="49"/>
      <c r="AW437" s="39"/>
      <c r="AX437" s="39">
        <v>10</v>
      </c>
      <c r="AY437" s="30">
        <f>(J437*10)/100</f>
        <v>0</v>
      </c>
      <c r="AZ437" s="42"/>
    </row>
    <row r="438" spans="1:52" ht="15.75" customHeight="1" x14ac:dyDescent="0.25">
      <c r="A438" s="46"/>
      <c r="B438" s="38"/>
      <c r="C438" s="39"/>
      <c r="D438" s="37"/>
      <c r="E438" s="42"/>
      <c r="F438" s="38"/>
      <c r="G438" s="39"/>
      <c r="H438" s="42"/>
      <c r="I438" s="42"/>
      <c r="J438" s="43">
        <v>0</v>
      </c>
      <c r="K438" s="43">
        <v>0</v>
      </c>
      <c r="L438" s="56">
        <v>0</v>
      </c>
      <c r="M438" s="56">
        <v>0</v>
      </c>
      <c r="N438" s="44" t="e">
        <f t="shared" si="81"/>
        <v>#DIV/0!</v>
      </c>
      <c r="O438" s="45">
        <f t="shared" si="75"/>
        <v>0</v>
      </c>
      <c r="P438" s="43"/>
      <c r="Q438" s="45">
        <f t="shared" si="76"/>
        <v>0</v>
      </c>
      <c r="R438" s="43">
        <v>0</v>
      </c>
      <c r="S438" s="30">
        <f t="shared" si="80"/>
        <v>0</v>
      </c>
      <c r="T438" s="30">
        <f t="shared" si="80"/>
        <v>0</v>
      </c>
      <c r="U438" s="30" t="e">
        <f>T438/X438</f>
        <v>#DIV/0!</v>
      </c>
      <c r="V438" s="43" t="e">
        <f>T438/X438</f>
        <v>#DIV/0!</v>
      </c>
      <c r="W438" s="43" t="e">
        <f t="shared" si="72"/>
        <v>#DIV/0!</v>
      </c>
      <c r="X438" s="43">
        <f t="shared" si="77"/>
        <v>0</v>
      </c>
      <c r="Y438" s="43">
        <v>0</v>
      </c>
      <c r="Z438" s="43">
        <v>0</v>
      </c>
      <c r="AA438" s="43">
        <v>0</v>
      </c>
      <c r="AB438" s="43"/>
      <c r="AC438" s="43" t="e">
        <f t="shared" si="73"/>
        <v>#DIV/0!</v>
      </c>
      <c r="AD438" s="43"/>
      <c r="AE438" s="43" t="e">
        <f t="shared" si="74"/>
        <v>#DIV/0!</v>
      </c>
      <c r="AF438" s="43" t="e">
        <f t="shared" si="78"/>
        <v>#DIV/0!</v>
      </c>
      <c r="AG438" s="43" t="e">
        <f t="shared" si="79"/>
        <v>#DIV/0!</v>
      </c>
      <c r="AH438" s="38"/>
      <c r="AI438" s="38"/>
      <c r="AJ438" s="38"/>
      <c r="AK438" s="38"/>
      <c r="AL438" s="38"/>
      <c r="AM438" s="48"/>
      <c r="AN438" s="42"/>
      <c r="AO438" s="42"/>
      <c r="AP438" s="42"/>
      <c r="AQ438" s="42"/>
      <c r="AR438" s="42"/>
      <c r="AS438" s="50"/>
      <c r="AT438" s="39"/>
      <c r="AU438" s="39"/>
      <c r="AV438" s="49"/>
      <c r="AW438" s="39"/>
      <c r="AX438" s="39">
        <v>10</v>
      </c>
      <c r="AY438" s="30">
        <f>(J438*10)/100</f>
        <v>0</v>
      </c>
      <c r="AZ438" s="42"/>
    </row>
    <row r="439" spans="1:52" ht="15.75" customHeight="1" x14ac:dyDescent="0.25">
      <c r="A439" s="46"/>
      <c r="B439" s="38"/>
      <c r="C439" s="39"/>
      <c r="D439" s="37"/>
      <c r="E439" s="42"/>
      <c r="F439" s="38"/>
      <c r="G439" s="39"/>
      <c r="H439" s="42"/>
      <c r="I439" s="42"/>
      <c r="J439" s="43">
        <v>0</v>
      </c>
      <c r="K439" s="43">
        <v>0</v>
      </c>
      <c r="L439" s="56">
        <v>0</v>
      </c>
      <c r="M439" s="56">
        <v>0</v>
      </c>
      <c r="N439" s="44" t="e">
        <f t="shared" si="81"/>
        <v>#DIV/0!</v>
      </c>
      <c r="O439" s="45">
        <f t="shared" si="75"/>
        <v>0</v>
      </c>
      <c r="P439" s="43"/>
      <c r="Q439" s="45">
        <f t="shared" si="76"/>
        <v>0</v>
      </c>
      <c r="R439" s="43">
        <v>0</v>
      </c>
      <c r="S439" s="30">
        <f t="shared" si="80"/>
        <v>0</v>
      </c>
      <c r="T439" s="30">
        <f t="shared" si="80"/>
        <v>0</v>
      </c>
      <c r="U439" s="30" t="e">
        <f>T439/X439</f>
        <v>#DIV/0!</v>
      </c>
      <c r="V439" s="43" t="e">
        <f>T439/X439</f>
        <v>#DIV/0!</v>
      </c>
      <c r="W439" s="43" t="e">
        <f t="shared" si="72"/>
        <v>#DIV/0!</v>
      </c>
      <c r="X439" s="43">
        <f t="shared" si="77"/>
        <v>0</v>
      </c>
      <c r="Y439" s="43">
        <v>0</v>
      </c>
      <c r="Z439" s="43">
        <v>0</v>
      </c>
      <c r="AA439" s="43">
        <v>0</v>
      </c>
      <c r="AB439" s="43"/>
      <c r="AC439" s="43" t="e">
        <f t="shared" si="73"/>
        <v>#DIV/0!</v>
      </c>
      <c r="AD439" s="43"/>
      <c r="AE439" s="43" t="e">
        <f t="shared" si="74"/>
        <v>#DIV/0!</v>
      </c>
      <c r="AF439" s="43" t="e">
        <f t="shared" si="78"/>
        <v>#DIV/0!</v>
      </c>
      <c r="AG439" s="43" t="e">
        <f t="shared" si="79"/>
        <v>#DIV/0!</v>
      </c>
      <c r="AH439" s="38"/>
      <c r="AI439" s="38"/>
      <c r="AJ439" s="38"/>
      <c r="AK439" s="38"/>
      <c r="AL439" s="38"/>
      <c r="AM439" s="48"/>
      <c r="AN439" s="42"/>
      <c r="AO439" s="42"/>
      <c r="AP439" s="42"/>
      <c r="AQ439" s="42"/>
      <c r="AR439" s="42"/>
      <c r="AS439" s="50"/>
      <c r="AT439" s="39"/>
      <c r="AU439" s="39"/>
      <c r="AV439" s="49"/>
      <c r="AW439" s="39"/>
      <c r="AX439" s="39">
        <v>10</v>
      </c>
      <c r="AY439" s="30">
        <f>(J439*10)/100</f>
        <v>0</v>
      </c>
      <c r="AZ439" s="42"/>
    </row>
    <row r="440" spans="1:52" ht="15.75" customHeight="1" x14ac:dyDescent="0.25">
      <c r="A440" s="46"/>
      <c r="B440" s="38"/>
      <c r="C440" s="39"/>
      <c r="D440" s="37"/>
      <c r="E440" s="42"/>
      <c r="F440" s="38"/>
      <c r="G440" s="39"/>
      <c r="H440" s="42"/>
      <c r="I440" s="42"/>
      <c r="J440" s="43">
        <v>0</v>
      </c>
      <c r="K440" s="43">
        <v>0</v>
      </c>
      <c r="L440" s="56">
        <v>0</v>
      </c>
      <c r="M440" s="56">
        <v>0</v>
      </c>
      <c r="N440" s="44" t="e">
        <f t="shared" si="81"/>
        <v>#DIV/0!</v>
      </c>
      <c r="O440" s="45">
        <f t="shared" si="75"/>
        <v>0</v>
      </c>
      <c r="P440" s="43"/>
      <c r="Q440" s="45">
        <f t="shared" si="76"/>
        <v>0</v>
      </c>
      <c r="R440" s="43">
        <v>0</v>
      </c>
      <c r="S440" s="30">
        <f t="shared" si="80"/>
        <v>0</v>
      </c>
      <c r="T440" s="30">
        <f t="shared" si="80"/>
        <v>0</v>
      </c>
      <c r="U440" s="30" t="e">
        <f>T440/X440</f>
        <v>#DIV/0!</v>
      </c>
      <c r="V440" s="43" t="e">
        <f>T440/X440</f>
        <v>#DIV/0!</v>
      </c>
      <c r="W440" s="43" t="e">
        <f t="shared" si="72"/>
        <v>#DIV/0!</v>
      </c>
      <c r="X440" s="43">
        <f t="shared" si="77"/>
        <v>0</v>
      </c>
      <c r="Y440" s="43">
        <v>0</v>
      </c>
      <c r="Z440" s="43">
        <v>0</v>
      </c>
      <c r="AA440" s="43">
        <v>0</v>
      </c>
      <c r="AB440" s="43"/>
      <c r="AC440" s="43" t="e">
        <f t="shared" si="73"/>
        <v>#DIV/0!</v>
      </c>
      <c r="AD440" s="43"/>
      <c r="AE440" s="43" t="e">
        <f t="shared" si="74"/>
        <v>#DIV/0!</v>
      </c>
      <c r="AF440" s="43" t="e">
        <f t="shared" si="78"/>
        <v>#DIV/0!</v>
      </c>
      <c r="AG440" s="43" t="e">
        <f t="shared" si="79"/>
        <v>#DIV/0!</v>
      </c>
      <c r="AH440" s="38"/>
      <c r="AI440" s="38"/>
      <c r="AJ440" s="38"/>
      <c r="AK440" s="38"/>
      <c r="AL440" s="38"/>
      <c r="AM440" s="48"/>
      <c r="AN440" s="42"/>
      <c r="AO440" s="42"/>
      <c r="AP440" s="42"/>
      <c r="AQ440" s="42"/>
      <c r="AR440" s="42"/>
      <c r="AS440" s="50"/>
      <c r="AT440" s="39"/>
      <c r="AU440" s="39"/>
      <c r="AV440" s="49"/>
      <c r="AW440" s="39"/>
      <c r="AX440" s="39">
        <v>10</v>
      </c>
      <c r="AY440" s="30">
        <f>(J440*10)/100</f>
        <v>0</v>
      </c>
      <c r="AZ440" s="42"/>
    </row>
    <row r="441" spans="1:52" ht="15.75" customHeight="1" x14ac:dyDescent="0.25">
      <c r="A441" s="46"/>
      <c r="B441" s="38"/>
      <c r="C441" s="39"/>
      <c r="D441" s="37"/>
      <c r="E441" s="42"/>
      <c r="F441" s="38"/>
      <c r="G441" s="39"/>
      <c r="H441" s="42"/>
      <c r="I441" s="42"/>
      <c r="J441" s="43">
        <v>0</v>
      </c>
      <c r="K441" s="43">
        <v>0</v>
      </c>
      <c r="L441" s="56">
        <v>0</v>
      </c>
      <c r="M441" s="56">
        <v>0</v>
      </c>
      <c r="N441" s="44" t="e">
        <f t="shared" si="81"/>
        <v>#DIV/0!</v>
      </c>
      <c r="O441" s="45">
        <f t="shared" si="75"/>
        <v>0</v>
      </c>
      <c r="P441" s="43"/>
      <c r="Q441" s="45">
        <f t="shared" si="76"/>
        <v>0</v>
      </c>
      <c r="R441" s="43">
        <v>0</v>
      </c>
      <c r="S441" s="30">
        <f t="shared" si="80"/>
        <v>0</v>
      </c>
      <c r="T441" s="30">
        <f t="shared" si="80"/>
        <v>0</v>
      </c>
      <c r="U441" s="30" t="e">
        <f>T441/X441</f>
        <v>#DIV/0!</v>
      </c>
      <c r="V441" s="43" t="e">
        <f>T441/X441</f>
        <v>#DIV/0!</v>
      </c>
      <c r="W441" s="43" t="e">
        <f t="shared" si="72"/>
        <v>#DIV/0!</v>
      </c>
      <c r="X441" s="43">
        <f t="shared" si="77"/>
        <v>0</v>
      </c>
      <c r="Y441" s="43">
        <v>0</v>
      </c>
      <c r="Z441" s="43">
        <v>0</v>
      </c>
      <c r="AA441" s="43">
        <v>0</v>
      </c>
      <c r="AB441" s="43"/>
      <c r="AC441" s="43" t="e">
        <f t="shared" si="73"/>
        <v>#DIV/0!</v>
      </c>
      <c r="AD441" s="43"/>
      <c r="AE441" s="43" t="e">
        <f t="shared" si="74"/>
        <v>#DIV/0!</v>
      </c>
      <c r="AF441" s="43" t="e">
        <f t="shared" si="78"/>
        <v>#DIV/0!</v>
      </c>
      <c r="AG441" s="43" t="e">
        <f t="shared" si="79"/>
        <v>#DIV/0!</v>
      </c>
      <c r="AH441" s="38"/>
      <c r="AI441" s="38"/>
      <c r="AJ441" s="38"/>
      <c r="AK441" s="38"/>
      <c r="AL441" s="38"/>
      <c r="AM441" s="48"/>
      <c r="AN441" s="42"/>
      <c r="AO441" s="42"/>
      <c r="AP441" s="42"/>
      <c r="AQ441" s="42"/>
      <c r="AR441" s="42"/>
      <c r="AS441" s="50"/>
      <c r="AT441" s="39"/>
      <c r="AU441" s="39"/>
      <c r="AV441" s="49"/>
      <c r="AW441" s="39"/>
      <c r="AX441" s="39">
        <v>10</v>
      </c>
      <c r="AY441" s="30">
        <f>(J441*10)/100</f>
        <v>0</v>
      </c>
      <c r="AZ441" s="42"/>
    </row>
    <row r="442" spans="1:52" ht="15.75" customHeight="1" x14ac:dyDescent="0.25">
      <c r="A442" s="46"/>
      <c r="B442" s="38"/>
      <c r="C442" s="39"/>
      <c r="D442" s="37"/>
      <c r="E442" s="42"/>
      <c r="F442" s="38"/>
      <c r="G442" s="39"/>
      <c r="H442" s="42"/>
      <c r="I442" s="42"/>
      <c r="J442" s="43">
        <v>0</v>
      </c>
      <c r="K442" s="43">
        <v>0</v>
      </c>
      <c r="L442" s="56">
        <v>0</v>
      </c>
      <c r="M442" s="56">
        <v>0</v>
      </c>
      <c r="N442" s="44" t="e">
        <f t="shared" si="81"/>
        <v>#DIV/0!</v>
      </c>
      <c r="O442" s="45">
        <f t="shared" si="75"/>
        <v>0</v>
      </c>
      <c r="P442" s="43"/>
      <c r="Q442" s="45">
        <f t="shared" si="76"/>
        <v>0</v>
      </c>
      <c r="R442" s="43">
        <v>0</v>
      </c>
      <c r="S442" s="30">
        <f t="shared" si="80"/>
        <v>0</v>
      </c>
      <c r="T442" s="30">
        <f t="shared" si="80"/>
        <v>0</v>
      </c>
      <c r="U442" s="30" t="e">
        <f>T442/X442</f>
        <v>#DIV/0!</v>
      </c>
      <c r="V442" s="43" t="e">
        <f>T442/X442</f>
        <v>#DIV/0!</v>
      </c>
      <c r="W442" s="43" t="e">
        <f t="shared" si="72"/>
        <v>#DIV/0!</v>
      </c>
      <c r="X442" s="43">
        <f t="shared" si="77"/>
        <v>0</v>
      </c>
      <c r="Y442" s="43">
        <v>0</v>
      </c>
      <c r="Z442" s="43">
        <v>0</v>
      </c>
      <c r="AA442" s="43">
        <v>0</v>
      </c>
      <c r="AB442" s="43"/>
      <c r="AC442" s="43" t="e">
        <f t="shared" si="73"/>
        <v>#DIV/0!</v>
      </c>
      <c r="AD442" s="43"/>
      <c r="AE442" s="43" t="e">
        <f t="shared" si="74"/>
        <v>#DIV/0!</v>
      </c>
      <c r="AF442" s="43" t="e">
        <f t="shared" si="78"/>
        <v>#DIV/0!</v>
      </c>
      <c r="AG442" s="43" t="e">
        <f t="shared" si="79"/>
        <v>#DIV/0!</v>
      </c>
      <c r="AH442" s="38"/>
      <c r="AI442" s="38"/>
      <c r="AJ442" s="38"/>
      <c r="AK442" s="38"/>
      <c r="AL442" s="38"/>
      <c r="AM442" s="48"/>
      <c r="AN442" s="42"/>
      <c r="AO442" s="42"/>
      <c r="AP442" s="42"/>
      <c r="AQ442" s="42"/>
      <c r="AR442" s="42"/>
      <c r="AS442" s="50"/>
      <c r="AT442" s="39"/>
      <c r="AU442" s="39"/>
      <c r="AV442" s="49"/>
      <c r="AW442" s="39"/>
      <c r="AX442" s="39">
        <v>10</v>
      </c>
      <c r="AY442" s="30">
        <f>(J442*10)/100</f>
        <v>0</v>
      </c>
      <c r="AZ442" s="42"/>
    </row>
    <row r="443" spans="1:52" ht="15.75" customHeight="1" x14ac:dyDescent="0.25">
      <c r="A443" s="46"/>
      <c r="B443" s="38"/>
      <c r="C443" s="39"/>
      <c r="D443" s="37"/>
      <c r="E443" s="42"/>
      <c r="F443" s="38"/>
      <c r="G443" s="39"/>
      <c r="H443" s="42"/>
      <c r="I443" s="42"/>
      <c r="J443" s="43">
        <v>0</v>
      </c>
      <c r="K443" s="43">
        <v>0</v>
      </c>
      <c r="L443" s="56">
        <v>0</v>
      </c>
      <c r="M443" s="56">
        <v>0</v>
      </c>
      <c r="N443" s="44" t="e">
        <f t="shared" si="81"/>
        <v>#DIV/0!</v>
      </c>
      <c r="O443" s="45">
        <f t="shared" si="75"/>
        <v>0</v>
      </c>
      <c r="P443" s="43"/>
      <c r="Q443" s="45">
        <f t="shared" si="76"/>
        <v>0</v>
      </c>
      <c r="R443" s="43">
        <v>0</v>
      </c>
      <c r="S443" s="30">
        <f t="shared" si="80"/>
        <v>0</v>
      </c>
      <c r="T443" s="30">
        <f t="shared" si="80"/>
        <v>0</v>
      </c>
      <c r="U443" s="30" t="e">
        <f>T443/X443</f>
        <v>#DIV/0!</v>
      </c>
      <c r="V443" s="43" t="e">
        <f>T443/X443</f>
        <v>#DIV/0!</v>
      </c>
      <c r="W443" s="43" t="e">
        <f t="shared" si="72"/>
        <v>#DIV/0!</v>
      </c>
      <c r="X443" s="43">
        <f t="shared" si="77"/>
        <v>0</v>
      </c>
      <c r="Y443" s="43">
        <v>0</v>
      </c>
      <c r="Z443" s="43">
        <v>0</v>
      </c>
      <c r="AA443" s="43">
        <v>0</v>
      </c>
      <c r="AB443" s="43"/>
      <c r="AC443" s="43" t="e">
        <f t="shared" si="73"/>
        <v>#DIV/0!</v>
      </c>
      <c r="AD443" s="43"/>
      <c r="AE443" s="43" t="e">
        <f t="shared" si="74"/>
        <v>#DIV/0!</v>
      </c>
      <c r="AF443" s="43" t="e">
        <f t="shared" si="78"/>
        <v>#DIV/0!</v>
      </c>
      <c r="AG443" s="43" t="e">
        <f t="shared" si="79"/>
        <v>#DIV/0!</v>
      </c>
      <c r="AH443" s="38"/>
      <c r="AI443" s="38"/>
      <c r="AJ443" s="38"/>
      <c r="AK443" s="38"/>
      <c r="AL443" s="38"/>
      <c r="AM443" s="48"/>
      <c r="AN443" s="42"/>
      <c r="AO443" s="42"/>
      <c r="AP443" s="42"/>
      <c r="AQ443" s="42"/>
      <c r="AR443" s="42"/>
      <c r="AS443" s="50"/>
      <c r="AT443" s="39"/>
      <c r="AU443" s="39"/>
      <c r="AV443" s="49"/>
      <c r="AW443" s="39"/>
      <c r="AX443" s="39">
        <v>10</v>
      </c>
      <c r="AY443" s="30">
        <f>(J443*10)/100</f>
        <v>0</v>
      </c>
      <c r="AZ443" s="42"/>
    </row>
    <row r="444" spans="1:52" ht="15.75" customHeight="1" x14ac:dyDescent="0.25">
      <c r="A444" s="46"/>
      <c r="B444" s="38"/>
      <c r="C444" s="39"/>
      <c r="D444" s="37"/>
      <c r="E444" s="42"/>
      <c r="F444" s="38"/>
      <c r="G444" s="39"/>
      <c r="H444" s="42"/>
      <c r="I444" s="42"/>
      <c r="J444" s="43">
        <v>0</v>
      </c>
      <c r="K444" s="43">
        <v>0</v>
      </c>
      <c r="L444" s="56">
        <v>0</v>
      </c>
      <c r="M444" s="56">
        <v>0</v>
      </c>
      <c r="N444" s="44" t="e">
        <f t="shared" si="81"/>
        <v>#DIV/0!</v>
      </c>
      <c r="O444" s="45">
        <f t="shared" si="75"/>
        <v>0</v>
      </c>
      <c r="P444" s="43"/>
      <c r="Q444" s="45">
        <f t="shared" si="76"/>
        <v>0</v>
      </c>
      <c r="R444" s="43">
        <v>0</v>
      </c>
      <c r="S444" s="30">
        <f t="shared" si="80"/>
        <v>0</v>
      </c>
      <c r="T444" s="30">
        <f t="shared" si="80"/>
        <v>0</v>
      </c>
      <c r="U444" s="30" t="e">
        <f>T444/X444</f>
        <v>#DIV/0!</v>
      </c>
      <c r="V444" s="43" t="e">
        <f>T444/X444</f>
        <v>#DIV/0!</v>
      </c>
      <c r="W444" s="43" t="e">
        <f t="shared" si="72"/>
        <v>#DIV/0!</v>
      </c>
      <c r="X444" s="43">
        <f t="shared" si="77"/>
        <v>0</v>
      </c>
      <c r="Y444" s="43">
        <v>0</v>
      </c>
      <c r="Z444" s="43">
        <v>0</v>
      </c>
      <c r="AA444" s="43">
        <v>0</v>
      </c>
      <c r="AB444" s="43"/>
      <c r="AC444" s="43" t="e">
        <f t="shared" si="73"/>
        <v>#DIV/0!</v>
      </c>
      <c r="AD444" s="43"/>
      <c r="AE444" s="43" t="e">
        <f t="shared" si="74"/>
        <v>#DIV/0!</v>
      </c>
      <c r="AF444" s="43" t="e">
        <f t="shared" si="78"/>
        <v>#DIV/0!</v>
      </c>
      <c r="AG444" s="43" t="e">
        <f t="shared" si="79"/>
        <v>#DIV/0!</v>
      </c>
      <c r="AH444" s="38"/>
      <c r="AI444" s="38"/>
      <c r="AJ444" s="38"/>
      <c r="AK444" s="38"/>
      <c r="AL444" s="38"/>
      <c r="AM444" s="48"/>
      <c r="AN444" s="42"/>
      <c r="AO444" s="42"/>
      <c r="AP444" s="42"/>
      <c r="AQ444" s="42"/>
      <c r="AR444" s="42"/>
      <c r="AS444" s="50"/>
      <c r="AT444" s="39"/>
      <c r="AU444" s="39"/>
      <c r="AV444" s="49"/>
      <c r="AW444" s="39"/>
      <c r="AX444" s="39">
        <v>10</v>
      </c>
      <c r="AY444" s="30">
        <f>(J444*10)/100</f>
        <v>0</v>
      </c>
      <c r="AZ444" s="42"/>
    </row>
    <row r="445" spans="1:52" ht="15.75" customHeight="1" x14ac:dyDescent="0.25">
      <c r="A445" s="46"/>
      <c r="B445" s="38"/>
      <c r="C445" s="39"/>
      <c r="D445" s="37"/>
      <c r="E445" s="42"/>
      <c r="F445" s="38"/>
      <c r="G445" s="39"/>
      <c r="H445" s="42"/>
      <c r="I445" s="42"/>
      <c r="J445" s="43">
        <v>0</v>
      </c>
      <c r="K445" s="43">
        <v>0</v>
      </c>
      <c r="L445" s="56">
        <v>0</v>
      </c>
      <c r="M445" s="56">
        <v>0</v>
      </c>
      <c r="N445" s="44" t="e">
        <f t="shared" si="81"/>
        <v>#DIV/0!</v>
      </c>
      <c r="O445" s="45">
        <f t="shared" si="75"/>
        <v>0</v>
      </c>
      <c r="P445" s="43"/>
      <c r="Q445" s="45">
        <f t="shared" si="76"/>
        <v>0</v>
      </c>
      <c r="R445" s="43">
        <v>0</v>
      </c>
      <c r="S445" s="30">
        <f t="shared" si="80"/>
        <v>0</v>
      </c>
      <c r="T445" s="30">
        <f t="shared" si="80"/>
        <v>0</v>
      </c>
      <c r="U445" s="30" t="e">
        <f>T445/X445</f>
        <v>#DIV/0!</v>
      </c>
      <c r="V445" s="43" t="e">
        <f>T445/X445</f>
        <v>#DIV/0!</v>
      </c>
      <c r="W445" s="43" t="e">
        <f t="shared" si="72"/>
        <v>#DIV/0!</v>
      </c>
      <c r="X445" s="43">
        <f t="shared" si="77"/>
        <v>0</v>
      </c>
      <c r="Y445" s="43">
        <v>0</v>
      </c>
      <c r="Z445" s="43">
        <v>0</v>
      </c>
      <c r="AA445" s="43">
        <v>0</v>
      </c>
      <c r="AB445" s="43"/>
      <c r="AC445" s="43" t="e">
        <f t="shared" si="73"/>
        <v>#DIV/0!</v>
      </c>
      <c r="AD445" s="43"/>
      <c r="AE445" s="43" t="e">
        <f t="shared" si="74"/>
        <v>#DIV/0!</v>
      </c>
      <c r="AF445" s="43" t="e">
        <f t="shared" si="78"/>
        <v>#DIV/0!</v>
      </c>
      <c r="AG445" s="43" t="e">
        <f t="shared" si="79"/>
        <v>#DIV/0!</v>
      </c>
      <c r="AH445" s="38"/>
      <c r="AI445" s="38"/>
      <c r="AJ445" s="38"/>
      <c r="AK445" s="38"/>
      <c r="AL445" s="38"/>
      <c r="AM445" s="48"/>
      <c r="AN445" s="42"/>
      <c r="AO445" s="42"/>
      <c r="AP445" s="42"/>
      <c r="AQ445" s="42"/>
      <c r="AR445" s="42"/>
      <c r="AS445" s="50"/>
      <c r="AT445" s="39"/>
      <c r="AU445" s="39"/>
      <c r="AV445" s="49"/>
      <c r="AW445" s="39"/>
      <c r="AX445" s="39">
        <v>10</v>
      </c>
      <c r="AY445" s="30">
        <f>(J445*10)/100</f>
        <v>0</v>
      </c>
      <c r="AZ445" s="42"/>
    </row>
    <row r="446" spans="1:52" ht="15.75" customHeight="1" x14ac:dyDescent="0.25">
      <c r="A446" s="46"/>
      <c r="B446" s="38"/>
      <c r="C446" s="39"/>
      <c r="D446" s="37"/>
      <c r="E446" s="42"/>
      <c r="F446" s="38"/>
      <c r="G446" s="39"/>
      <c r="H446" s="42"/>
      <c r="I446" s="42"/>
      <c r="J446" s="43">
        <v>0</v>
      </c>
      <c r="K446" s="43">
        <v>0</v>
      </c>
      <c r="L446" s="56">
        <v>0</v>
      </c>
      <c r="M446" s="56">
        <v>0</v>
      </c>
      <c r="N446" s="44" t="e">
        <f t="shared" si="81"/>
        <v>#DIV/0!</v>
      </c>
      <c r="O446" s="45">
        <f t="shared" si="75"/>
        <v>0</v>
      </c>
      <c r="P446" s="43"/>
      <c r="Q446" s="45">
        <f t="shared" si="76"/>
        <v>0</v>
      </c>
      <c r="R446" s="43">
        <v>0</v>
      </c>
      <c r="S446" s="30">
        <f t="shared" si="80"/>
        <v>0</v>
      </c>
      <c r="T446" s="30">
        <f t="shared" si="80"/>
        <v>0</v>
      </c>
      <c r="U446" s="30" t="e">
        <f>T446/X446</f>
        <v>#DIV/0!</v>
      </c>
      <c r="V446" s="43" t="e">
        <f>T446/X446</f>
        <v>#DIV/0!</v>
      </c>
      <c r="W446" s="43" t="e">
        <f t="shared" si="72"/>
        <v>#DIV/0!</v>
      </c>
      <c r="X446" s="43">
        <f t="shared" si="77"/>
        <v>0</v>
      </c>
      <c r="Y446" s="43">
        <v>0</v>
      </c>
      <c r="Z446" s="43">
        <v>0</v>
      </c>
      <c r="AA446" s="43">
        <v>0</v>
      </c>
      <c r="AB446" s="43"/>
      <c r="AC446" s="43" t="e">
        <f t="shared" si="73"/>
        <v>#DIV/0!</v>
      </c>
      <c r="AD446" s="43"/>
      <c r="AE446" s="43" t="e">
        <f t="shared" si="74"/>
        <v>#DIV/0!</v>
      </c>
      <c r="AF446" s="43" t="e">
        <f t="shared" si="78"/>
        <v>#DIV/0!</v>
      </c>
      <c r="AG446" s="43" t="e">
        <f t="shared" si="79"/>
        <v>#DIV/0!</v>
      </c>
      <c r="AH446" s="38"/>
      <c r="AI446" s="38"/>
      <c r="AJ446" s="38"/>
      <c r="AK446" s="38"/>
      <c r="AL446" s="38"/>
      <c r="AM446" s="48"/>
      <c r="AN446" s="42"/>
      <c r="AO446" s="42"/>
      <c r="AP446" s="42"/>
      <c r="AQ446" s="42"/>
      <c r="AR446" s="42"/>
      <c r="AS446" s="50"/>
      <c r="AT446" s="39"/>
      <c r="AU446" s="39"/>
      <c r="AV446" s="49"/>
      <c r="AW446" s="39"/>
      <c r="AX446" s="39">
        <v>10</v>
      </c>
      <c r="AY446" s="30">
        <f>(J446*10)/100</f>
        <v>0</v>
      </c>
      <c r="AZ446" s="42"/>
    </row>
    <row r="447" spans="1:52" ht="15.75" customHeight="1" x14ac:dyDescent="0.25">
      <c r="A447" s="46"/>
      <c r="B447" s="38"/>
      <c r="C447" s="39"/>
      <c r="D447" s="37"/>
      <c r="E447" s="42"/>
      <c r="F447" s="38"/>
      <c r="G447" s="39"/>
      <c r="H447" s="42"/>
      <c r="I447" s="42"/>
      <c r="J447" s="43">
        <v>0</v>
      </c>
      <c r="K447" s="43">
        <v>0</v>
      </c>
      <c r="L447" s="56">
        <v>0</v>
      </c>
      <c r="M447" s="56">
        <v>0</v>
      </c>
      <c r="N447" s="44" t="e">
        <f t="shared" si="81"/>
        <v>#DIV/0!</v>
      </c>
      <c r="O447" s="45">
        <f t="shared" si="75"/>
        <v>0</v>
      </c>
      <c r="P447" s="43"/>
      <c r="Q447" s="45">
        <f t="shared" si="76"/>
        <v>0</v>
      </c>
      <c r="R447" s="43">
        <v>0</v>
      </c>
      <c r="S447" s="30">
        <f t="shared" si="80"/>
        <v>0</v>
      </c>
      <c r="T447" s="30">
        <f t="shared" si="80"/>
        <v>0</v>
      </c>
      <c r="U447" s="30" t="e">
        <f>T447/X447</f>
        <v>#DIV/0!</v>
      </c>
      <c r="V447" s="43" t="e">
        <f>T447/X447</f>
        <v>#DIV/0!</v>
      </c>
      <c r="W447" s="43" t="e">
        <f t="shared" si="72"/>
        <v>#DIV/0!</v>
      </c>
      <c r="X447" s="43">
        <f t="shared" si="77"/>
        <v>0</v>
      </c>
      <c r="Y447" s="43">
        <v>0</v>
      </c>
      <c r="Z447" s="43">
        <v>0</v>
      </c>
      <c r="AA447" s="43">
        <v>0</v>
      </c>
      <c r="AB447" s="43"/>
      <c r="AC447" s="43" t="e">
        <f t="shared" si="73"/>
        <v>#DIV/0!</v>
      </c>
      <c r="AD447" s="43"/>
      <c r="AE447" s="43" t="e">
        <f t="shared" si="74"/>
        <v>#DIV/0!</v>
      </c>
      <c r="AF447" s="43" t="e">
        <f t="shared" si="78"/>
        <v>#DIV/0!</v>
      </c>
      <c r="AG447" s="43" t="e">
        <f t="shared" si="79"/>
        <v>#DIV/0!</v>
      </c>
      <c r="AH447" s="38"/>
      <c r="AI447" s="38"/>
      <c r="AJ447" s="38"/>
      <c r="AK447" s="38"/>
      <c r="AL447" s="38"/>
      <c r="AM447" s="48"/>
      <c r="AN447" s="42"/>
      <c r="AO447" s="42"/>
      <c r="AP447" s="42"/>
      <c r="AQ447" s="42"/>
      <c r="AR447" s="42"/>
      <c r="AS447" s="50"/>
      <c r="AT447" s="39"/>
      <c r="AU447" s="39"/>
      <c r="AV447" s="49"/>
      <c r="AW447" s="39"/>
      <c r="AX447" s="39">
        <v>10</v>
      </c>
      <c r="AY447" s="30">
        <f>(J447*10)/100</f>
        <v>0</v>
      </c>
      <c r="AZ447" s="42"/>
    </row>
    <row r="448" spans="1:52" ht="15.75" customHeight="1" x14ac:dyDescent="0.25">
      <c r="A448" s="46"/>
      <c r="B448" s="38"/>
      <c r="C448" s="39"/>
      <c r="D448" s="37"/>
      <c r="E448" s="42"/>
      <c r="F448" s="38"/>
      <c r="G448" s="39"/>
      <c r="H448" s="42"/>
      <c r="I448" s="42"/>
      <c r="J448" s="43">
        <v>0</v>
      </c>
      <c r="K448" s="43">
        <v>0</v>
      </c>
      <c r="L448" s="56">
        <v>0</v>
      </c>
      <c r="M448" s="56">
        <v>0</v>
      </c>
      <c r="N448" s="44" t="e">
        <f t="shared" si="81"/>
        <v>#DIV/0!</v>
      </c>
      <c r="O448" s="45">
        <f t="shared" si="75"/>
        <v>0</v>
      </c>
      <c r="P448" s="43"/>
      <c r="Q448" s="45">
        <f t="shared" si="76"/>
        <v>0</v>
      </c>
      <c r="R448" s="43">
        <v>0</v>
      </c>
      <c r="S448" s="30">
        <f t="shared" si="80"/>
        <v>0</v>
      </c>
      <c r="T448" s="30">
        <f t="shared" si="80"/>
        <v>0</v>
      </c>
      <c r="U448" s="30" t="e">
        <f>T448/X448</f>
        <v>#DIV/0!</v>
      </c>
      <c r="V448" s="43" t="e">
        <f>T448/X448</f>
        <v>#DIV/0!</v>
      </c>
      <c r="W448" s="43" t="e">
        <f t="shared" si="72"/>
        <v>#DIV/0!</v>
      </c>
      <c r="X448" s="43">
        <f t="shared" si="77"/>
        <v>0</v>
      </c>
      <c r="Y448" s="43">
        <v>0</v>
      </c>
      <c r="Z448" s="43">
        <v>0</v>
      </c>
      <c r="AA448" s="43">
        <v>0</v>
      </c>
      <c r="AB448" s="43"/>
      <c r="AC448" s="43" t="e">
        <f t="shared" si="73"/>
        <v>#DIV/0!</v>
      </c>
      <c r="AD448" s="43"/>
      <c r="AE448" s="43" t="e">
        <f t="shared" si="74"/>
        <v>#DIV/0!</v>
      </c>
      <c r="AF448" s="43" t="e">
        <f t="shared" si="78"/>
        <v>#DIV/0!</v>
      </c>
      <c r="AG448" s="43" t="e">
        <f t="shared" si="79"/>
        <v>#DIV/0!</v>
      </c>
      <c r="AH448" s="38"/>
      <c r="AI448" s="38"/>
      <c r="AJ448" s="38"/>
      <c r="AK448" s="38"/>
      <c r="AL448" s="38"/>
      <c r="AM448" s="48"/>
      <c r="AN448" s="42"/>
      <c r="AO448" s="42"/>
      <c r="AP448" s="42"/>
      <c r="AQ448" s="42"/>
      <c r="AR448" s="42"/>
      <c r="AS448" s="50"/>
      <c r="AT448" s="39"/>
      <c r="AU448" s="39"/>
      <c r="AV448" s="49"/>
      <c r="AW448" s="39"/>
      <c r="AX448" s="39">
        <v>10</v>
      </c>
      <c r="AY448" s="30">
        <f>(J448*10)/100</f>
        <v>0</v>
      </c>
      <c r="AZ448" s="42"/>
    </row>
    <row r="449" spans="1:52" ht="15.75" customHeight="1" x14ac:dyDescent="0.25">
      <c r="A449" s="46"/>
      <c r="B449" s="38"/>
      <c r="C449" s="39"/>
      <c r="D449" s="37"/>
      <c r="E449" s="42"/>
      <c r="F449" s="38"/>
      <c r="G449" s="39"/>
      <c r="H449" s="42"/>
      <c r="I449" s="42"/>
      <c r="J449" s="43">
        <v>0</v>
      </c>
      <c r="K449" s="43">
        <v>0</v>
      </c>
      <c r="L449" s="56">
        <v>0</v>
      </c>
      <c r="M449" s="56">
        <v>0</v>
      </c>
      <c r="N449" s="44" t="e">
        <f t="shared" si="81"/>
        <v>#DIV/0!</v>
      </c>
      <c r="O449" s="45">
        <f t="shared" si="75"/>
        <v>0</v>
      </c>
      <c r="P449" s="43"/>
      <c r="Q449" s="45">
        <f t="shared" si="76"/>
        <v>0</v>
      </c>
      <c r="R449" s="43">
        <v>0</v>
      </c>
      <c r="S449" s="30">
        <f t="shared" si="80"/>
        <v>0</v>
      </c>
      <c r="T449" s="30">
        <f t="shared" si="80"/>
        <v>0</v>
      </c>
      <c r="U449" s="30" t="e">
        <f>T449/X449</f>
        <v>#DIV/0!</v>
      </c>
      <c r="V449" s="43" t="e">
        <f>T449/X449</f>
        <v>#DIV/0!</v>
      </c>
      <c r="W449" s="43" t="e">
        <f t="shared" si="72"/>
        <v>#DIV/0!</v>
      </c>
      <c r="X449" s="43">
        <f t="shared" si="77"/>
        <v>0</v>
      </c>
      <c r="Y449" s="43">
        <v>0</v>
      </c>
      <c r="Z449" s="43">
        <v>0</v>
      </c>
      <c r="AA449" s="43">
        <v>0</v>
      </c>
      <c r="AB449" s="43"/>
      <c r="AC449" s="43" t="e">
        <f t="shared" si="73"/>
        <v>#DIV/0!</v>
      </c>
      <c r="AD449" s="43"/>
      <c r="AE449" s="43" t="e">
        <f t="shared" si="74"/>
        <v>#DIV/0!</v>
      </c>
      <c r="AF449" s="43" t="e">
        <f t="shared" si="78"/>
        <v>#DIV/0!</v>
      </c>
      <c r="AG449" s="43" t="e">
        <f t="shared" si="79"/>
        <v>#DIV/0!</v>
      </c>
      <c r="AH449" s="38"/>
      <c r="AI449" s="38"/>
      <c r="AJ449" s="38"/>
      <c r="AK449" s="38"/>
      <c r="AL449" s="38"/>
      <c r="AM449" s="48"/>
      <c r="AN449" s="42"/>
      <c r="AO449" s="42"/>
      <c r="AP449" s="42"/>
      <c r="AQ449" s="42"/>
      <c r="AR449" s="42"/>
      <c r="AS449" s="50"/>
      <c r="AT449" s="39"/>
      <c r="AU449" s="39"/>
      <c r="AV449" s="49"/>
      <c r="AW449" s="39"/>
      <c r="AX449" s="39">
        <v>10</v>
      </c>
      <c r="AY449" s="30">
        <f>(J449*10)/100</f>
        <v>0</v>
      </c>
      <c r="AZ449" s="42"/>
    </row>
    <row r="450" spans="1:52" ht="15.75" customHeight="1" x14ac:dyDescent="0.25">
      <c r="A450" s="46"/>
      <c r="B450" s="38"/>
      <c r="C450" s="39"/>
      <c r="D450" s="37"/>
      <c r="E450" s="42"/>
      <c r="F450" s="38"/>
      <c r="G450" s="39"/>
      <c r="H450" s="42"/>
      <c r="I450" s="42"/>
      <c r="J450" s="43">
        <v>0</v>
      </c>
      <c r="K450" s="43">
        <v>0</v>
      </c>
      <c r="L450" s="56">
        <v>0</v>
      </c>
      <c r="M450" s="56">
        <v>0</v>
      </c>
      <c r="N450" s="44" t="e">
        <f t="shared" si="81"/>
        <v>#DIV/0!</v>
      </c>
      <c r="O450" s="45">
        <f t="shared" si="75"/>
        <v>0</v>
      </c>
      <c r="P450" s="43"/>
      <c r="Q450" s="45">
        <f t="shared" si="76"/>
        <v>0</v>
      </c>
      <c r="R450" s="43">
        <v>0</v>
      </c>
      <c r="S450" s="30">
        <f t="shared" si="80"/>
        <v>0</v>
      </c>
      <c r="T450" s="30">
        <f t="shared" si="80"/>
        <v>0</v>
      </c>
      <c r="U450" s="30" t="e">
        <f>T450/X450</f>
        <v>#DIV/0!</v>
      </c>
      <c r="V450" s="43" t="e">
        <f>T450/X450</f>
        <v>#DIV/0!</v>
      </c>
      <c r="W450" s="43" t="e">
        <f t="shared" si="72"/>
        <v>#DIV/0!</v>
      </c>
      <c r="X450" s="43">
        <f t="shared" si="77"/>
        <v>0</v>
      </c>
      <c r="Y450" s="43">
        <v>0</v>
      </c>
      <c r="Z450" s="43">
        <v>0</v>
      </c>
      <c r="AA450" s="43">
        <v>0</v>
      </c>
      <c r="AB450" s="43"/>
      <c r="AC450" s="43" t="e">
        <f t="shared" si="73"/>
        <v>#DIV/0!</v>
      </c>
      <c r="AD450" s="43"/>
      <c r="AE450" s="43" t="e">
        <f t="shared" si="74"/>
        <v>#DIV/0!</v>
      </c>
      <c r="AF450" s="43" t="e">
        <f t="shared" si="78"/>
        <v>#DIV/0!</v>
      </c>
      <c r="AG450" s="43" t="e">
        <f t="shared" si="79"/>
        <v>#DIV/0!</v>
      </c>
      <c r="AH450" s="38"/>
      <c r="AI450" s="38"/>
      <c r="AJ450" s="38"/>
      <c r="AK450" s="38"/>
      <c r="AL450" s="38"/>
      <c r="AM450" s="48"/>
      <c r="AN450" s="42"/>
      <c r="AO450" s="42"/>
      <c r="AP450" s="42"/>
      <c r="AQ450" s="42"/>
      <c r="AR450" s="42"/>
      <c r="AS450" s="50"/>
      <c r="AT450" s="39"/>
      <c r="AU450" s="39"/>
      <c r="AV450" s="49"/>
      <c r="AW450" s="39"/>
      <c r="AX450" s="39">
        <v>10</v>
      </c>
      <c r="AY450" s="30">
        <f>(J450*10)/100</f>
        <v>0</v>
      </c>
      <c r="AZ450" s="42"/>
    </row>
    <row r="451" spans="1:52" ht="15.75" customHeight="1" x14ac:dyDescent="0.25">
      <c r="A451" s="46"/>
      <c r="B451" s="38"/>
      <c r="C451" s="39"/>
      <c r="D451" s="37"/>
      <c r="E451" s="42"/>
      <c r="F451" s="38"/>
      <c r="G451" s="39"/>
      <c r="H451" s="42"/>
      <c r="I451" s="42"/>
      <c r="J451" s="43">
        <v>0</v>
      </c>
      <c r="K451" s="43">
        <v>0</v>
      </c>
      <c r="L451" s="56">
        <v>0</v>
      </c>
      <c r="M451" s="56">
        <v>0</v>
      </c>
      <c r="N451" s="44" t="e">
        <f t="shared" si="81"/>
        <v>#DIV/0!</v>
      </c>
      <c r="O451" s="45">
        <f t="shared" si="75"/>
        <v>0</v>
      </c>
      <c r="P451" s="43"/>
      <c r="Q451" s="45">
        <f t="shared" si="76"/>
        <v>0</v>
      </c>
      <c r="R451" s="43">
        <v>0</v>
      </c>
      <c r="S451" s="30">
        <f t="shared" si="80"/>
        <v>0</v>
      </c>
      <c r="T451" s="30">
        <f t="shared" si="80"/>
        <v>0</v>
      </c>
      <c r="U451" s="30" t="e">
        <f>T451/X451</f>
        <v>#DIV/0!</v>
      </c>
      <c r="V451" s="43" t="e">
        <f>T451/X451</f>
        <v>#DIV/0!</v>
      </c>
      <c r="W451" s="43" t="e">
        <f t="shared" ref="W451:W514" si="82">V451*AV451</f>
        <v>#DIV/0!</v>
      </c>
      <c r="X451" s="43">
        <f t="shared" si="77"/>
        <v>0</v>
      </c>
      <c r="Y451" s="43">
        <v>0</v>
      </c>
      <c r="Z451" s="43">
        <v>0</v>
      </c>
      <c r="AA451" s="43">
        <v>0</v>
      </c>
      <c r="AB451" s="43"/>
      <c r="AC451" s="43" t="e">
        <f t="shared" si="73"/>
        <v>#DIV/0!</v>
      </c>
      <c r="AD451" s="43"/>
      <c r="AE451" s="43" t="e">
        <f t="shared" si="74"/>
        <v>#DIV/0!</v>
      </c>
      <c r="AF451" s="43" t="e">
        <f t="shared" si="78"/>
        <v>#DIV/0!</v>
      </c>
      <c r="AG451" s="43" t="e">
        <f t="shared" si="79"/>
        <v>#DIV/0!</v>
      </c>
      <c r="AH451" s="38"/>
      <c r="AI451" s="38"/>
      <c r="AJ451" s="38"/>
      <c r="AK451" s="38"/>
      <c r="AL451" s="38"/>
      <c r="AM451" s="48"/>
      <c r="AN451" s="42"/>
      <c r="AO451" s="42"/>
      <c r="AP451" s="42"/>
      <c r="AQ451" s="42"/>
      <c r="AR451" s="42"/>
      <c r="AS451" s="50"/>
      <c r="AT451" s="39"/>
      <c r="AU451" s="39"/>
      <c r="AV451" s="49"/>
      <c r="AW451" s="39"/>
      <c r="AX451" s="39">
        <v>10</v>
      </c>
      <c r="AY451" s="30">
        <f>(J451*10)/100</f>
        <v>0</v>
      </c>
      <c r="AZ451" s="42"/>
    </row>
    <row r="452" spans="1:52" ht="15.75" customHeight="1" x14ac:dyDescent="0.25">
      <c r="A452" s="46"/>
      <c r="B452" s="38"/>
      <c r="C452" s="39"/>
      <c r="D452" s="37"/>
      <c r="E452" s="42"/>
      <c r="F452" s="38"/>
      <c r="G452" s="39"/>
      <c r="H452" s="42"/>
      <c r="I452" s="42"/>
      <c r="J452" s="43">
        <v>0</v>
      </c>
      <c r="K452" s="43">
        <v>0</v>
      </c>
      <c r="L452" s="56">
        <v>0</v>
      </c>
      <c r="M452" s="56">
        <v>0</v>
      </c>
      <c r="N452" s="44" t="e">
        <f t="shared" si="81"/>
        <v>#DIV/0!</v>
      </c>
      <c r="O452" s="45">
        <f t="shared" si="75"/>
        <v>0</v>
      </c>
      <c r="P452" s="43"/>
      <c r="Q452" s="45">
        <f t="shared" si="76"/>
        <v>0</v>
      </c>
      <c r="R452" s="43">
        <v>0</v>
      </c>
      <c r="S452" s="30">
        <f t="shared" si="80"/>
        <v>0</v>
      </c>
      <c r="T452" s="30">
        <f t="shared" si="80"/>
        <v>0</v>
      </c>
      <c r="U452" s="30" t="e">
        <f>T452/X452</f>
        <v>#DIV/0!</v>
      </c>
      <c r="V452" s="43" t="e">
        <f>T452/X452</f>
        <v>#DIV/0!</v>
      </c>
      <c r="W452" s="43" t="e">
        <f t="shared" si="82"/>
        <v>#DIV/0!</v>
      </c>
      <c r="X452" s="43">
        <f t="shared" si="77"/>
        <v>0</v>
      </c>
      <c r="Y452" s="43">
        <v>0</v>
      </c>
      <c r="Z452" s="43">
        <v>0</v>
      </c>
      <c r="AA452" s="43">
        <v>0</v>
      </c>
      <c r="AB452" s="43"/>
      <c r="AC452" s="43" t="e">
        <f t="shared" ref="AC452:AC515" si="83">AB452*V452</f>
        <v>#DIV/0!</v>
      </c>
      <c r="AD452" s="43"/>
      <c r="AE452" s="43" t="e">
        <f t="shared" ref="AE452:AE515" si="84">AD452*V452</f>
        <v>#DIV/0!</v>
      </c>
      <c r="AF452" s="43" t="e">
        <f t="shared" si="78"/>
        <v>#DIV/0!</v>
      </c>
      <c r="AG452" s="43" t="e">
        <f t="shared" si="79"/>
        <v>#DIV/0!</v>
      </c>
      <c r="AH452" s="38"/>
      <c r="AI452" s="38"/>
      <c r="AJ452" s="38"/>
      <c r="AK452" s="38"/>
      <c r="AL452" s="38"/>
      <c r="AM452" s="48"/>
      <c r="AN452" s="42"/>
      <c r="AO452" s="42"/>
      <c r="AP452" s="42"/>
      <c r="AQ452" s="42"/>
      <c r="AR452" s="42"/>
      <c r="AS452" s="50"/>
      <c r="AT452" s="39"/>
      <c r="AU452" s="39"/>
      <c r="AV452" s="49"/>
      <c r="AW452" s="39"/>
      <c r="AX452" s="39">
        <v>10</v>
      </c>
      <c r="AY452" s="30">
        <f>(J452*10)/100</f>
        <v>0</v>
      </c>
      <c r="AZ452" s="42"/>
    </row>
    <row r="453" spans="1:52" ht="15.75" customHeight="1" x14ac:dyDescent="0.25">
      <c r="A453" s="46"/>
      <c r="B453" s="38"/>
      <c r="C453" s="39"/>
      <c r="D453" s="37"/>
      <c r="E453" s="42"/>
      <c r="F453" s="38"/>
      <c r="G453" s="39"/>
      <c r="H453" s="42"/>
      <c r="I453" s="42"/>
      <c r="J453" s="43">
        <v>0</v>
      </c>
      <c r="K453" s="43">
        <v>0</v>
      </c>
      <c r="L453" s="56">
        <v>0</v>
      </c>
      <c r="M453" s="56">
        <v>0</v>
      </c>
      <c r="N453" s="44" t="e">
        <f t="shared" si="81"/>
        <v>#DIV/0!</v>
      </c>
      <c r="O453" s="45">
        <f t="shared" si="75"/>
        <v>0</v>
      </c>
      <c r="P453" s="43"/>
      <c r="Q453" s="45">
        <f t="shared" si="76"/>
        <v>0</v>
      </c>
      <c r="R453" s="43">
        <v>0</v>
      </c>
      <c r="S453" s="30">
        <f t="shared" si="80"/>
        <v>0</v>
      </c>
      <c r="T453" s="30">
        <f t="shared" si="80"/>
        <v>0</v>
      </c>
      <c r="U453" s="30" t="e">
        <f>T453/X453</f>
        <v>#DIV/0!</v>
      </c>
      <c r="V453" s="43" t="e">
        <f>T453/X453</f>
        <v>#DIV/0!</v>
      </c>
      <c r="W453" s="43" t="e">
        <f t="shared" si="82"/>
        <v>#DIV/0!</v>
      </c>
      <c r="X453" s="43">
        <f t="shared" si="77"/>
        <v>0</v>
      </c>
      <c r="Y453" s="43">
        <v>0</v>
      </c>
      <c r="Z453" s="43">
        <v>0</v>
      </c>
      <c r="AA453" s="43">
        <v>0</v>
      </c>
      <c r="AB453" s="43"/>
      <c r="AC453" s="43" t="e">
        <f t="shared" si="83"/>
        <v>#DIV/0!</v>
      </c>
      <c r="AD453" s="43"/>
      <c r="AE453" s="43" t="e">
        <f t="shared" si="84"/>
        <v>#DIV/0!</v>
      </c>
      <c r="AF453" s="43" t="e">
        <f t="shared" si="78"/>
        <v>#DIV/0!</v>
      </c>
      <c r="AG453" s="43" t="e">
        <f t="shared" si="79"/>
        <v>#DIV/0!</v>
      </c>
      <c r="AH453" s="38"/>
      <c r="AI453" s="38"/>
      <c r="AJ453" s="38"/>
      <c r="AK453" s="38"/>
      <c r="AL453" s="38"/>
      <c r="AM453" s="48"/>
      <c r="AN453" s="42"/>
      <c r="AO453" s="42"/>
      <c r="AP453" s="42"/>
      <c r="AQ453" s="42"/>
      <c r="AR453" s="42"/>
      <c r="AS453" s="50"/>
      <c r="AT453" s="39"/>
      <c r="AU453" s="39"/>
      <c r="AV453" s="49"/>
      <c r="AW453" s="39"/>
      <c r="AX453" s="39">
        <v>10</v>
      </c>
      <c r="AY453" s="30">
        <f>(J453*10)/100</f>
        <v>0</v>
      </c>
      <c r="AZ453" s="42"/>
    </row>
    <row r="454" spans="1:52" ht="15.75" customHeight="1" x14ac:dyDescent="0.25">
      <c r="A454" s="46"/>
      <c r="B454" s="38"/>
      <c r="C454" s="39"/>
      <c r="D454" s="37"/>
      <c r="E454" s="42"/>
      <c r="F454" s="38"/>
      <c r="G454" s="39"/>
      <c r="H454" s="42"/>
      <c r="I454" s="42"/>
      <c r="J454" s="43">
        <v>0</v>
      </c>
      <c r="K454" s="43">
        <v>0</v>
      </c>
      <c r="L454" s="56">
        <v>0</v>
      </c>
      <c r="M454" s="56">
        <v>0</v>
      </c>
      <c r="N454" s="44" t="e">
        <f t="shared" si="81"/>
        <v>#DIV/0!</v>
      </c>
      <c r="O454" s="45">
        <f t="shared" si="75"/>
        <v>0</v>
      </c>
      <c r="P454" s="43"/>
      <c r="Q454" s="45">
        <f t="shared" si="76"/>
        <v>0</v>
      </c>
      <c r="R454" s="43">
        <v>0</v>
      </c>
      <c r="S454" s="30">
        <f t="shared" si="80"/>
        <v>0</v>
      </c>
      <c r="T454" s="30">
        <f t="shared" si="80"/>
        <v>0</v>
      </c>
      <c r="U454" s="30" t="e">
        <f>T454/X454</f>
        <v>#DIV/0!</v>
      </c>
      <c r="V454" s="43" t="e">
        <f>T454/X454</f>
        <v>#DIV/0!</v>
      </c>
      <c r="W454" s="43" t="e">
        <f t="shared" si="82"/>
        <v>#DIV/0!</v>
      </c>
      <c r="X454" s="43">
        <f t="shared" si="77"/>
        <v>0</v>
      </c>
      <c r="Y454" s="43">
        <v>0</v>
      </c>
      <c r="Z454" s="43">
        <v>0</v>
      </c>
      <c r="AA454" s="43">
        <v>0</v>
      </c>
      <c r="AB454" s="43"/>
      <c r="AC454" s="43" t="e">
        <f t="shared" si="83"/>
        <v>#DIV/0!</v>
      </c>
      <c r="AD454" s="43"/>
      <c r="AE454" s="43" t="e">
        <f t="shared" si="84"/>
        <v>#DIV/0!</v>
      </c>
      <c r="AF454" s="43" t="e">
        <f t="shared" si="78"/>
        <v>#DIV/0!</v>
      </c>
      <c r="AG454" s="43" t="e">
        <f t="shared" si="79"/>
        <v>#DIV/0!</v>
      </c>
      <c r="AH454" s="38"/>
      <c r="AI454" s="38"/>
      <c r="AJ454" s="38"/>
      <c r="AK454" s="38"/>
      <c r="AL454" s="38"/>
      <c r="AM454" s="48"/>
      <c r="AN454" s="42"/>
      <c r="AO454" s="42"/>
      <c r="AP454" s="42"/>
      <c r="AQ454" s="42"/>
      <c r="AR454" s="42"/>
      <c r="AS454" s="50"/>
      <c r="AT454" s="39"/>
      <c r="AU454" s="39"/>
      <c r="AV454" s="49"/>
      <c r="AW454" s="39"/>
      <c r="AX454" s="39">
        <v>10</v>
      </c>
      <c r="AY454" s="30">
        <f>(J454*10)/100</f>
        <v>0</v>
      </c>
      <c r="AZ454" s="42"/>
    </row>
    <row r="455" spans="1:52" ht="15.75" customHeight="1" x14ac:dyDescent="0.25">
      <c r="A455" s="46"/>
      <c r="B455" s="38"/>
      <c r="C455" s="39"/>
      <c r="D455" s="37"/>
      <c r="E455" s="42"/>
      <c r="F455" s="38"/>
      <c r="G455" s="39"/>
      <c r="H455" s="42"/>
      <c r="I455" s="42"/>
      <c r="J455" s="43">
        <v>0</v>
      </c>
      <c r="K455" s="43">
        <v>0</v>
      </c>
      <c r="L455" s="56">
        <v>0</v>
      </c>
      <c r="M455" s="56">
        <v>0</v>
      </c>
      <c r="N455" s="44" t="e">
        <f t="shared" si="81"/>
        <v>#DIV/0!</v>
      </c>
      <c r="O455" s="45">
        <f t="shared" si="75"/>
        <v>0</v>
      </c>
      <c r="P455" s="43"/>
      <c r="Q455" s="45">
        <f t="shared" si="76"/>
        <v>0</v>
      </c>
      <c r="R455" s="43">
        <v>0</v>
      </c>
      <c r="S455" s="30">
        <f t="shared" si="80"/>
        <v>0</v>
      </c>
      <c r="T455" s="30">
        <f t="shared" si="80"/>
        <v>0</v>
      </c>
      <c r="U455" s="30" t="e">
        <f>T455/X455</f>
        <v>#DIV/0!</v>
      </c>
      <c r="V455" s="43" t="e">
        <f>T455/X455</f>
        <v>#DIV/0!</v>
      </c>
      <c r="W455" s="43" t="e">
        <f t="shared" si="82"/>
        <v>#DIV/0!</v>
      </c>
      <c r="X455" s="43">
        <f t="shared" si="77"/>
        <v>0</v>
      </c>
      <c r="Y455" s="43">
        <v>0</v>
      </c>
      <c r="Z455" s="43">
        <v>0</v>
      </c>
      <c r="AA455" s="43">
        <v>0</v>
      </c>
      <c r="AB455" s="43"/>
      <c r="AC455" s="43" t="e">
        <f t="shared" si="83"/>
        <v>#DIV/0!</v>
      </c>
      <c r="AD455" s="43"/>
      <c r="AE455" s="43" t="e">
        <f t="shared" si="84"/>
        <v>#DIV/0!</v>
      </c>
      <c r="AF455" s="43" t="e">
        <f t="shared" si="78"/>
        <v>#DIV/0!</v>
      </c>
      <c r="AG455" s="43" t="e">
        <f t="shared" si="79"/>
        <v>#DIV/0!</v>
      </c>
      <c r="AH455" s="38"/>
      <c r="AI455" s="38"/>
      <c r="AJ455" s="38"/>
      <c r="AK455" s="38"/>
      <c r="AL455" s="38"/>
      <c r="AM455" s="48"/>
      <c r="AN455" s="42"/>
      <c r="AO455" s="42"/>
      <c r="AP455" s="42"/>
      <c r="AQ455" s="42"/>
      <c r="AR455" s="42"/>
      <c r="AS455" s="50"/>
      <c r="AT455" s="39"/>
      <c r="AU455" s="39"/>
      <c r="AV455" s="49"/>
      <c r="AW455" s="39"/>
      <c r="AX455" s="39">
        <v>10</v>
      </c>
      <c r="AY455" s="30">
        <f>(J455*10)/100</f>
        <v>0</v>
      </c>
      <c r="AZ455" s="42"/>
    </row>
    <row r="456" spans="1:52" ht="15.75" customHeight="1" x14ac:dyDescent="0.25">
      <c r="A456" s="46"/>
      <c r="B456" s="38"/>
      <c r="C456" s="39"/>
      <c r="D456" s="37"/>
      <c r="E456" s="42"/>
      <c r="F456" s="38"/>
      <c r="G456" s="39"/>
      <c r="H456" s="42"/>
      <c r="I456" s="42"/>
      <c r="J456" s="43">
        <v>0</v>
      </c>
      <c r="K456" s="43">
        <v>0</v>
      </c>
      <c r="L456" s="56">
        <v>0</v>
      </c>
      <c r="M456" s="56">
        <v>0</v>
      </c>
      <c r="N456" s="44" t="e">
        <f t="shared" si="81"/>
        <v>#DIV/0!</v>
      </c>
      <c r="O456" s="45">
        <f t="shared" ref="O456:O519" si="85">J456-P456</f>
        <v>0</v>
      </c>
      <c r="P456" s="43"/>
      <c r="Q456" s="45">
        <f t="shared" ref="Q456:Q519" si="86">J456-R456</f>
        <v>0</v>
      </c>
      <c r="R456" s="43">
        <v>0</v>
      </c>
      <c r="S456" s="30">
        <f t="shared" si="80"/>
        <v>0</v>
      </c>
      <c r="T456" s="30">
        <f t="shared" si="80"/>
        <v>0</v>
      </c>
      <c r="U456" s="30" t="e">
        <f>T456/X456</f>
        <v>#DIV/0!</v>
      </c>
      <c r="V456" s="43" t="e">
        <f>T456/X456</f>
        <v>#DIV/0!</v>
      </c>
      <c r="W456" s="43" t="e">
        <f t="shared" si="82"/>
        <v>#DIV/0!</v>
      </c>
      <c r="X456" s="43">
        <f t="shared" ref="X456:X519" si="87">Y456+Z456+AA456</f>
        <v>0</v>
      </c>
      <c r="Y456" s="43">
        <v>0</v>
      </c>
      <c r="Z456" s="43">
        <v>0</v>
      </c>
      <c r="AA456" s="43">
        <v>0</v>
      </c>
      <c r="AB456" s="43"/>
      <c r="AC456" s="43" t="e">
        <f t="shared" si="83"/>
        <v>#DIV/0!</v>
      </c>
      <c r="AD456" s="43"/>
      <c r="AE456" s="43" t="e">
        <f t="shared" si="84"/>
        <v>#DIV/0!</v>
      </c>
      <c r="AF456" s="43" t="e">
        <f t="shared" si="78"/>
        <v>#DIV/0!</v>
      </c>
      <c r="AG456" s="43" t="e">
        <f t="shared" si="79"/>
        <v>#DIV/0!</v>
      </c>
      <c r="AH456" s="38"/>
      <c r="AI456" s="38"/>
      <c r="AJ456" s="38"/>
      <c r="AK456" s="38"/>
      <c r="AL456" s="38"/>
      <c r="AM456" s="48"/>
      <c r="AN456" s="42"/>
      <c r="AO456" s="42"/>
      <c r="AP456" s="42"/>
      <c r="AQ456" s="42"/>
      <c r="AR456" s="42"/>
      <c r="AS456" s="50"/>
      <c r="AT456" s="39"/>
      <c r="AU456" s="39"/>
      <c r="AV456" s="49"/>
      <c r="AW456" s="39"/>
      <c r="AX456" s="39">
        <v>10</v>
      </c>
      <c r="AY456" s="30">
        <f>(J456*10)/100</f>
        <v>0</v>
      </c>
      <c r="AZ456" s="42"/>
    </row>
    <row r="457" spans="1:52" ht="15.75" customHeight="1" x14ac:dyDescent="0.25">
      <c r="A457" s="46"/>
      <c r="B457" s="38"/>
      <c r="C457" s="39"/>
      <c r="D457" s="37"/>
      <c r="E457" s="42"/>
      <c r="F457" s="38"/>
      <c r="G457" s="39"/>
      <c r="H457" s="42"/>
      <c r="I457" s="42"/>
      <c r="J457" s="43">
        <v>0</v>
      </c>
      <c r="K457" s="43">
        <v>0</v>
      </c>
      <c r="L457" s="56">
        <v>0</v>
      </c>
      <c r="M457" s="56">
        <v>0</v>
      </c>
      <c r="N457" s="44" t="e">
        <f t="shared" si="81"/>
        <v>#DIV/0!</v>
      </c>
      <c r="O457" s="45">
        <f t="shared" si="85"/>
        <v>0</v>
      </c>
      <c r="P457" s="43"/>
      <c r="Q457" s="45">
        <f t="shared" si="86"/>
        <v>0</v>
      </c>
      <c r="R457" s="43">
        <v>0</v>
      </c>
      <c r="S457" s="30">
        <f t="shared" si="80"/>
        <v>0</v>
      </c>
      <c r="T457" s="30">
        <f t="shared" si="80"/>
        <v>0</v>
      </c>
      <c r="U457" s="30" t="e">
        <f>T457/X457</f>
        <v>#DIV/0!</v>
      </c>
      <c r="V457" s="43" t="e">
        <f>T457/X457</f>
        <v>#DIV/0!</v>
      </c>
      <c r="W457" s="43" t="e">
        <f t="shared" si="82"/>
        <v>#DIV/0!</v>
      </c>
      <c r="X457" s="43">
        <f t="shared" si="87"/>
        <v>0</v>
      </c>
      <c r="Y457" s="43">
        <v>0</v>
      </c>
      <c r="Z457" s="43">
        <v>0</v>
      </c>
      <c r="AA457" s="43">
        <v>0</v>
      </c>
      <c r="AB457" s="43"/>
      <c r="AC457" s="43" t="e">
        <f t="shared" si="83"/>
        <v>#DIV/0!</v>
      </c>
      <c r="AD457" s="43"/>
      <c r="AE457" s="43" t="e">
        <f t="shared" si="84"/>
        <v>#DIV/0!</v>
      </c>
      <c r="AF457" s="43" t="e">
        <f t="shared" si="78"/>
        <v>#DIV/0!</v>
      </c>
      <c r="AG457" s="43" t="e">
        <f t="shared" si="79"/>
        <v>#DIV/0!</v>
      </c>
      <c r="AH457" s="38"/>
      <c r="AI457" s="38"/>
      <c r="AJ457" s="38"/>
      <c r="AK457" s="38"/>
      <c r="AL457" s="38"/>
      <c r="AM457" s="48"/>
      <c r="AN457" s="42"/>
      <c r="AO457" s="42"/>
      <c r="AP457" s="42"/>
      <c r="AQ457" s="42"/>
      <c r="AR457" s="42"/>
      <c r="AS457" s="50"/>
      <c r="AT457" s="39"/>
      <c r="AU457" s="39"/>
      <c r="AV457" s="49"/>
      <c r="AW457" s="39"/>
      <c r="AX457" s="39">
        <v>10</v>
      </c>
      <c r="AY457" s="30">
        <f>(J457*10)/100</f>
        <v>0</v>
      </c>
      <c r="AZ457" s="42"/>
    </row>
    <row r="458" spans="1:52" ht="15.75" customHeight="1" x14ac:dyDescent="0.25">
      <c r="A458" s="46"/>
      <c r="B458" s="38"/>
      <c r="C458" s="39"/>
      <c r="D458" s="37"/>
      <c r="E458" s="42"/>
      <c r="F458" s="38"/>
      <c r="G458" s="39"/>
      <c r="H458" s="42"/>
      <c r="I458" s="42"/>
      <c r="J458" s="43">
        <v>0</v>
      </c>
      <c r="K458" s="43">
        <v>0</v>
      </c>
      <c r="L458" s="56">
        <v>0</v>
      </c>
      <c r="M458" s="56">
        <v>0</v>
      </c>
      <c r="N458" s="44" t="e">
        <f t="shared" si="81"/>
        <v>#DIV/0!</v>
      </c>
      <c r="O458" s="45">
        <f t="shared" si="85"/>
        <v>0</v>
      </c>
      <c r="P458" s="43"/>
      <c r="Q458" s="45">
        <f t="shared" si="86"/>
        <v>0</v>
      </c>
      <c r="R458" s="43">
        <v>0</v>
      </c>
      <c r="S458" s="30">
        <f t="shared" si="80"/>
        <v>0</v>
      </c>
      <c r="T458" s="30">
        <f t="shared" si="80"/>
        <v>0</v>
      </c>
      <c r="U458" s="30" t="e">
        <f>T458/X458</f>
        <v>#DIV/0!</v>
      </c>
      <c r="V458" s="43" t="e">
        <f>T458/X458</f>
        <v>#DIV/0!</v>
      </c>
      <c r="W458" s="43" t="e">
        <f t="shared" si="82"/>
        <v>#DIV/0!</v>
      </c>
      <c r="X458" s="43">
        <f t="shared" si="87"/>
        <v>0</v>
      </c>
      <c r="Y458" s="43">
        <v>0</v>
      </c>
      <c r="Z458" s="43">
        <v>0</v>
      </c>
      <c r="AA458" s="43">
        <v>0</v>
      </c>
      <c r="AB458" s="43"/>
      <c r="AC458" s="43" t="e">
        <f t="shared" si="83"/>
        <v>#DIV/0!</v>
      </c>
      <c r="AD458" s="43"/>
      <c r="AE458" s="43" t="e">
        <f t="shared" si="84"/>
        <v>#DIV/0!</v>
      </c>
      <c r="AF458" s="43" t="e">
        <f t="shared" si="78"/>
        <v>#DIV/0!</v>
      </c>
      <c r="AG458" s="43" t="e">
        <f t="shared" si="79"/>
        <v>#DIV/0!</v>
      </c>
      <c r="AH458" s="38"/>
      <c r="AI458" s="38"/>
      <c r="AJ458" s="38"/>
      <c r="AK458" s="38"/>
      <c r="AL458" s="38"/>
      <c r="AM458" s="48"/>
      <c r="AN458" s="42"/>
      <c r="AO458" s="42"/>
      <c r="AP458" s="42"/>
      <c r="AQ458" s="42"/>
      <c r="AR458" s="42"/>
      <c r="AS458" s="50"/>
      <c r="AT458" s="39"/>
      <c r="AU458" s="39"/>
      <c r="AV458" s="49"/>
      <c r="AW458" s="39"/>
      <c r="AX458" s="39">
        <v>10</v>
      </c>
      <c r="AY458" s="30">
        <f>(J458*10)/100</f>
        <v>0</v>
      </c>
      <c r="AZ458" s="42"/>
    </row>
    <row r="459" spans="1:52" ht="15.75" customHeight="1" x14ac:dyDescent="0.25">
      <c r="A459" s="46"/>
      <c r="B459" s="38"/>
      <c r="C459" s="39"/>
      <c r="D459" s="37"/>
      <c r="E459" s="42"/>
      <c r="F459" s="38"/>
      <c r="G459" s="39"/>
      <c r="H459" s="42"/>
      <c r="I459" s="42"/>
      <c r="J459" s="43">
        <v>0</v>
      </c>
      <c r="K459" s="43">
        <v>0</v>
      </c>
      <c r="L459" s="56">
        <v>0</v>
      </c>
      <c r="M459" s="56">
        <v>0</v>
      </c>
      <c r="N459" s="44" t="e">
        <f t="shared" si="81"/>
        <v>#DIV/0!</v>
      </c>
      <c r="O459" s="45">
        <f t="shared" si="85"/>
        <v>0</v>
      </c>
      <c r="P459" s="43"/>
      <c r="Q459" s="45">
        <f t="shared" si="86"/>
        <v>0</v>
      </c>
      <c r="R459" s="43">
        <v>0</v>
      </c>
      <c r="S459" s="30">
        <f t="shared" si="80"/>
        <v>0</v>
      </c>
      <c r="T459" s="30">
        <f t="shared" si="80"/>
        <v>0</v>
      </c>
      <c r="U459" s="30" t="e">
        <f>T459/X459</f>
        <v>#DIV/0!</v>
      </c>
      <c r="V459" s="43" t="e">
        <f>T459/X459</f>
        <v>#DIV/0!</v>
      </c>
      <c r="W459" s="43" t="e">
        <f t="shared" si="82"/>
        <v>#DIV/0!</v>
      </c>
      <c r="X459" s="43">
        <f t="shared" si="87"/>
        <v>0</v>
      </c>
      <c r="Y459" s="43">
        <v>0</v>
      </c>
      <c r="Z459" s="43">
        <v>0</v>
      </c>
      <c r="AA459" s="43">
        <v>0</v>
      </c>
      <c r="AB459" s="43"/>
      <c r="AC459" s="43" t="e">
        <f t="shared" si="83"/>
        <v>#DIV/0!</v>
      </c>
      <c r="AD459" s="43"/>
      <c r="AE459" s="43" t="e">
        <f t="shared" si="84"/>
        <v>#DIV/0!</v>
      </c>
      <c r="AF459" s="43" t="e">
        <f t="shared" si="78"/>
        <v>#DIV/0!</v>
      </c>
      <c r="AG459" s="43" t="e">
        <f t="shared" si="79"/>
        <v>#DIV/0!</v>
      </c>
      <c r="AH459" s="38"/>
      <c r="AI459" s="38"/>
      <c r="AJ459" s="38"/>
      <c r="AK459" s="38"/>
      <c r="AL459" s="38"/>
      <c r="AM459" s="48"/>
      <c r="AN459" s="42"/>
      <c r="AO459" s="42"/>
      <c r="AP459" s="42"/>
      <c r="AQ459" s="42"/>
      <c r="AR459" s="42"/>
      <c r="AS459" s="50"/>
      <c r="AT459" s="39"/>
      <c r="AU459" s="39"/>
      <c r="AV459" s="49"/>
      <c r="AW459" s="39"/>
      <c r="AX459" s="39">
        <v>10</v>
      </c>
      <c r="AY459" s="30">
        <f>(J459*10)/100</f>
        <v>0</v>
      </c>
      <c r="AZ459" s="42"/>
    </row>
    <row r="460" spans="1:52" ht="15.75" customHeight="1" x14ac:dyDescent="0.25">
      <c r="A460" s="46"/>
      <c r="B460" s="38"/>
      <c r="C460" s="39"/>
      <c r="D460" s="37"/>
      <c r="E460" s="42"/>
      <c r="F460" s="38"/>
      <c r="G460" s="39"/>
      <c r="H460" s="42"/>
      <c r="I460" s="42"/>
      <c r="J460" s="43">
        <v>0</v>
      </c>
      <c r="K460" s="43">
        <v>0</v>
      </c>
      <c r="L460" s="56">
        <v>0</v>
      </c>
      <c r="M460" s="56">
        <v>0</v>
      </c>
      <c r="N460" s="44" t="e">
        <f t="shared" si="81"/>
        <v>#DIV/0!</v>
      </c>
      <c r="O460" s="45">
        <f t="shared" si="85"/>
        <v>0</v>
      </c>
      <c r="P460" s="43"/>
      <c r="Q460" s="45">
        <f t="shared" si="86"/>
        <v>0</v>
      </c>
      <c r="R460" s="43">
        <v>0</v>
      </c>
      <c r="S460" s="30">
        <f t="shared" si="80"/>
        <v>0</v>
      </c>
      <c r="T460" s="30">
        <f t="shared" si="80"/>
        <v>0</v>
      </c>
      <c r="U460" s="30" t="e">
        <f>T460/X460</f>
        <v>#DIV/0!</v>
      </c>
      <c r="V460" s="43" t="e">
        <f>T460/X460</f>
        <v>#DIV/0!</v>
      </c>
      <c r="W460" s="43" t="e">
        <f t="shared" si="82"/>
        <v>#DIV/0!</v>
      </c>
      <c r="X460" s="43">
        <f t="shared" si="87"/>
        <v>0</v>
      </c>
      <c r="Y460" s="43">
        <v>0</v>
      </c>
      <c r="Z460" s="43">
        <v>0</v>
      </c>
      <c r="AA460" s="43">
        <v>0</v>
      </c>
      <c r="AB460" s="43"/>
      <c r="AC460" s="43" t="e">
        <f t="shared" si="83"/>
        <v>#DIV/0!</v>
      </c>
      <c r="AD460" s="43"/>
      <c r="AE460" s="43" t="e">
        <f t="shared" si="84"/>
        <v>#DIV/0!</v>
      </c>
      <c r="AF460" s="43" t="e">
        <f t="shared" si="78"/>
        <v>#DIV/0!</v>
      </c>
      <c r="AG460" s="43" t="e">
        <f t="shared" si="79"/>
        <v>#DIV/0!</v>
      </c>
      <c r="AH460" s="38"/>
      <c r="AI460" s="38"/>
      <c r="AJ460" s="38"/>
      <c r="AK460" s="38"/>
      <c r="AL460" s="38"/>
      <c r="AM460" s="48"/>
      <c r="AN460" s="42"/>
      <c r="AO460" s="42"/>
      <c r="AP460" s="42"/>
      <c r="AQ460" s="42"/>
      <c r="AR460" s="42"/>
      <c r="AS460" s="50"/>
      <c r="AT460" s="39"/>
      <c r="AU460" s="39"/>
      <c r="AV460" s="49"/>
      <c r="AW460" s="39"/>
      <c r="AX460" s="39">
        <v>10</v>
      </c>
      <c r="AY460" s="30">
        <f>(J460*10)/100</f>
        <v>0</v>
      </c>
      <c r="AZ460" s="42"/>
    </row>
    <row r="461" spans="1:52" ht="15.75" customHeight="1" x14ac:dyDescent="0.25">
      <c r="A461" s="46"/>
      <c r="B461" s="38"/>
      <c r="C461" s="39"/>
      <c r="D461" s="37"/>
      <c r="E461" s="42"/>
      <c r="F461" s="38"/>
      <c r="G461" s="39"/>
      <c r="H461" s="42"/>
      <c r="I461" s="42"/>
      <c r="J461" s="43">
        <v>0</v>
      </c>
      <c r="K461" s="43">
        <v>0</v>
      </c>
      <c r="L461" s="56">
        <v>0</v>
      </c>
      <c r="M461" s="56">
        <v>0</v>
      </c>
      <c r="N461" s="44" t="e">
        <f t="shared" si="81"/>
        <v>#DIV/0!</v>
      </c>
      <c r="O461" s="45">
        <f t="shared" si="85"/>
        <v>0</v>
      </c>
      <c r="P461" s="43"/>
      <c r="Q461" s="45">
        <f t="shared" si="86"/>
        <v>0</v>
      </c>
      <c r="R461" s="43">
        <v>0</v>
      </c>
      <c r="S461" s="30">
        <f t="shared" si="80"/>
        <v>0</v>
      </c>
      <c r="T461" s="30">
        <f t="shared" si="80"/>
        <v>0</v>
      </c>
      <c r="U461" s="30" t="e">
        <f>T461/X461</f>
        <v>#DIV/0!</v>
      </c>
      <c r="V461" s="43" t="e">
        <f>T461/X461</f>
        <v>#DIV/0!</v>
      </c>
      <c r="W461" s="43" t="e">
        <f t="shared" si="82"/>
        <v>#DIV/0!</v>
      </c>
      <c r="X461" s="43">
        <f t="shared" si="87"/>
        <v>0</v>
      </c>
      <c r="Y461" s="43">
        <v>0</v>
      </c>
      <c r="Z461" s="43">
        <v>0</v>
      </c>
      <c r="AA461" s="43">
        <v>0</v>
      </c>
      <c r="AB461" s="43"/>
      <c r="AC461" s="43" t="e">
        <f t="shared" si="83"/>
        <v>#DIV/0!</v>
      </c>
      <c r="AD461" s="43"/>
      <c r="AE461" s="43" t="e">
        <f t="shared" si="84"/>
        <v>#DIV/0!</v>
      </c>
      <c r="AF461" s="43" t="e">
        <f t="shared" si="78"/>
        <v>#DIV/0!</v>
      </c>
      <c r="AG461" s="43" t="e">
        <f t="shared" si="79"/>
        <v>#DIV/0!</v>
      </c>
      <c r="AH461" s="38"/>
      <c r="AI461" s="38"/>
      <c r="AJ461" s="38"/>
      <c r="AK461" s="38"/>
      <c r="AL461" s="38"/>
      <c r="AM461" s="48"/>
      <c r="AN461" s="42"/>
      <c r="AO461" s="42"/>
      <c r="AP461" s="42"/>
      <c r="AQ461" s="42"/>
      <c r="AR461" s="42"/>
      <c r="AS461" s="50"/>
      <c r="AT461" s="39"/>
      <c r="AU461" s="39"/>
      <c r="AV461" s="49"/>
      <c r="AW461" s="39"/>
      <c r="AX461" s="39">
        <v>10</v>
      </c>
      <c r="AY461" s="30">
        <f>(J461*10)/100</f>
        <v>0</v>
      </c>
      <c r="AZ461" s="42"/>
    </row>
    <row r="462" spans="1:52" ht="15.75" customHeight="1" x14ac:dyDescent="0.25">
      <c r="A462" s="46"/>
      <c r="B462" s="38"/>
      <c r="C462" s="39"/>
      <c r="D462" s="37"/>
      <c r="E462" s="42"/>
      <c r="F462" s="38"/>
      <c r="G462" s="39"/>
      <c r="H462" s="42"/>
      <c r="I462" s="42"/>
      <c r="J462" s="43">
        <v>0</v>
      </c>
      <c r="K462" s="43">
        <v>0</v>
      </c>
      <c r="L462" s="56">
        <v>0</v>
      </c>
      <c r="M462" s="56">
        <v>0</v>
      </c>
      <c r="N462" s="44" t="e">
        <f t="shared" si="81"/>
        <v>#DIV/0!</v>
      </c>
      <c r="O462" s="45">
        <f t="shared" si="85"/>
        <v>0</v>
      </c>
      <c r="P462" s="43"/>
      <c r="Q462" s="45">
        <f t="shared" si="86"/>
        <v>0</v>
      </c>
      <c r="R462" s="43">
        <v>0</v>
      </c>
      <c r="S462" s="30">
        <f t="shared" si="80"/>
        <v>0</v>
      </c>
      <c r="T462" s="30">
        <f t="shared" si="80"/>
        <v>0</v>
      </c>
      <c r="U462" s="30" t="e">
        <f>T462/X462</f>
        <v>#DIV/0!</v>
      </c>
      <c r="V462" s="43" t="e">
        <f>T462/X462</f>
        <v>#DIV/0!</v>
      </c>
      <c r="W462" s="43" t="e">
        <f t="shared" si="82"/>
        <v>#DIV/0!</v>
      </c>
      <c r="X462" s="43">
        <f t="shared" si="87"/>
        <v>0</v>
      </c>
      <c r="Y462" s="43">
        <v>0</v>
      </c>
      <c r="Z462" s="43">
        <v>0</v>
      </c>
      <c r="AA462" s="43">
        <v>0</v>
      </c>
      <c r="AB462" s="43"/>
      <c r="AC462" s="43" t="e">
        <f t="shared" si="83"/>
        <v>#DIV/0!</v>
      </c>
      <c r="AD462" s="43"/>
      <c r="AE462" s="43" t="e">
        <f t="shared" si="84"/>
        <v>#DIV/0!</v>
      </c>
      <c r="AF462" s="43" t="e">
        <f t="shared" si="78"/>
        <v>#DIV/0!</v>
      </c>
      <c r="AG462" s="43" t="e">
        <f t="shared" si="79"/>
        <v>#DIV/0!</v>
      </c>
      <c r="AH462" s="38"/>
      <c r="AI462" s="38"/>
      <c r="AJ462" s="38"/>
      <c r="AK462" s="38"/>
      <c r="AL462" s="38"/>
      <c r="AM462" s="48"/>
      <c r="AN462" s="42"/>
      <c r="AO462" s="42"/>
      <c r="AP462" s="42"/>
      <c r="AQ462" s="42"/>
      <c r="AR462" s="42"/>
      <c r="AS462" s="50"/>
      <c r="AT462" s="39"/>
      <c r="AU462" s="39"/>
      <c r="AV462" s="49"/>
      <c r="AW462" s="39"/>
      <c r="AX462" s="39">
        <v>10</v>
      </c>
      <c r="AY462" s="30">
        <f>(J462*10)/100</f>
        <v>0</v>
      </c>
      <c r="AZ462" s="42"/>
    </row>
    <row r="463" spans="1:52" ht="15.75" customHeight="1" x14ac:dyDescent="0.25">
      <c r="A463" s="46"/>
      <c r="B463" s="38"/>
      <c r="C463" s="39"/>
      <c r="D463" s="37"/>
      <c r="E463" s="42"/>
      <c r="F463" s="38"/>
      <c r="G463" s="39"/>
      <c r="H463" s="42"/>
      <c r="I463" s="42"/>
      <c r="J463" s="43">
        <v>0</v>
      </c>
      <c r="K463" s="43">
        <v>0</v>
      </c>
      <c r="L463" s="56">
        <v>0</v>
      </c>
      <c r="M463" s="56">
        <v>0</v>
      </c>
      <c r="N463" s="44" t="e">
        <f t="shared" si="81"/>
        <v>#DIV/0!</v>
      </c>
      <c r="O463" s="45">
        <f t="shared" si="85"/>
        <v>0</v>
      </c>
      <c r="P463" s="43"/>
      <c r="Q463" s="45">
        <f t="shared" si="86"/>
        <v>0</v>
      </c>
      <c r="R463" s="43">
        <v>0</v>
      </c>
      <c r="S463" s="30">
        <f t="shared" si="80"/>
        <v>0</v>
      </c>
      <c r="T463" s="30">
        <f t="shared" si="80"/>
        <v>0</v>
      </c>
      <c r="U463" s="30" t="e">
        <f>T463/X463</f>
        <v>#DIV/0!</v>
      </c>
      <c r="V463" s="43" t="e">
        <f>T463/X463</f>
        <v>#DIV/0!</v>
      </c>
      <c r="W463" s="43" t="e">
        <f t="shared" si="82"/>
        <v>#DIV/0!</v>
      </c>
      <c r="X463" s="43">
        <f t="shared" si="87"/>
        <v>0</v>
      </c>
      <c r="Y463" s="43">
        <v>0</v>
      </c>
      <c r="Z463" s="43">
        <v>0</v>
      </c>
      <c r="AA463" s="43">
        <v>0</v>
      </c>
      <c r="AB463" s="43"/>
      <c r="AC463" s="43" t="e">
        <f t="shared" si="83"/>
        <v>#DIV/0!</v>
      </c>
      <c r="AD463" s="43"/>
      <c r="AE463" s="43" t="e">
        <f t="shared" si="84"/>
        <v>#DIV/0!</v>
      </c>
      <c r="AF463" s="43" t="e">
        <f t="shared" ref="AF463:AF525" si="88">X463/AV463</f>
        <v>#DIV/0!</v>
      </c>
      <c r="AG463" s="43" t="e">
        <f t="shared" ref="AG463:AG525" si="89">_xlfn.CEILING.MATH(AF463)</f>
        <v>#DIV/0!</v>
      </c>
      <c r="AH463" s="38"/>
      <c r="AI463" s="38"/>
      <c r="AJ463" s="38"/>
      <c r="AK463" s="38"/>
      <c r="AL463" s="38"/>
      <c r="AM463" s="48"/>
      <c r="AN463" s="42"/>
      <c r="AO463" s="42"/>
      <c r="AP463" s="42"/>
      <c r="AQ463" s="42"/>
      <c r="AR463" s="42"/>
      <c r="AS463" s="50"/>
      <c r="AT463" s="39"/>
      <c r="AU463" s="39"/>
      <c r="AV463" s="49"/>
      <c r="AW463" s="39"/>
      <c r="AX463" s="39">
        <v>10</v>
      </c>
      <c r="AY463" s="30">
        <f>(J463*10)/100</f>
        <v>0</v>
      </c>
      <c r="AZ463" s="42"/>
    </row>
    <row r="464" spans="1:52" ht="15.75" customHeight="1" x14ac:dyDescent="0.25">
      <c r="A464" s="46"/>
      <c r="B464" s="38"/>
      <c r="C464" s="39"/>
      <c r="D464" s="37"/>
      <c r="E464" s="42"/>
      <c r="F464" s="38"/>
      <c r="G464" s="39"/>
      <c r="H464" s="42"/>
      <c r="I464" s="42"/>
      <c r="J464" s="43">
        <v>0</v>
      </c>
      <c r="K464" s="43">
        <v>0</v>
      </c>
      <c r="L464" s="56">
        <v>0</v>
      </c>
      <c r="M464" s="56">
        <v>0</v>
      </c>
      <c r="N464" s="44" t="e">
        <f t="shared" si="81"/>
        <v>#DIV/0!</v>
      </c>
      <c r="O464" s="45">
        <f t="shared" si="85"/>
        <v>0</v>
      </c>
      <c r="P464" s="43"/>
      <c r="Q464" s="45">
        <f t="shared" si="86"/>
        <v>0</v>
      </c>
      <c r="R464" s="43">
        <v>0</v>
      </c>
      <c r="S464" s="30">
        <f t="shared" si="80"/>
        <v>0</v>
      </c>
      <c r="T464" s="30">
        <f t="shared" si="80"/>
        <v>0</v>
      </c>
      <c r="U464" s="30" t="e">
        <f>T464/X464</f>
        <v>#DIV/0!</v>
      </c>
      <c r="V464" s="43" t="e">
        <f>T464/X464</f>
        <v>#DIV/0!</v>
      </c>
      <c r="W464" s="43" t="e">
        <f t="shared" si="82"/>
        <v>#DIV/0!</v>
      </c>
      <c r="X464" s="43">
        <f t="shared" si="87"/>
        <v>0</v>
      </c>
      <c r="Y464" s="43">
        <v>0</v>
      </c>
      <c r="Z464" s="43">
        <v>0</v>
      </c>
      <c r="AA464" s="43">
        <v>0</v>
      </c>
      <c r="AB464" s="43"/>
      <c r="AC464" s="43" t="e">
        <f t="shared" si="83"/>
        <v>#DIV/0!</v>
      </c>
      <c r="AD464" s="43"/>
      <c r="AE464" s="43" t="e">
        <f t="shared" si="84"/>
        <v>#DIV/0!</v>
      </c>
      <c r="AF464" s="43" t="e">
        <f t="shared" si="88"/>
        <v>#DIV/0!</v>
      </c>
      <c r="AG464" s="43" t="e">
        <f t="shared" si="89"/>
        <v>#DIV/0!</v>
      </c>
      <c r="AH464" s="38"/>
      <c r="AI464" s="38"/>
      <c r="AJ464" s="38"/>
      <c r="AK464" s="38"/>
      <c r="AL464" s="38"/>
      <c r="AM464" s="48"/>
      <c r="AN464" s="42"/>
      <c r="AO464" s="42"/>
      <c r="AP464" s="42"/>
      <c r="AQ464" s="42"/>
      <c r="AR464" s="42"/>
      <c r="AS464" s="50"/>
      <c r="AT464" s="39"/>
      <c r="AU464" s="39"/>
      <c r="AV464" s="49"/>
      <c r="AW464" s="39"/>
      <c r="AX464" s="39">
        <v>10</v>
      </c>
      <c r="AY464" s="30">
        <f>(J464*10)/100</f>
        <v>0</v>
      </c>
      <c r="AZ464" s="42"/>
    </row>
    <row r="465" spans="1:52" ht="15.75" customHeight="1" x14ac:dyDescent="0.25">
      <c r="A465" s="46"/>
      <c r="B465" s="38"/>
      <c r="C465" s="39"/>
      <c r="D465" s="37"/>
      <c r="E465" s="42"/>
      <c r="F465" s="38"/>
      <c r="G465" s="39"/>
      <c r="H465" s="42"/>
      <c r="I465" s="42"/>
      <c r="J465" s="43">
        <v>0</v>
      </c>
      <c r="K465" s="43">
        <v>0</v>
      </c>
      <c r="L465" s="56">
        <v>0</v>
      </c>
      <c r="M465" s="56">
        <v>0</v>
      </c>
      <c r="N465" s="44" t="e">
        <f t="shared" si="81"/>
        <v>#DIV/0!</v>
      </c>
      <c r="O465" s="45">
        <f t="shared" si="85"/>
        <v>0</v>
      </c>
      <c r="P465" s="43"/>
      <c r="Q465" s="45">
        <f t="shared" si="86"/>
        <v>0</v>
      </c>
      <c r="R465" s="43">
        <v>0</v>
      </c>
      <c r="S465" s="30">
        <f t="shared" si="80"/>
        <v>0</v>
      </c>
      <c r="T465" s="30">
        <f t="shared" si="80"/>
        <v>0</v>
      </c>
      <c r="U465" s="30" t="e">
        <f>T465/X465</f>
        <v>#DIV/0!</v>
      </c>
      <c r="V465" s="43" t="e">
        <f>T465/X465</f>
        <v>#DIV/0!</v>
      </c>
      <c r="W465" s="43" t="e">
        <f t="shared" si="82"/>
        <v>#DIV/0!</v>
      </c>
      <c r="X465" s="43">
        <f t="shared" si="87"/>
        <v>0</v>
      </c>
      <c r="Y465" s="43">
        <v>0</v>
      </c>
      <c r="Z465" s="43">
        <v>0</v>
      </c>
      <c r="AA465" s="43">
        <v>0</v>
      </c>
      <c r="AB465" s="43"/>
      <c r="AC465" s="43" t="e">
        <f t="shared" si="83"/>
        <v>#DIV/0!</v>
      </c>
      <c r="AD465" s="43"/>
      <c r="AE465" s="43" t="e">
        <f t="shared" si="84"/>
        <v>#DIV/0!</v>
      </c>
      <c r="AF465" s="43" t="e">
        <f t="shared" si="88"/>
        <v>#DIV/0!</v>
      </c>
      <c r="AG465" s="43" t="e">
        <f t="shared" si="89"/>
        <v>#DIV/0!</v>
      </c>
      <c r="AH465" s="38"/>
      <c r="AI465" s="38"/>
      <c r="AJ465" s="38"/>
      <c r="AK465" s="38"/>
      <c r="AL465" s="38"/>
      <c r="AM465" s="48"/>
      <c r="AN465" s="42"/>
      <c r="AO465" s="42"/>
      <c r="AP465" s="42"/>
      <c r="AQ465" s="42"/>
      <c r="AR465" s="42"/>
      <c r="AS465" s="50"/>
      <c r="AT465" s="39"/>
      <c r="AU465" s="39"/>
      <c r="AV465" s="49"/>
      <c r="AW465" s="39"/>
      <c r="AX465" s="39">
        <v>10</v>
      </c>
      <c r="AY465" s="30">
        <f>(J465*10)/100</f>
        <v>0</v>
      </c>
      <c r="AZ465" s="42"/>
    </row>
    <row r="466" spans="1:52" ht="15.75" customHeight="1" x14ac:dyDescent="0.25">
      <c r="A466" s="46"/>
      <c r="B466" s="38"/>
      <c r="C466" s="39"/>
      <c r="D466" s="37"/>
      <c r="E466" s="42"/>
      <c r="F466" s="38"/>
      <c r="G466" s="39"/>
      <c r="H466" s="42"/>
      <c r="I466" s="42"/>
      <c r="J466" s="43">
        <v>0</v>
      </c>
      <c r="K466" s="43">
        <v>0</v>
      </c>
      <c r="L466" s="56">
        <v>0</v>
      </c>
      <c r="M466" s="56">
        <v>0</v>
      </c>
      <c r="N466" s="44" t="e">
        <f t="shared" si="81"/>
        <v>#DIV/0!</v>
      </c>
      <c r="O466" s="45">
        <f t="shared" si="85"/>
        <v>0</v>
      </c>
      <c r="P466" s="43"/>
      <c r="Q466" s="45">
        <f t="shared" si="86"/>
        <v>0</v>
      </c>
      <c r="R466" s="43">
        <v>0</v>
      </c>
      <c r="S466" s="30">
        <f t="shared" si="80"/>
        <v>0</v>
      </c>
      <c r="T466" s="30">
        <f t="shared" si="80"/>
        <v>0</v>
      </c>
      <c r="U466" s="30" t="e">
        <f>T466/X466</f>
        <v>#DIV/0!</v>
      </c>
      <c r="V466" s="43" t="e">
        <f>T466/X466</f>
        <v>#DIV/0!</v>
      </c>
      <c r="W466" s="43" t="e">
        <f t="shared" si="82"/>
        <v>#DIV/0!</v>
      </c>
      <c r="X466" s="43">
        <f t="shared" si="87"/>
        <v>0</v>
      </c>
      <c r="Y466" s="43">
        <v>0</v>
      </c>
      <c r="Z466" s="43">
        <v>0</v>
      </c>
      <c r="AA466" s="43">
        <v>0</v>
      </c>
      <c r="AB466" s="43"/>
      <c r="AC466" s="43" t="e">
        <f t="shared" si="83"/>
        <v>#DIV/0!</v>
      </c>
      <c r="AD466" s="43"/>
      <c r="AE466" s="43" t="e">
        <f t="shared" si="84"/>
        <v>#DIV/0!</v>
      </c>
      <c r="AF466" s="43" t="e">
        <f t="shared" si="88"/>
        <v>#DIV/0!</v>
      </c>
      <c r="AG466" s="43" t="e">
        <f t="shared" si="89"/>
        <v>#DIV/0!</v>
      </c>
      <c r="AH466" s="38"/>
      <c r="AI466" s="38"/>
      <c r="AJ466" s="38"/>
      <c r="AK466" s="38"/>
      <c r="AL466" s="38"/>
      <c r="AM466" s="48"/>
      <c r="AN466" s="42"/>
      <c r="AO466" s="42"/>
      <c r="AP466" s="42"/>
      <c r="AQ466" s="42"/>
      <c r="AR466" s="42"/>
      <c r="AS466" s="50"/>
      <c r="AT466" s="39"/>
      <c r="AU466" s="39"/>
      <c r="AV466" s="49"/>
      <c r="AW466" s="39"/>
      <c r="AX466" s="39">
        <v>10</v>
      </c>
      <c r="AY466" s="30">
        <f>(J466*10)/100</f>
        <v>0</v>
      </c>
      <c r="AZ466" s="42"/>
    </row>
    <row r="467" spans="1:52" ht="15.75" customHeight="1" x14ac:dyDescent="0.25">
      <c r="A467" s="46"/>
      <c r="B467" s="38"/>
      <c r="C467" s="39"/>
      <c r="D467" s="37"/>
      <c r="E467" s="42"/>
      <c r="F467" s="38"/>
      <c r="G467" s="39"/>
      <c r="H467" s="42"/>
      <c r="I467" s="42"/>
      <c r="J467" s="43">
        <v>0</v>
      </c>
      <c r="K467" s="43">
        <v>0</v>
      </c>
      <c r="L467" s="56">
        <v>0</v>
      </c>
      <c r="M467" s="56">
        <v>0</v>
      </c>
      <c r="N467" s="44" t="e">
        <f t="shared" si="81"/>
        <v>#DIV/0!</v>
      </c>
      <c r="O467" s="45">
        <f t="shared" si="85"/>
        <v>0</v>
      </c>
      <c r="P467" s="43"/>
      <c r="Q467" s="45">
        <f t="shared" si="86"/>
        <v>0</v>
      </c>
      <c r="R467" s="43">
        <v>0</v>
      </c>
      <c r="S467" s="30">
        <f t="shared" si="80"/>
        <v>0</v>
      </c>
      <c r="T467" s="30">
        <f t="shared" si="80"/>
        <v>0</v>
      </c>
      <c r="U467" s="30" t="e">
        <f>T467/X467</f>
        <v>#DIV/0!</v>
      </c>
      <c r="V467" s="43" t="e">
        <f>T467/X467</f>
        <v>#DIV/0!</v>
      </c>
      <c r="W467" s="43" t="e">
        <f t="shared" si="82"/>
        <v>#DIV/0!</v>
      </c>
      <c r="X467" s="43">
        <f t="shared" si="87"/>
        <v>0</v>
      </c>
      <c r="Y467" s="43">
        <v>0</v>
      </c>
      <c r="Z467" s="43">
        <v>0</v>
      </c>
      <c r="AA467" s="43">
        <v>0</v>
      </c>
      <c r="AB467" s="43"/>
      <c r="AC467" s="43" t="e">
        <f t="shared" si="83"/>
        <v>#DIV/0!</v>
      </c>
      <c r="AD467" s="43"/>
      <c r="AE467" s="43" t="e">
        <f t="shared" si="84"/>
        <v>#DIV/0!</v>
      </c>
      <c r="AF467" s="43" t="e">
        <f t="shared" si="88"/>
        <v>#DIV/0!</v>
      </c>
      <c r="AG467" s="43" t="e">
        <f t="shared" si="89"/>
        <v>#DIV/0!</v>
      </c>
      <c r="AH467" s="38"/>
      <c r="AI467" s="38"/>
      <c r="AJ467" s="38"/>
      <c r="AK467" s="38"/>
      <c r="AL467" s="38"/>
      <c r="AM467" s="48"/>
      <c r="AN467" s="42"/>
      <c r="AO467" s="42"/>
      <c r="AP467" s="42"/>
      <c r="AQ467" s="42"/>
      <c r="AR467" s="42"/>
      <c r="AS467" s="50"/>
      <c r="AT467" s="39"/>
      <c r="AU467" s="39"/>
      <c r="AV467" s="49"/>
      <c r="AW467" s="39"/>
      <c r="AX467" s="39">
        <v>10</v>
      </c>
      <c r="AY467" s="30">
        <f>(J467*10)/100</f>
        <v>0</v>
      </c>
      <c r="AZ467" s="42"/>
    </row>
    <row r="468" spans="1:52" ht="15.75" customHeight="1" x14ac:dyDescent="0.25">
      <c r="A468" s="46"/>
      <c r="B468" s="38"/>
      <c r="C468" s="39"/>
      <c r="D468" s="37"/>
      <c r="E468" s="42"/>
      <c r="F468" s="38"/>
      <c r="G468" s="39"/>
      <c r="H468" s="42"/>
      <c r="I468" s="42"/>
      <c r="J468" s="43">
        <v>0</v>
      </c>
      <c r="K468" s="43">
        <v>0</v>
      </c>
      <c r="L468" s="56">
        <v>0</v>
      </c>
      <c r="M468" s="56">
        <v>0</v>
      </c>
      <c r="N468" s="44" t="e">
        <f t="shared" si="81"/>
        <v>#DIV/0!</v>
      </c>
      <c r="O468" s="45">
        <f t="shared" si="85"/>
        <v>0</v>
      </c>
      <c r="P468" s="43"/>
      <c r="Q468" s="45">
        <f t="shared" si="86"/>
        <v>0</v>
      </c>
      <c r="R468" s="43">
        <v>0</v>
      </c>
      <c r="S468" s="30">
        <f t="shared" si="80"/>
        <v>0</v>
      </c>
      <c r="T468" s="30">
        <f t="shared" si="80"/>
        <v>0</v>
      </c>
      <c r="U468" s="30" t="e">
        <f>T468/X468</f>
        <v>#DIV/0!</v>
      </c>
      <c r="V468" s="43" t="e">
        <f>T468/X468</f>
        <v>#DIV/0!</v>
      </c>
      <c r="W468" s="43" t="e">
        <f t="shared" si="82"/>
        <v>#DIV/0!</v>
      </c>
      <c r="X468" s="43">
        <f t="shared" si="87"/>
        <v>0</v>
      </c>
      <c r="Y468" s="43">
        <v>0</v>
      </c>
      <c r="Z468" s="43">
        <v>0</v>
      </c>
      <c r="AA468" s="43">
        <v>0</v>
      </c>
      <c r="AB468" s="43"/>
      <c r="AC468" s="43" t="e">
        <f t="shared" si="83"/>
        <v>#DIV/0!</v>
      </c>
      <c r="AD468" s="43"/>
      <c r="AE468" s="43" t="e">
        <f t="shared" si="84"/>
        <v>#DIV/0!</v>
      </c>
      <c r="AF468" s="43" t="e">
        <f t="shared" si="88"/>
        <v>#DIV/0!</v>
      </c>
      <c r="AG468" s="43" t="e">
        <f t="shared" si="89"/>
        <v>#DIV/0!</v>
      </c>
      <c r="AH468" s="38"/>
      <c r="AI468" s="38"/>
      <c r="AJ468" s="38"/>
      <c r="AK468" s="38"/>
      <c r="AL468" s="38"/>
      <c r="AM468" s="48"/>
      <c r="AN468" s="42"/>
      <c r="AO468" s="42"/>
      <c r="AP468" s="42"/>
      <c r="AQ468" s="42"/>
      <c r="AR468" s="42"/>
      <c r="AS468" s="50"/>
      <c r="AT468" s="39"/>
      <c r="AU468" s="39"/>
      <c r="AV468" s="49"/>
      <c r="AW468" s="39"/>
      <c r="AX468" s="39">
        <v>10</v>
      </c>
      <c r="AY468" s="30">
        <f>(J468*10)/100</f>
        <v>0</v>
      </c>
      <c r="AZ468" s="42"/>
    </row>
    <row r="469" spans="1:52" ht="15.75" customHeight="1" x14ac:dyDescent="0.25">
      <c r="A469" s="46"/>
      <c r="B469" s="38"/>
      <c r="C469" s="39"/>
      <c r="D469" s="37"/>
      <c r="E469" s="42"/>
      <c r="F469" s="38"/>
      <c r="G469" s="39"/>
      <c r="H469" s="42"/>
      <c r="I469" s="42"/>
      <c r="J469" s="43">
        <v>0</v>
      </c>
      <c r="K469" s="43">
        <v>0</v>
      </c>
      <c r="L469" s="56">
        <v>0</v>
      </c>
      <c r="M469" s="56">
        <v>0</v>
      </c>
      <c r="N469" s="44" t="e">
        <f t="shared" si="81"/>
        <v>#DIV/0!</v>
      </c>
      <c r="O469" s="45">
        <f t="shared" si="85"/>
        <v>0</v>
      </c>
      <c r="P469" s="43"/>
      <c r="Q469" s="45">
        <f t="shared" si="86"/>
        <v>0</v>
      </c>
      <c r="R469" s="43">
        <v>0</v>
      </c>
      <c r="S469" s="30">
        <f t="shared" si="80"/>
        <v>0</v>
      </c>
      <c r="T469" s="30">
        <f t="shared" si="80"/>
        <v>0</v>
      </c>
      <c r="U469" s="30" t="e">
        <f>T469/X469</f>
        <v>#DIV/0!</v>
      </c>
      <c r="V469" s="43" t="e">
        <f>T469/X469</f>
        <v>#DIV/0!</v>
      </c>
      <c r="W469" s="43" t="e">
        <f t="shared" si="82"/>
        <v>#DIV/0!</v>
      </c>
      <c r="X469" s="43">
        <f t="shared" si="87"/>
        <v>0</v>
      </c>
      <c r="Y469" s="43">
        <v>0</v>
      </c>
      <c r="Z469" s="43">
        <v>0</v>
      </c>
      <c r="AA469" s="43">
        <v>0</v>
      </c>
      <c r="AB469" s="43"/>
      <c r="AC469" s="43" t="e">
        <f t="shared" si="83"/>
        <v>#DIV/0!</v>
      </c>
      <c r="AD469" s="43"/>
      <c r="AE469" s="43" t="e">
        <f t="shared" si="84"/>
        <v>#DIV/0!</v>
      </c>
      <c r="AF469" s="43" t="e">
        <f t="shared" si="88"/>
        <v>#DIV/0!</v>
      </c>
      <c r="AG469" s="43" t="e">
        <f t="shared" si="89"/>
        <v>#DIV/0!</v>
      </c>
      <c r="AH469" s="38"/>
      <c r="AI469" s="38"/>
      <c r="AJ469" s="38"/>
      <c r="AK469" s="38"/>
      <c r="AL469" s="38"/>
      <c r="AM469" s="48"/>
      <c r="AN469" s="42"/>
      <c r="AO469" s="42"/>
      <c r="AP469" s="42"/>
      <c r="AQ469" s="42"/>
      <c r="AR469" s="42"/>
      <c r="AS469" s="50"/>
      <c r="AT469" s="39"/>
      <c r="AU469" s="39"/>
      <c r="AV469" s="49"/>
      <c r="AW469" s="39"/>
      <c r="AX469" s="39">
        <v>10</v>
      </c>
      <c r="AY469" s="30">
        <f>(J469*10)/100</f>
        <v>0</v>
      </c>
      <c r="AZ469" s="42"/>
    </row>
    <row r="470" spans="1:52" ht="15.75" customHeight="1" x14ac:dyDescent="0.25">
      <c r="A470" s="46"/>
      <c r="B470" s="38"/>
      <c r="C470" s="39"/>
      <c r="D470" s="37"/>
      <c r="E470" s="42"/>
      <c r="F470" s="38"/>
      <c r="G470" s="39"/>
      <c r="H470" s="42"/>
      <c r="I470" s="42"/>
      <c r="J470" s="43">
        <v>0</v>
      </c>
      <c r="K470" s="43">
        <v>0</v>
      </c>
      <c r="L470" s="56">
        <v>0</v>
      </c>
      <c r="M470" s="56">
        <v>0</v>
      </c>
      <c r="N470" s="44" t="e">
        <f t="shared" si="81"/>
        <v>#DIV/0!</v>
      </c>
      <c r="O470" s="45">
        <f t="shared" si="85"/>
        <v>0</v>
      </c>
      <c r="P470" s="43"/>
      <c r="Q470" s="45">
        <f t="shared" si="86"/>
        <v>0</v>
      </c>
      <c r="R470" s="43">
        <v>0</v>
      </c>
      <c r="S470" s="30">
        <f t="shared" si="80"/>
        <v>0</v>
      </c>
      <c r="T470" s="30">
        <f t="shared" si="80"/>
        <v>0</v>
      </c>
      <c r="U470" s="30" t="e">
        <f>T470/X470</f>
        <v>#DIV/0!</v>
      </c>
      <c r="V470" s="43" t="e">
        <f>T470/X470</f>
        <v>#DIV/0!</v>
      </c>
      <c r="W470" s="43" t="e">
        <f t="shared" si="82"/>
        <v>#DIV/0!</v>
      </c>
      <c r="X470" s="43">
        <f t="shared" si="87"/>
        <v>0</v>
      </c>
      <c r="Y470" s="43">
        <v>0</v>
      </c>
      <c r="Z470" s="43">
        <v>0</v>
      </c>
      <c r="AA470" s="43">
        <v>0</v>
      </c>
      <c r="AB470" s="43"/>
      <c r="AC470" s="43" t="e">
        <f t="shared" si="83"/>
        <v>#DIV/0!</v>
      </c>
      <c r="AD470" s="43"/>
      <c r="AE470" s="43" t="e">
        <f t="shared" si="84"/>
        <v>#DIV/0!</v>
      </c>
      <c r="AF470" s="43" t="e">
        <f t="shared" si="88"/>
        <v>#DIV/0!</v>
      </c>
      <c r="AG470" s="43" t="e">
        <f t="shared" si="89"/>
        <v>#DIV/0!</v>
      </c>
      <c r="AH470" s="38"/>
      <c r="AI470" s="38"/>
      <c r="AJ470" s="38"/>
      <c r="AK470" s="38"/>
      <c r="AL470" s="38"/>
      <c r="AM470" s="48"/>
      <c r="AN470" s="42"/>
      <c r="AO470" s="42"/>
      <c r="AP470" s="42"/>
      <c r="AQ470" s="42"/>
      <c r="AR470" s="42"/>
      <c r="AS470" s="50"/>
      <c r="AT470" s="39"/>
      <c r="AU470" s="39"/>
      <c r="AV470" s="49"/>
      <c r="AW470" s="39"/>
      <c r="AX470" s="39">
        <v>10</v>
      </c>
      <c r="AY470" s="30">
        <f>(J470*10)/100</f>
        <v>0</v>
      </c>
      <c r="AZ470" s="42"/>
    </row>
    <row r="471" spans="1:52" ht="15.75" customHeight="1" x14ac:dyDescent="0.25">
      <c r="A471" s="46"/>
      <c r="B471" s="38"/>
      <c r="C471" s="39"/>
      <c r="D471" s="37"/>
      <c r="E471" s="42"/>
      <c r="F471" s="38"/>
      <c r="G471" s="39"/>
      <c r="H471" s="42"/>
      <c r="I471" s="42"/>
      <c r="J471" s="43">
        <v>0</v>
      </c>
      <c r="K471" s="43">
        <v>0</v>
      </c>
      <c r="L471" s="56">
        <v>0</v>
      </c>
      <c r="M471" s="56">
        <v>0</v>
      </c>
      <c r="N471" s="44" t="e">
        <f t="shared" si="81"/>
        <v>#DIV/0!</v>
      </c>
      <c r="O471" s="45">
        <f t="shared" si="85"/>
        <v>0</v>
      </c>
      <c r="P471" s="43"/>
      <c r="Q471" s="45">
        <f t="shared" si="86"/>
        <v>0</v>
      </c>
      <c r="R471" s="43">
        <v>0</v>
      </c>
      <c r="S471" s="30">
        <f t="shared" ref="S471:T525" si="90">R471</f>
        <v>0</v>
      </c>
      <c r="T471" s="30">
        <f t="shared" si="90"/>
        <v>0</v>
      </c>
      <c r="U471" s="30" t="e">
        <f>T471/X471</f>
        <v>#DIV/0!</v>
      </c>
      <c r="V471" s="43" t="e">
        <f>T471/X471</f>
        <v>#DIV/0!</v>
      </c>
      <c r="W471" s="43" t="e">
        <f t="shared" si="82"/>
        <v>#DIV/0!</v>
      </c>
      <c r="X471" s="43">
        <f t="shared" si="87"/>
        <v>0</v>
      </c>
      <c r="Y471" s="43">
        <v>0</v>
      </c>
      <c r="Z471" s="43">
        <v>0</v>
      </c>
      <c r="AA471" s="43">
        <v>0</v>
      </c>
      <c r="AB471" s="43"/>
      <c r="AC471" s="43" t="e">
        <f t="shared" si="83"/>
        <v>#DIV/0!</v>
      </c>
      <c r="AD471" s="43"/>
      <c r="AE471" s="43" t="e">
        <f t="shared" si="84"/>
        <v>#DIV/0!</v>
      </c>
      <c r="AF471" s="43" t="e">
        <f t="shared" si="88"/>
        <v>#DIV/0!</v>
      </c>
      <c r="AG471" s="43" t="e">
        <f t="shared" si="89"/>
        <v>#DIV/0!</v>
      </c>
      <c r="AH471" s="38"/>
      <c r="AI471" s="38"/>
      <c r="AJ471" s="38"/>
      <c r="AK471" s="38"/>
      <c r="AL471" s="38"/>
      <c r="AM471" s="48"/>
      <c r="AN471" s="42"/>
      <c r="AO471" s="42"/>
      <c r="AP471" s="42"/>
      <c r="AQ471" s="42"/>
      <c r="AR471" s="42"/>
      <c r="AS471" s="50"/>
      <c r="AT471" s="39"/>
      <c r="AU471" s="39"/>
      <c r="AV471" s="49"/>
      <c r="AW471" s="39"/>
      <c r="AX471" s="39">
        <v>10</v>
      </c>
      <c r="AY471" s="30">
        <f>(J471*10)/100</f>
        <v>0</v>
      </c>
      <c r="AZ471" s="42"/>
    </row>
    <row r="472" spans="1:52" ht="15.75" customHeight="1" x14ac:dyDescent="0.25">
      <c r="A472" s="46"/>
      <c r="B472" s="38"/>
      <c r="C472" s="39"/>
      <c r="D472" s="37"/>
      <c r="E472" s="42"/>
      <c r="F472" s="38"/>
      <c r="G472" s="39"/>
      <c r="H472" s="42"/>
      <c r="I472" s="42"/>
      <c r="J472" s="43">
        <v>0</v>
      </c>
      <c r="K472" s="43">
        <v>0</v>
      </c>
      <c r="L472" s="56">
        <v>0</v>
      </c>
      <c r="M472" s="56">
        <v>0</v>
      </c>
      <c r="N472" s="44" t="e">
        <f t="shared" si="81"/>
        <v>#DIV/0!</v>
      </c>
      <c r="O472" s="45">
        <f t="shared" si="85"/>
        <v>0</v>
      </c>
      <c r="P472" s="43"/>
      <c r="Q472" s="45">
        <f t="shared" si="86"/>
        <v>0</v>
      </c>
      <c r="R472" s="43">
        <v>0</v>
      </c>
      <c r="S472" s="30">
        <f t="shared" si="90"/>
        <v>0</v>
      </c>
      <c r="T472" s="30">
        <f t="shared" si="90"/>
        <v>0</v>
      </c>
      <c r="U472" s="30" t="e">
        <f>T472/X472</f>
        <v>#DIV/0!</v>
      </c>
      <c r="V472" s="43" t="e">
        <f>T472/X472</f>
        <v>#DIV/0!</v>
      </c>
      <c r="W472" s="43" t="e">
        <f t="shared" si="82"/>
        <v>#DIV/0!</v>
      </c>
      <c r="X472" s="43">
        <f t="shared" si="87"/>
        <v>0</v>
      </c>
      <c r="Y472" s="43">
        <v>0</v>
      </c>
      <c r="Z472" s="43">
        <v>0</v>
      </c>
      <c r="AA472" s="43">
        <v>0</v>
      </c>
      <c r="AB472" s="43"/>
      <c r="AC472" s="43" t="e">
        <f t="shared" si="83"/>
        <v>#DIV/0!</v>
      </c>
      <c r="AD472" s="43"/>
      <c r="AE472" s="43" t="e">
        <f t="shared" si="84"/>
        <v>#DIV/0!</v>
      </c>
      <c r="AF472" s="43" t="e">
        <f t="shared" si="88"/>
        <v>#DIV/0!</v>
      </c>
      <c r="AG472" s="43" t="e">
        <f t="shared" si="89"/>
        <v>#DIV/0!</v>
      </c>
      <c r="AH472" s="38"/>
      <c r="AI472" s="38"/>
      <c r="AJ472" s="38"/>
      <c r="AK472" s="38"/>
      <c r="AL472" s="38"/>
      <c r="AM472" s="48"/>
      <c r="AN472" s="42"/>
      <c r="AO472" s="42"/>
      <c r="AP472" s="42"/>
      <c r="AQ472" s="42"/>
      <c r="AR472" s="42"/>
      <c r="AS472" s="50"/>
      <c r="AT472" s="39"/>
      <c r="AU472" s="39"/>
      <c r="AV472" s="49"/>
      <c r="AW472" s="39"/>
      <c r="AX472" s="39">
        <v>10</v>
      </c>
      <c r="AY472" s="30">
        <f>(J472*10)/100</f>
        <v>0</v>
      </c>
      <c r="AZ472" s="42"/>
    </row>
    <row r="473" spans="1:52" ht="15.75" customHeight="1" x14ac:dyDescent="0.25">
      <c r="A473" s="46"/>
      <c r="B473" s="38"/>
      <c r="C473" s="39"/>
      <c r="D473" s="37"/>
      <c r="E473" s="42"/>
      <c r="F473" s="38"/>
      <c r="G473" s="39"/>
      <c r="H473" s="42"/>
      <c r="I473" s="42"/>
      <c r="J473" s="43">
        <v>0</v>
      </c>
      <c r="K473" s="43">
        <v>0</v>
      </c>
      <c r="L473" s="56">
        <v>0</v>
      </c>
      <c r="M473" s="56">
        <v>0</v>
      </c>
      <c r="N473" s="44" t="e">
        <f t="shared" si="81"/>
        <v>#DIV/0!</v>
      </c>
      <c r="O473" s="45">
        <f t="shared" si="85"/>
        <v>0</v>
      </c>
      <c r="P473" s="43"/>
      <c r="Q473" s="45">
        <f t="shared" si="86"/>
        <v>0</v>
      </c>
      <c r="R473" s="43">
        <v>0</v>
      </c>
      <c r="S473" s="30">
        <f t="shared" si="90"/>
        <v>0</v>
      </c>
      <c r="T473" s="30">
        <f t="shared" si="90"/>
        <v>0</v>
      </c>
      <c r="U473" s="30" t="e">
        <f>T473/X473</f>
        <v>#DIV/0!</v>
      </c>
      <c r="V473" s="43" t="e">
        <f>T473/X473</f>
        <v>#DIV/0!</v>
      </c>
      <c r="W473" s="43" t="e">
        <f t="shared" si="82"/>
        <v>#DIV/0!</v>
      </c>
      <c r="X473" s="43">
        <f t="shared" si="87"/>
        <v>0</v>
      </c>
      <c r="Y473" s="43">
        <v>0</v>
      </c>
      <c r="Z473" s="43">
        <v>0</v>
      </c>
      <c r="AA473" s="43">
        <v>0</v>
      </c>
      <c r="AB473" s="43"/>
      <c r="AC473" s="43" t="e">
        <f t="shared" si="83"/>
        <v>#DIV/0!</v>
      </c>
      <c r="AD473" s="43"/>
      <c r="AE473" s="43" t="e">
        <f t="shared" si="84"/>
        <v>#DIV/0!</v>
      </c>
      <c r="AF473" s="43" t="e">
        <f t="shared" si="88"/>
        <v>#DIV/0!</v>
      </c>
      <c r="AG473" s="43" t="e">
        <f t="shared" si="89"/>
        <v>#DIV/0!</v>
      </c>
      <c r="AH473" s="38"/>
      <c r="AI473" s="38"/>
      <c r="AJ473" s="38"/>
      <c r="AK473" s="38"/>
      <c r="AL473" s="38"/>
      <c r="AM473" s="48"/>
      <c r="AN473" s="42"/>
      <c r="AO473" s="42"/>
      <c r="AP473" s="42"/>
      <c r="AQ473" s="42"/>
      <c r="AR473" s="42"/>
      <c r="AS473" s="50"/>
      <c r="AT473" s="39"/>
      <c r="AU473" s="39"/>
      <c r="AV473" s="49"/>
      <c r="AW473" s="39"/>
      <c r="AX473" s="39">
        <v>10</v>
      </c>
      <c r="AY473" s="30">
        <f>(J473*10)/100</f>
        <v>0</v>
      </c>
      <c r="AZ473" s="42"/>
    </row>
    <row r="474" spans="1:52" ht="15.75" customHeight="1" x14ac:dyDescent="0.25">
      <c r="A474" s="46"/>
      <c r="B474" s="38"/>
      <c r="C474" s="39"/>
      <c r="D474" s="37"/>
      <c r="E474" s="42"/>
      <c r="F474" s="38"/>
      <c r="G474" s="39"/>
      <c r="H474" s="42"/>
      <c r="I474" s="42"/>
      <c r="J474" s="43">
        <v>0</v>
      </c>
      <c r="K474" s="43">
        <v>0</v>
      </c>
      <c r="L474" s="56">
        <v>0</v>
      </c>
      <c r="M474" s="56">
        <v>0</v>
      </c>
      <c r="N474" s="44" t="e">
        <f t="shared" si="81"/>
        <v>#DIV/0!</v>
      </c>
      <c r="O474" s="45">
        <f t="shared" si="85"/>
        <v>0</v>
      </c>
      <c r="P474" s="43"/>
      <c r="Q474" s="45">
        <f t="shared" si="86"/>
        <v>0</v>
      </c>
      <c r="R474" s="43">
        <v>0</v>
      </c>
      <c r="S474" s="30">
        <f t="shared" si="90"/>
        <v>0</v>
      </c>
      <c r="T474" s="30">
        <f t="shared" si="90"/>
        <v>0</v>
      </c>
      <c r="U474" s="30" t="e">
        <f>T474/X474</f>
        <v>#DIV/0!</v>
      </c>
      <c r="V474" s="43" t="e">
        <f>T474/X474</f>
        <v>#DIV/0!</v>
      </c>
      <c r="W474" s="43" t="e">
        <f t="shared" si="82"/>
        <v>#DIV/0!</v>
      </c>
      <c r="X474" s="43">
        <f t="shared" si="87"/>
        <v>0</v>
      </c>
      <c r="Y474" s="43">
        <v>0</v>
      </c>
      <c r="Z474" s="43">
        <v>0</v>
      </c>
      <c r="AA474" s="43">
        <v>0</v>
      </c>
      <c r="AB474" s="43"/>
      <c r="AC474" s="43" t="e">
        <f t="shared" si="83"/>
        <v>#DIV/0!</v>
      </c>
      <c r="AD474" s="43"/>
      <c r="AE474" s="43" t="e">
        <f t="shared" si="84"/>
        <v>#DIV/0!</v>
      </c>
      <c r="AF474" s="43" t="e">
        <f t="shared" si="88"/>
        <v>#DIV/0!</v>
      </c>
      <c r="AG474" s="43" t="e">
        <f t="shared" si="89"/>
        <v>#DIV/0!</v>
      </c>
      <c r="AH474" s="38"/>
      <c r="AI474" s="38"/>
      <c r="AJ474" s="38"/>
      <c r="AK474" s="38"/>
      <c r="AL474" s="38"/>
      <c r="AM474" s="48"/>
      <c r="AN474" s="42"/>
      <c r="AO474" s="42"/>
      <c r="AP474" s="42"/>
      <c r="AQ474" s="42"/>
      <c r="AR474" s="42"/>
      <c r="AS474" s="50"/>
      <c r="AT474" s="39"/>
      <c r="AU474" s="39"/>
      <c r="AV474" s="49"/>
      <c r="AW474" s="39"/>
      <c r="AX474" s="39">
        <v>10</v>
      </c>
      <c r="AY474" s="30">
        <f>(J474*10)/100</f>
        <v>0</v>
      </c>
      <c r="AZ474" s="42"/>
    </row>
    <row r="475" spans="1:52" ht="15.75" customHeight="1" x14ac:dyDescent="0.25">
      <c r="A475" s="46"/>
      <c r="B475" s="38"/>
      <c r="C475" s="39"/>
      <c r="D475" s="37"/>
      <c r="E475" s="42"/>
      <c r="F475" s="38"/>
      <c r="G475" s="39"/>
      <c r="H475" s="42"/>
      <c r="I475" s="42"/>
      <c r="J475" s="43">
        <v>0</v>
      </c>
      <c r="K475" s="43">
        <v>0</v>
      </c>
      <c r="L475" s="56">
        <v>0</v>
      </c>
      <c r="M475" s="56">
        <v>0</v>
      </c>
      <c r="N475" s="44" t="e">
        <f t="shared" si="81"/>
        <v>#DIV/0!</v>
      </c>
      <c r="O475" s="45">
        <f t="shared" si="85"/>
        <v>0</v>
      </c>
      <c r="P475" s="43"/>
      <c r="Q475" s="45">
        <f t="shared" si="86"/>
        <v>0</v>
      </c>
      <c r="R475" s="43">
        <v>0</v>
      </c>
      <c r="S475" s="30">
        <f t="shared" si="90"/>
        <v>0</v>
      </c>
      <c r="T475" s="30">
        <f t="shared" si="90"/>
        <v>0</v>
      </c>
      <c r="U475" s="30" t="e">
        <f>T475/X475</f>
        <v>#DIV/0!</v>
      </c>
      <c r="V475" s="43" t="e">
        <f>T475/X475</f>
        <v>#DIV/0!</v>
      </c>
      <c r="W475" s="43" t="e">
        <f t="shared" si="82"/>
        <v>#DIV/0!</v>
      </c>
      <c r="X475" s="43">
        <f t="shared" si="87"/>
        <v>0</v>
      </c>
      <c r="Y475" s="43">
        <v>0</v>
      </c>
      <c r="Z475" s="43">
        <v>0</v>
      </c>
      <c r="AA475" s="43">
        <v>0</v>
      </c>
      <c r="AB475" s="43"/>
      <c r="AC475" s="43" t="e">
        <f t="shared" si="83"/>
        <v>#DIV/0!</v>
      </c>
      <c r="AD475" s="43"/>
      <c r="AE475" s="43" t="e">
        <f t="shared" si="84"/>
        <v>#DIV/0!</v>
      </c>
      <c r="AF475" s="43" t="e">
        <f t="shared" si="88"/>
        <v>#DIV/0!</v>
      </c>
      <c r="AG475" s="43" t="e">
        <f t="shared" si="89"/>
        <v>#DIV/0!</v>
      </c>
      <c r="AH475" s="38"/>
      <c r="AI475" s="38"/>
      <c r="AJ475" s="38"/>
      <c r="AK475" s="38"/>
      <c r="AL475" s="38"/>
      <c r="AM475" s="48"/>
      <c r="AN475" s="42"/>
      <c r="AO475" s="42"/>
      <c r="AP475" s="42"/>
      <c r="AQ475" s="42"/>
      <c r="AR475" s="42"/>
      <c r="AS475" s="50"/>
      <c r="AT475" s="39"/>
      <c r="AU475" s="39"/>
      <c r="AV475" s="49"/>
      <c r="AW475" s="39"/>
      <c r="AX475" s="39">
        <v>10</v>
      </c>
      <c r="AY475" s="30">
        <f>(J475*10)/100</f>
        <v>0</v>
      </c>
      <c r="AZ475" s="42"/>
    </row>
    <row r="476" spans="1:52" ht="15.75" customHeight="1" x14ac:dyDescent="0.25">
      <c r="A476" s="46"/>
      <c r="B476" s="38"/>
      <c r="C476" s="39"/>
      <c r="D476" s="37"/>
      <c r="E476" s="42"/>
      <c r="F476" s="38"/>
      <c r="G476" s="39"/>
      <c r="H476" s="42"/>
      <c r="I476" s="42"/>
      <c r="J476" s="43">
        <v>0</v>
      </c>
      <c r="K476" s="43">
        <v>0</v>
      </c>
      <c r="L476" s="56">
        <v>0</v>
      </c>
      <c r="M476" s="56">
        <v>0</v>
      </c>
      <c r="N476" s="44" t="e">
        <f t="shared" si="81"/>
        <v>#DIV/0!</v>
      </c>
      <c r="O476" s="45">
        <f t="shared" si="85"/>
        <v>0</v>
      </c>
      <c r="P476" s="43"/>
      <c r="Q476" s="45">
        <f t="shared" si="86"/>
        <v>0</v>
      </c>
      <c r="R476" s="43">
        <v>0</v>
      </c>
      <c r="S476" s="30">
        <f t="shared" si="90"/>
        <v>0</v>
      </c>
      <c r="T476" s="30">
        <f t="shared" si="90"/>
        <v>0</v>
      </c>
      <c r="U476" s="30" t="e">
        <f>T476/X476</f>
        <v>#DIV/0!</v>
      </c>
      <c r="V476" s="43" t="e">
        <f>T476/X476</f>
        <v>#DIV/0!</v>
      </c>
      <c r="W476" s="43" t="e">
        <f t="shared" si="82"/>
        <v>#DIV/0!</v>
      </c>
      <c r="X476" s="43">
        <f t="shared" si="87"/>
        <v>0</v>
      </c>
      <c r="Y476" s="43">
        <v>0</v>
      </c>
      <c r="Z476" s="43">
        <v>0</v>
      </c>
      <c r="AA476" s="43">
        <v>0</v>
      </c>
      <c r="AB476" s="43"/>
      <c r="AC476" s="43" t="e">
        <f t="shared" si="83"/>
        <v>#DIV/0!</v>
      </c>
      <c r="AD476" s="43"/>
      <c r="AE476" s="43" t="e">
        <f t="shared" si="84"/>
        <v>#DIV/0!</v>
      </c>
      <c r="AF476" s="43" t="e">
        <f t="shared" si="88"/>
        <v>#DIV/0!</v>
      </c>
      <c r="AG476" s="43" t="e">
        <f t="shared" si="89"/>
        <v>#DIV/0!</v>
      </c>
      <c r="AH476" s="38"/>
      <c r="AI476" s="38"/>
      <c r="AJ476" s="38"/>
      <c r="AK476" s="38"/>
      <c r="AL476" s="38"/>
      <c r="AM476" s="48"/>
      <c r="AN476" s="42"/>
      <c r="AO476" s="42"/>
      <c r="AP476" s="42"/>
      <c r="AQ476" s="42"/>
      <c r="AR476" s="42"/>
      <c r="AS476" s="50"/>
      <c r="AT476" s="39"/>
      <c r="AU476" s="39"/>
      <c r="AV476" s="49"/>
      <c r="AW476" s="39"/>
      <c r="AX476" s="39">
        <v>10</v>
      </c>
      <c r="AY476" s="30">
        <f>(J476*10)/100</f>
        <v>0</v>
      </c>
      <c r="AZ476" s="42"/>
    </row>
    <row r="477" spans="1:52" ht="15.75" customHeight="1" x14ac:dyDescent="0.25">
      <c r="A477" s="46"/>
      <c r="B477" s="38"/>
      <c r="C477" s="39"/>
      <c r="D477" s="37"/>
      <c r="E477" s="42"/>
      <c r="F477" s="38"/>
      <c r="G477" s="39"/>
      <c r="H477" s="42"/>
      <c r="I477" s="42"/>
      <c r="J477" s="43">
        <v>0</v>
      </c>
      <c r="K477" s="43">
        <v>0</v>
      </c>
      <c r="L477" s="56">
        <v>0</v>
      </c>
      <c r="M477" s="56">
        <v>0</v>
      </c>
      <c r="N477" s="44" t="e">
        <f t="shared" si="81"/>
        <v>#DIV/0!</v>
      </c>
      <c r="O477" s="45">
        <f t="shared" si="85"/>
        <v>0</v>
      </c>
      <c r="P477" s="43"/>
      <c r="Q477" s="45">
        <f t="shared" si="86"/>
        <v>0</v>
      </c>
      <c r="R477" s="43">
        <v>0</v>
      </c>
      <c r="S477" s="30">
        <f t="shared" si="90"/>
        <v>0</v>
      </c>
      <c r="T477" s="30">
        <f t="shared" si="90"/>
        <v>0</v>
      </c>
      <c r="U477" s="30" t="e">
        <f>T477/X477</f>
        <v>#DIV/0!</v>
      </c>
      <c r="V477" s="43" t="e">
        <f>T477/X477</f>
        <v>#DIV/0!</v>
      </c>
      <c r="W477" s="43" t="e">
        <f t="shared" si="82"/>
        <v>#DIV/0!</v>
      </c>
      <c r="X477" s="43">
        <f t="shared" si="87"/>
        <v>0</v>
      </c>
      <c r="Y477" s="43">
        <v>0</v>
      </c>
      <c r="Z477" s="43">
        <v>0</v>
      </c>
      <c r="AA477" s="43">
        <v>0</v>
      </c>
      <c r="AB477" s="43"/>
      <c r="AC477" s="43" t="e">
        <f t="shared" si="83"/>
        <v>#DIV/0!</v>
      </c>
      <c r="AD477" s="43"/>
      <c r="AE477" s="43" t="e">
        <f t="shared" si="84"/>
        <v>#DIV/0!</v>
      </c>
      <c r="AF477" s="43" t="e">
        <f t="shared" si="88"/>
        <v>#DIV/0!</v>
      </c>
      <c r="AG477" s="43" t="e">
        <f t="shared" si="89"/>
        <v>#DIV/0!</v>
      </c>
      <c r="AH477" s="38"/>
      <c r="AI477" s="38"/>
      <c r="AJ477" s="38"/>
      <c r="AK477" s="38"/>
      <c r="AL477" s="38"/>
      <c r="AM477" s="48"/>
      <c r="AN477" s="42"/>
      <c r="AO477" s="42"/>
      <c r="AP477" s="42"/>
      <c r="AQ477" s="42"/>
      <c r="AR477" s="42"/>
      <c r="AS477" s="50"/>
      <c r="AT477" s="39"/>
      <c r="AU477" s="39"/>
      <c r="AV477" s="49"/>
      <c r="AW477" s="39"/>
      <c r="AX477" s="39">
        <v>10</v>
      </c>
      <c r="AY477" s="30">
        <f>(J477*10)/100</f>
        <v>0</v>
      </c>
      <c r="AZ477" s="42"/>
    </row>
    <row r="478" spans="1:52" ht="15.75" customHeight="1" x14ac:dyDescent="0.25">
      <c r="A478" s="46"/>
      <c r="B478" s="38"/>
      <c r="C478" s="39"/>
      <c r="D478" s="37"/>
      <c r="E478" s="42"/>
      <c r="F478" s="38"/>
      <c r="G478" s="39"/>
      <c r="H478" s="42"/>
      <c r="I478" s="42"/>
      <c r="J478" s="43">
        <v>0</v>
      </c>
      <c r="K478" s="43">
        <v>0</v>
      </c>
      <c r="L478" s="56">
        <v>0</v>
      </c>
      <c r="M478" s="56">
        <v>0</v>
      </c>
      <c r="N478" s="44" t="e">
        <f t="shared" si="81"/>
        <v>#DIV/0!</v>
      </c>
      <c r="O478" s="45">
        <f t="shared" si="85"/>
        <v>0</v>
      </c>
      <c r="P478" s="43"/>
      <c r="Q478" s="45">
        <f t="shared" si="86"/>
        <v>0</v>
      </c>
      <c r="R478" s="43">
        <v>0</v>
      </c>
      <c r="S478" s="30">
        <f t="shared" si="90"/>
        <v>0</v>
      </c>
      <c r="T478" s="30">
        <f t="shared" si="90"/>
        <v>0</v>
      </c>
      <c r="U478" s="30" t="e">
        <f>T478/X478</f>
        <v>#DIV/0!</v>
      </c>
      <c r="V478" s="43" t="e">
        <f>T478/X478</f>
        <v>#DIV/0!</v>
      </c>
      <c r="W478" s="43" t="e">
        <f t="shared" si="82"/>
        <v>#DIV/0!</v>
      </c>
      <c r="X478" s="43">
        <f t="shared" si="87"/>
        <v>0</v>
      </c>
      <c r="Y478" s="43">
        <v>0</v>
      </c>
      <c r="Z478" s="43">
        <v>0</v>
      </c>
      <c r="AA478" s="43">
        <v>0</v>
      </c>
      <c r="AB478" s="43"/>
      <c r="AC478" s="43" t="e">
        <f t="shared" si="83"/>
        <v>#DIV/0!</v>
      </c>
      <c r="AD478" s="43"/>
      <c r="AE478" s="43" t="e">
        <f t="shared" si="84"/>
        <v>#DIV/0!</v>
      </c>
      <c r="AF478" s="43" t="e">
        <f t="shared" si="88"/>
        <v>#DIV/0!</v>
      </c>
      <c r="AG478" s="43" t="e">
        <f t="shared" si="89"/>
        <v>#DIV/0!</v>
      </c>
      <c r="AH478" s="38"/>
      <c r="AI478" s="38"/>
      <c r="AJ478" s="38"/>
      <c r="AK478" s="38"/>
      <c r="AL478" s="38"/>
      <c r="AM478" s="48"/>
      <c r="AN478" s="42"/>
      <c r="AO478" s="42"/>
      <c r="AP478" s="42"/>
      <c r="AQ478" s="42"/>
      <c r="AR478" s="42"/>
      <c r="AS478" s="50"/>
      <c r="AT478" s="39"/>
      <c r="AU478" s="39"/>
      <c r="AV478" s="49"/>
      <c r="AW478" s="39"/>
      <c r="AX478" s="39">
        <v>10</v>
      </c>
      <c r="AY478" s="30">
        <f>(J478*10)/100</f>
        <v>0</v>
      </c>
      <c r="AZ478" s="42"/>
    </row>
    <row r="479" spans="1:52" ht="15.75" customHeight="1" x14ac:dyDescent="0.25">
      <c r="A479" s="46"/>
      <c r="B479" s="38"/>
      <c r="C479" s="39"/>
      <c r="D479" s="37"/>
      <c r="E479" s="42"/>
      <c r="F479" s="38"/>
      <c r="G479" s="39"/>
      <c r="H479" s="42"/>
      <c r="I479" s="42"/>
      <c r="J479" s="43">
        <v>0</v>
      </c>
      <c r="K479" s="43">
        <v>0</v>
      </c>
      <c r="L479" s="56">
        <v>0</v>
      </c>
      <c r="M479" s="56">
        <v>0</v>
      </c>
      <c r="N479" s="44" t="e">
        <f t="shared" si="81"/>
        <v>#DIV/0!</v>
      </c>
      <c r="O479" s="45">
        <f t="shared" si="85"/>
        <v>0</v>
      </c>
      <c r="P479" s="43"/>
      <c r="Q479" s="45">
        <f t="shared" si="86"/>
        <v>0</v>
      </c>
      <c r="R479" s="43">
        <v>0</v>
      </c>
      <c r="S479" s="30">
        <f t="shared" si="90"/>
        <v>0</v>
      </c>
      <c r="T479" s="30">
        <f t="shared" si="90"/>
        <v>0</v>
      </c>
      <c r="U479" s="30" t="e">
        <f>T479/X479</f>
        <v>#DIV/0!</v>
      </c>
      <c r="V479" s="43" t="e">
        <f>T479/X479</f>
        <v>#DIV/0!</v>
      </c>
      <c r="W479" s="43" t="e">
        <f t="shared" si="82"/>
        <v>#DIV/0!</v>
      </c>
      <c r="X479" s="43">
        <f t="shared" si="87"/>
        <v>0</v>
      </c>
      <c r="Y479" s="43">
        <v>0</v>
      </c>
      <c r="Z479" s="43">
        <v>0</v>
      </c>
      <c r="AA479" s="43">
        <v>0</v>
      </c>
      <c r="AB479" s="43"/>
      <c r="AC479" s="43" t="e">
        <f t="shared" si="83"/>
        <v>#DIV/0!</v>
      </c>
      <c r="AD479" s="43"/>
      <c r="AE479" s="43" t="e">
        <f t="shared" si="84"/>
        <v>#DIV/0!</v>
      </c>
      <c r="AF479" s="43" t="e">
        <f t="shared" si="88"/>
        <v>#DIV/0!</v>
      </c>
      <c r="AG479" s="43" t="e">
        <f t="shared" si="89"/>
        <v>#DIV/0!</v>
      </c>
      <c r="AH479" s="38"/>
      <c r="AI479" s="38"/>
      <c r="AJ479" s="38"/>
      <c r="AK479" s="38"/>
      <c r="AL479" s="38"/>
      <c r="AM479" s="48"/>
      <c r="AN479" s="42"/>
      <c r="AO479" s="42"/>
      <c r="AP479" s="42"/>
      <c r="AQ479" s="42"/>
      <c r="AR479" s="42"/>
      <c r="AS479" s="50"/>
      <c r="AT479" s="39"/>
      <c r="AU479" s="39"/>
      <c r="AV479" s="49"/>
      <c r="AW479" s="39"/>
      <c r="AX479" s="39">
        <v>10</v>
      </c>
      <c r="AY479" s="30">
        <f>(J479*10)/100</f>
        <v>0</v>
      </c>
      <c r="AZ479" s="42"/>
    </row>
    <row r="480" spans="1:52" ht="15.75" customHeight="1" x14ac:dyDescent="0.25">
      <c r="A480" s="46"/>
      <c r="B480" s="38"/>
      <c r="C480" s="39"/>
      <c r="D480" s="37"/>
      <c r="E480" s="42"/>
      <c r="F480" s="38"/>
      <c r="G480" s="39"/>
      <c r="H480" s="42"/>
      <c r="I480" s="42"/>
      <c r="J480" s="43">
        <v>0</v>
      </c>
      <c r="K480" s="43">
        <v>0</v>
      </c>
      <c r="L480" s="56">
        <v>0</v>
      </c>
      <c r="M480" s="56">
        <v>0</v>
      </c>
      <c r="N480" s="44" t="e">
        <f t="shared" ref="N480:N525" si="91">((J480-P480)/J480)*100</f>
        <v>#DIV/0!</v>
      </c>
      <c r="O480" s="45">
        <f t="shared" si="85"/>
        <v>0</v>
      </c>
      <c r="P480" s="43"/>
      <c r="Q480" s="45">
        <f t="shared" si="86"/>
        <v>0</v>
      </c>
      <c r="R480" s="43">
        <v>0</v>
      </c>
      <c r="S480" s="30">
        <f t="shared" si="90"/>
        <v>0</v>
      </c>
      <c r="T480" s="30">
        <f t="shared" si="90"/>
        <v>0</v>
      </c>
      <c r="U480" s="30" t="e">
        <f>T480/X480</f>
        <v>#DIV/0!</v>
      </c>
      <c r="V480" s="43" t="e">
        <f>T480/X480</f>
        <v>#DIV/0!</v>
      </c>
      <c r="W480" s="43" t="e">
        <f t="shared" si="82"/>
        <v>#DIV/0!</v>
      </c>
      <c r="X480" s="43">
        <f t="shared" si="87"/>
        <v>0</v>
      </c>
      <c r="Y480" s="43">
        <v>0</v>
      </c>
      <c r="Z480" s="43">
        <v>0</v>
      </c>
      <c r="AA480" s="43">
        <v>0</v>
      </c>
      <c r="AB480" s="43"/>
      <c r="AC480" s="43" t="e">
        <f t="shared" si="83"/>
        <v>#DIV/0!</v>
      </c>
      <c r="AD480" s="43"/>
      <c r="AE480" s="43" t="e">
        <f t="shared" si="84"/>
        <v>#DIV/0!</v>
      </c>
      <c r="AF480" s="43" t="e">
        <f t="shared" si="88"/>
        <v>#DIV/0!</v>
      </c>
      <c r="AG480" s="43" t="e">
        <f t="shared" si="89"/>
        <v>#DIV/0!</v>
      </c>
      <c r="AH480" s="38"/>
      <c r="AI480" s="38"/>
      <c r="AJ480" s="38"/>
      <c r="AK480" s="38"/>
      <c r="AL480" s="38"/>
      <c r="AM480" s="48"/>
      <c r="AN480" s="42"/>
      <c r="AO480" s="42"/>
      <c r="AP480" s="42"/>
      <c r="AQ480" s="42"/>
      <c r="AR480" s="42"/>
      <c r="AS480" s="50"/>
      <c r="AT480" s="39"/>
      <c r="AU480" s="39"/>
      <c r="AV480" s="49"/>
      <c r="AW480" s="39"/>
      <c r="AX480" s="39">
        <v>10</v>
      </c>
      <c r="AY480" s="30">
        <f>(J480*10)/100</f>
        <v>0</v>
      </c>
      <c r="AZ480" s="42"/>
    </row>
    <row r="481" spans="1:52" ht="15.75" customHeight="1" x14ac:dyDescent="0.25">
      <c r="A481" s="46"/>
      <c r="B481" s="38"/>
      <c r="C481" s="39"/>
      <c r="D481" s="37"/>
      <c r="E481" s="42"/>
      <c r="F481" s="38"/>
      <c r="G481" s="39"/>
      <c r="H481" s="42"/>
      <c r="I481" s="42"/>
      <c r="J481" s="43">
        <v>0</v>
      </c>
      <c r="K481" s="43">
        <v>0</v>
      </c>
      <c r="L481" s="56">
        <v>0</v>
      </c>
      <c r="M481" s="56">
        <v>0</v>
      </c>
      <c r="N481" s="44" t="e">
        <f t="shared" si="91"/>
        <v>#DIV/0!</v>
      </c>
      <c r="O481" s="45">
        <f t="shared" si="85"/>
        <v>0</v>
      </c>
      <c r="P481" s="43"/>
      <c r="Q481" s="45">
        <f t="shared" si="86"/>
        <v>0</v>
      </c>
      <c r="R481" s="43">
        <v>0</v>
      </c>
      <c r="S481" s="30">
        <f t="shared" si="90"/>
        <v>0</v>
      </c>
      <c r="T481" s="30">
        <f t="shared" si="90"/>
        <v>0</v>
      </c>
      <c r="U481" s="30" t="e">
        <f>T481/X481</f>
        <v>#DIV/0!</v>
      </c>
      <c r="V481" s="43" t="e">
        <f>T481/X481</f>
        <v>#DIV/0!</v>
      </c>
      <c r="W481" s="43" t="e">
        <f t="shared" si="82"/>
        <v>#DIV/0!</v>
      </c>
      <c r="X481" s="43">
        <f t="shared" si="87"/>
        <v>0</v>
      </c>
      <c r="Y481" s="43">
        <v>0</v>
      </c>
      <c r="Z481" s="43">
        <v>0</v>
      </c>
      <c r="AA481" s="43">
        <v>0</v>
      </c>
      <c r="AB481" s="43"/>
      <c r="AC481" s="43" t="e">
        <f t="shared" si="83"/>
        <v>#DIV/0!</v>
      </c>
      <c r="AD481" s="43"/>
      <c r="AE481" s="43" t="e">
        <f t="shared" si="84"/>
        <v>#DIV/0!</v>
      </c>
      <c r="AF481" s="43" t="e">
        <f t="shared" si="88"/>
        <v>#DIV/0!</v>
      </c>
      <c r="AG481" s="43" t="e">
        <f t="shared" si="89"/>
        <v>#DIV/0!</v>
      </c>
      <c r="AH481" s="38"/>
      <c r="AI481" s="38"/>
      <c r="AJ481" s="38"/>
      <c r="AK481" s="38"/>
      <c r="AL481" s="38"/>
      <c r="AM481" s="48"/>
      <c r="AN481" s="42"/>
      <c r="AO481" s="42"/>
      <c r="AP481" s="42"/>
      <c r="AQ481" s="42"/>
      <c r="AR481" s="42"/>
      <c r="AS481" s="50"/>
      <c r="AT481" s="39"/>
      <c r="AU481" s="39"/>
      <c r="AV481" s="49"/>
      <c r="AW481" s="39"/>
      <c r="AX481" s="39">
        <v>10</v>
      </c>
      <c r="AY481" s="30">
        <f>(J481*10)/100</f>
        <v>0</v>
      </c>
      <c r="AZ481" s="42"/>
    </row>
    <row r="482" spans="1:52" ht="15.75" customHeight="1" x14ac:dyDescent="0.25">
      <c r="A482" s="46"/>
      <c r="B482" s="38"/>
      <c r="C482" s="39"/>
      <c r="D482" s="37"/>
      <c r="E482" s="42"/>
      <c r="F482" s="38"/>
      <c r="G482" s="39"/>
      <c r="H482" s="42"/>
      <c r="I482" s="42"/>
      <c r="J482" s="43">
        <v>0</v>
      </c>
      <c r="K482" s="43">
        <v>0</v>
      </c>
      <c r="L482" s="56">
        <v>0</v>
      </c>
      <c r="M482" s="56">
        <v>0</v>
      </c>
      <c r="N482" s="44" t="e">
        <f t="shared" si="91"/>
        <v>#DIV/0!</v>
      </c>
      <c r="O482" s="45">
        <f t="shared" si="85"/>
        <v>0</v>
      </c>
      <c r="P482" s="43"/>
      <c r="Q482" s="45">
        <f t="shared" si="86"/>
        <v>0</v>
      </c>
      <c r="R482" s="43">
        <v>0</v>
      </c>
      <c r="S482" s="30">
        <f t="shared" si="90"/>
        <v>0</v>
      </c>
      <c r="T482" s="30">
        <f t="shared" si="90"/>
        <v>0</v>
      </c>
      <c r="U482" s="30" t="e">
        <f>T482/X482</f>
        <v>#DIV/0!</v>
      </c>
      <c r="V482" s="43" t="e">
        <f>T482/X482</f>
        <v>#DIV/0!</v>
      </c>
      <c r="W482" s="43" t="e">
        <f t="shared" si="82"/>
        <v>#DIV/0!</v>
      </c>
      <c r="X482" s="43">
        <f t="shared" si="87"/>
        <v>0</v>
      </c>
      <c r="Y482" s="43">
        <v>0</v>
      </c>
      <c r="Z482" s="43">
        <v>0</v>
      </c>
      <c r="AA482" s="43">
        <v>0</v>
      </c>
      <c r="AB482" s="43"/>
      <c r="AC482" s="43" t="e">
        <f t="shared" si="83"/>
        <v>#DIV/0!</v>
      </c>
      <c r="AD482" s="43"/>
      <c r="AE482" s="43" t="e">
        <f t="shared" si="84"/>
        <v>#DIV/0!</v>
      </c>
      <c r="AF482" s="43" t="e">
        <f t="shared" si="88"/>
        <v>#DIV/0!</v>
      </c>
      <c r="AG482" s="43" t="e">
        <f t="shared" si="89"/>
        <v>#DIV/0!</v>
      </c>
      <c r="AH482" s="38"/>
      <c r="AI482" s="38"/>
      <c r="AJ482" s="38"/>
      <c r="AK482" s="38"/>
      <c r="AL482" s="38"/>
      <c r="AM482" s="48"/>
      <c r="AN482" s="42"/>
      <c r="AO482" s="42"/>
      <c r="AP482" s="42"/>
      <c r="AQ482" s="42"/>
      <c r="AR482" s="42"/>
      <c r="AS482" s="50"/>
      <c r="AT482" s="39"/>
      <c r="AU482" s="39"/>
      <c r="AV482" s="49"/>
      <c r="AW482" s="39"/>
      <c r="AX482" s="39">
        <v>10</v>
      </c>
      <c r="AY482" s="30">
        <f>(J482*10)/100</f>
        <v>0</v>
      </c>
      <c r="AZ482" s="42"/>
    </row>
    <row r="483" spans="1:52" ht="15.75" customHeight="1" x14ac:dyDescent="0.25">
      <c r="A483" s="46"/>
      <c r="B483" s="38"/>
      <c r="C483" s="39"/>
      <c r="D483" s="37"/>
      <c r="E483" s="42"/>
      <c r="F483" s="38"/>
      <c r="G483" s="39"/>
      <c r="H483" s="42"/>
      <c r="I483" s="42"/>
      <c r="J483" s="43">
        <v>0</v>
      </c>
      <c r="K483" s="43">
        <v>0</v>
      </c>
      <c r="L483" s="56">
        <v>0</v>
      </c>
      <c r="M483" s="56">
        <v>0</v>
      </c>
      <c r="N483" s="44" t="e">
        <f t="shared" si="91"/>
        <v>#DIV/0!</v>
      </c>
      <c r="O483" s="45">
        <f t="shared" si="85"/>
        <v>0</v>
      </c>
      <c r="P483" s="43"/>
      <c r="Q483" s="45">
        <f t="shared" si="86"/>
        <v>0</v>
      </c>
      <c r="R483" s="43">
        <v>0</v>
      </c>
      <c r="S483" s="30">
        <f t="shared" si="90"/>
        <v>0</v>
      </c>
      <c r="T483" s="30">
        <f t="shared" si="90"/>
        <v>0</v>
      </c>
      <c r="U483" s="30" t="e">
        <f>T483/X483</f>
        <v>#DIV/0!</v>
      </c>
      <c r="V483" s="43" t="e">
        <f>T483/X483</f>
        <v>#DIV/0!</v>
      </c>
      <c r="W483" s="43" t="e">
        <f t="shared" si="82"/>
        <v>#DIV/0!</v>
      </c>
      <c r="X483" s="43">
        <f t="shared" si="87"/>
        <v>0</v>
      </c>
      <c r="Y483" s="43">
        <v>0</v>
      </c>
      <c r="Z483" s="43">
        <v>0</v>
      </c>
      <c r="AA483" s="43">
        <v>0</v>
      </c>
      <c r="AB483" s="43"/>
      <c r="AC483" s="43" t="e">
        <f t="shared" si="83"/>
        <v>#DIV/0!</v>
      </c>
      <c r="AD483" s="43"/>
      <c r="AE483" s="43" t="e">
        <f t="shared" si="84"/>
        <v>#DIV/0!</v>
      </c>
      <c r="AF483" s="43" t="e">
        <f t="shared" si="88"/>
        <v>#DIV/0!</v>
      </c>
      <c r="AG483" s="43" t="e">
        <f t="shared" si="89"/>
        <v>#DIV/0!</v>
      </c>
      <c r="AH483" s="38"/>
      <c r="AI483" s="38"/>
      <c r="AJ483" s="38"/>
      <c r="AK483" s="38"/>
      <c r="AL483" s="38"/>
      <c r="AM483" s="48"/>
      <c r="AN483" s="42"/>
      <c r="AO483" s="42"/>
      <c r="AP483" s="42"/>
      <c r="AQ483" s="42"/>
      <c r="AR483" s="42"/>
      <c r="AS483" s="50"/>
      <c r="AT483" s="39"/>
      <c r="AU483" s="39"/>
      <c r="AV483" s="49"/>
      <c r="AW483" s="39"/>
      <c r="AX483" s="39">
        <v>10</v>
      </c>
      <c r="AY483" s="30">
        <f>(J483*10)/100</f>
        <v>0</v>
      </c>
      <c r="AZ483" s="42"/>
    </row>
    <row r="484" spans="1:52" ht="15.75" customHeight="1" x14ac:dyDescent="0.25">
      <c r="A484" s="46"/>
      <c r="B484" s="38"/>
      <c r="C484" s="39"/>
      <c r="D484" s="37"/>
      <c r="E484" s="42"/>
      <c r="F484" s="38"/>
      <c r="G484" s="39"/>
      <c r="H484" s="42"/>
      <c r="I484" s="42"/>
      <c r="J484" s="43">
        <v>0</v>
      </c>
      <c r="K484" s="43">
        <v>0</v>
      </c>
      <c r="L484" s="56">
        <v>0</v>
      </c>
      <c r="M484" s="56">
        <v>0</v>
      </c>
      <c r="N484" s="44" t="e">
        <f t="shared" si="91"/>
        <v>#DIV/0!</v>
      </c>
      <c r="O484" s="45">
        <f t="shared" si="85"/>
        <v>0</v>
      </c>
      <c r="P484" s="43"/>
      <c r="Q484" s="45">
        <f t="shared" si="86"/>
        <v>0</v>
      </c>
      <c r="R484" s="43">
        <v>0</v>
      </c>
      <c r="S484" s="30">
        <f t="shared" si="90"/>
        <v>0</v>
      </c>
      <c r="T484" s="30">
        <f t="shared" si="90"/>
        <v>0</v>
      </c>
      <c r="U484" s="30" t="e">
        <f>T484/X484</f>
        <v>#DIV/0!</v>
      </c>
      <c r="V484" s="43" t="e">
        <f>T484/X484</f>
        <v>#DIV/0!</v>
      </c>
      <c r="W484" s="43" t="e">
        <f t="shared" si="82"/>
        <v>#DIV/0!</v>
      </c>
      <c r="X484" s="43">
        <f t="shared" si="87"/>
        <v>0</v>
      </c>
      <c r="Y484" s="43">
        <v>0</v>
      </c>
      <c r="Z484" s="43">
        <v>0</v>
      </c>
      <c r="AA484" s="43">
        <v>0</v>
      </c>
      <c r="AB484" s="43"/>
      <c r="AC484" s="43" t="e">
        <f t="shared" si="83"/>
        <v>#DIV/0!</v>
      </c>
      <c r="AD484" s="43"/>
      <c r="AE484" s="43" t="e">
        <f t="shared" si="84"/>
        <v>#DIV/0!</v>
      </c>
      <c r="AF484" s="43" t="e">
        <f t="shared" si="88"/>
        <v>#DIV/0!</v>
      </c>
      <c r="AG484" s="43" t="e">
        <f t="shared" si="89"/>
        <v>#DIV/0!</v>
      </c>
      <c r="AH484" s="38"/>
      <c r="AI484" s="38"/>
      <c r="AJ484" s="38"/>
      <c r="AK484" s="38"/>
      <c r="AL484" s="38"/>
      <c r="AM484" s="48"/>
      <c r="AN484" s="42"/>
      <c r="AO484" s="42"/>
      <c r="AP484" s="42"/>
      <c r="AQ484" s="42"/>
      <c r="AR484" s="42"/>
      <c r="AS484" s="50"/>
      <c r="AT484" s="39"/>
      <c r="AU484" s="39"/>
      <c r="AV484" s="49"/>
      <c r="AW484" s="39"/>
      <c r="AX484" s="39">
        <v>10</v>
      </c>
      <c r="AY484" s="30">
        <f>(J484*10)/100</f>
        <v>0</v>
      </c>
      <c r="AZ484" s="42"/>
    </row>
    <row r="485" spans="1:52" ht="15.75" customHeight="1" x14ac:dyDescent="0.25">
      <c r="A485" s="46"/>
      <c r="B485" s="38"/>
      <c r="C485" s="39"/>
      <c r="D485" s="37"/>
      <c r="E485" s="42"/>
      <c r="F485" s="38"/>
      <c r="G485" s="39"/>
      <c r="H485" s="42"/>
      <c r="I485" s="42"/>
      <c r="J485" s="43">
        <v>0</v>
      </c>
      <c r="K485" s="43">
        <v>0</v>
      </c>
      <c r="L485" s="56">
        <v>0</v>
      </c>
      <c r="M485" s="56">
        <v>0</v>
      </c>
      <c r="N485" s="44" t="e">
        <f t="shared" si="91"/>
        <v>#DIV/0!</v>
      </c>
      <c r="O485" s="45">
        <f t="shared" si="85"/>
        <v>0</v>
      </c>
      <c r="P485" s="43"/>
      <c r="Q485" s="45">
        <f t="shared" si="86"/>
        <v>0</v>
      </c>
      <c r="R485" s="43">
        <v>0</v>
      </c>
      <c r="S485" s="30">
        <f t="shared" si="90"/>
        <v>0</v>
      </c>
      <c r="T485" s="30">
        <f t="shared" si="90"/>
        <v>0</v>
      </c>
      <c r="U485" s="30" t="e">
        <f>T485/X485</f>
        <v>#DIV/0!</v>
      </c>
      <c r="V485" s="43" t="e">
        <f>T485/X485</f>
        <v>#DIV/0!</v>
      </c>
      <c r="W485" s="43" t="e">
        <f t="shared" si="82"/>
        <v>#DIV/0!</v>
      </c>
      <c r="X485" s="43">
        <f t="shared" si="87"/>
        <v>0</v>
      </c>
      <c r="Y485" s="43">
        <v>0</v>
      </c>
      <c r="Z485" s="43">
        <v>0</v>
      </c>
      <c r="AA485" s="43">
        <v>0</v>
      </c>
      <c r="AB485" s="43"/>
      <c r="AC485" s="43" t="e">
        <f t="shared" si="83"/>
        <v>#DIV/0!</v>
      </c>
      <c r="AD485" s="43"/>
      <c r="AE485" s="43" t="e">
        <f t="shared" si="84"/>
        <v>#DIV/0!</v>
      </c>
      <c r="AF485" s="43" t="e">
        <f t="shared" si="88"/>
        <v>#DIV/0!</v>
      </c>
      <c r="AG485" s="43" t="e">
        <f t="shared" si="89"/>
        <v>#DIV/0!</v>
      </c>
      <c r="AH485" s="38"/>
      <c r="AI485" s="38"/>
      <c r="AJ485" s="38"/>
      <c r="AK485" s="38"/>
      <c r="AL485" s="38"/>
      <c r="AM485" s="48"/>
      <c r="AN485" s="42"/>
      <c r="AO485" s="42"/>
      <c r="AP485" s="42"/>
      <c r="AQ485" s="42"/>
      <c r="AR485" s="42"/>
      <c r="AS485" s="50"/>
      <c r="AT485" s="39"/>
      <c r="AU485" s="39"/>
      <c r="AV485" s="49"/>
      <c r="AW485" s="39"/>
      <c r="AX485" s="39">
        <v>10</v>
      </c>
      <c r="AY485" s="30">
        <f>(J485*10)/100</f>
        <v>0</v>
      </c>
      <c r="AZ485" s="42"/>
    </row>
    <row r="486" spans="1:52" ht="15.75" customHeight="1" x14ac:dyDescent="0.25">
      <c r="A486" s="46"/>
      <c r="B486" s="38"/>
      <c r="C486" s="39"/>
      <c r="D486" s="37"/>
      <c r="E486" s="42"/>
      <c r="F486" s="38"/>
      <c r="G486" s="39"/>
      <c r="H486" s="42"/>
      <c r="I486" s="42"/>
      <c r="J486" s="43">
        <v>0</v>
      </c>
      <c r="K486" s="43">
        <v>0</v>
      </c>
      <c r="L486" s="56">
        <v>0</v>
      </c>
      <c r="M486" s="56">
        <v>0</v>
      </c>
      <c r="N486" s="44" t="e">
        <f t="shared" si="91"/>
        <v>#DIV/0!</v>
      </c>
      <c r="O486" s="45">
        <f t="shared" si="85"/>
        <v>0</v>
      </c>
      <c r="P486" s="43"/>
      <c r="Q486" s="45">
        <f t="shared" si="86"/>
        <v>0</v>
      </c>
      <c r="R486" s="43">
        <v>0</v>
      </c>
      <c r="S486" s="30">
        <f t="shared" si="90"/>
        <v>0</v>
      </c>
      <c r="T486" s="30">
        <f t="shared" si="90"/>
        <v>0</v>
      </c>
      <c r="U486" s="30" t="e">
        <f>T486/X486</f>
        <v>#DIV/0!</v>
      </c>
      <c r="V486" s="43" t="e">
        <f>T486/X486</f>
        <v>#DIV/0!</v>
      </c>
      <c r="W486" s="43" t="e">
        <f t="shared" si="82"/>
        <v>#DIV/0!</v>
      </c>
      <c r="X486" s="43">
        <f t="shared" si="87"/>
        <v>0</v>
      </c>
      <c r="Y486" s="43">
        <v>0</v>
      </c>
      <c r="Z486" s="43">
        <v>0</v>
      </c>
      <c r="AA486" s="43">
        <v>0</v>
      </c>
      <c r="AB486" s="43"/>
      <c r="AC486" s="43" t="e">
        <f t="shared" si="83"/>
        <v>#DIV/0!</v>
      </c>
      <c r="AD486" s="43"/>
      <c r="AE486" s="43" t="e">
        <f t="shared" si="84"/>
        <v>#DIV/0!</v>
      </c>
      <c r="AF486" s="43" t="e">
        <f t="shared" si="88"/>
        <v>#DIV/0!</v>
      </c>
      <c r="AG486" s="43" t="e">
        <f t="shared" si="89"/>
        <v>#DIV/0!</v>
      </c>
      <c r="AH486" s="38"/>
      <c r="AI486" s="38"/>
      <c r="AJ486" s="38"/>
      <c r="AK486" s="38"/>
      <c r="AL486" s="38"/>
      <c r="AM486" s="48"/>
      <c r="AN486" s="42"/>
      <c r="AO486" s="42"/>
      <c r="AP486" s="42"/>
      <c r="AQ486" s="42"/>
      <c r="AR486" s="42"/>
      <c r="AS486" s="50"/>
      <c r="AT486" s="39"/>
      <c r="AU486" s="39"/>
      <c r="AV486" s="49"/>
      <c r="AW486" s="39"/>
      <c r="AX486" s="39">
        <v>10</v>
      </c>
      <c r="AY486" s="30">
        <f>(J486*10)/100</f>
        <v>0</v>
      </c>
      <c r="AZ486" s="42"/>
    </row>
    <row r="487" spans="1:52" ht="15.75" customHeight="1" x14ac:dyDescent="0.25">
      <c r="A487" s="46"/>
      <c r="B487" s="38"/>
      <c r="C487" s="39"/>
      <c r="D487" s="37"/>
      <c r="E487" s="42"/>
      <c r="F487" s="38"/>
      <c r="G487" s="39"/>
      <c r="H487" s="42"/>
      <c r="I487" s="42"/>
      <c r="J487" s="43">
        <v>0</v>
      </c>
      <c r="K487" s="43">
        <v>0</v>
      </c>
      <c r="L487" s="56">
        <v>0</v>
      </c>
      <c r="M487" s="56">
        <v>0</v>
      </c>
      <c r="N487" s="44" t="e">
        <f t="shared" si="91"/>
        <v>#DIV/0!</v>
      </c>
      <c r="O487" s="45">
        <f t="shared" si="85"/>
        <v>0</v>
      </c>
      <c r="P487" s="43"/>
      <c r="Q487" s="45">
        <f t="shared" si="86"/>
        <v>0</v>
      </c>
      <c r="R487" s="43">
        <v>0</v>
      </c>
      <c r="S487" s="30">
        <f t="shared" si="90"/>
        <v>0</v>
      </c>
      <c r="T487" s="30">
        <f t="shared" si="90"/>
        <v>0</v>
      </c>
      <c r="U487" s="30" t="e">
        <f>T487/X487</f>
        <v>#DIV/0!</v>
      </c>
      <c r="V487" s="43" t="e">
        <f>T487/X487</f>
        <v>#DIV/0!</v>
      </c>
      <c r="W487" s="43" t="e">
        <f t="shared" si="82"/>
        <v>#DIV/0!</v>
      </c>
      <c r="X487" s="43">
        <f t="shared" si="87"/>
        <v>0</v>
      </c>
      <c r="Y487" s="43">
        <v>0</v>
      </c>
      <c r="Z487" s="43">
        <v>0</v>
      </c>
      <c r="AA487" s="43">
        <v>0</v>
      </c>
      <c r="AB487" s="43"/>
      <c r="AC487" s="43" t="e">
        <f t="shared" si="83"/>
        <v>#DIV/0!</v>
      </c>
      <c r="AD487" s="43"/>
      <c r="AE487" s="43" t="e">
        <f t="shared" si="84"/>
        <v>#DIV/0!</v>
      </c>
      <c r="AF487" s="43" t="e">
        <f t="shared" si="88"/>
        <v>#DIV/0!</v>
      </c>
      <c r="AG487" s="43" t="e">
        <f t="shared" si="89"/>
        <v>#DIV/0!</v>
      </c>
      <c r="AH487" s="38"/>
      <c r="AI487" s="38"/>
      <c r="AJ487" s="38"/>
      <c r="AK487" s="38"/>
      <c r="AL487" s="38"/>
      <c r="AM487" s="48"/>
      <c r="AN487" s="42"/>
      <c r="AO487" s="42"/>
      <c r="AP487" s="42"/>
      <c r="AQ487" s="42"/>
      <c r="AR487" s="42"/>
      <c r="AS487" s="50"/>
      <c r="AT487" s="39"/>
      <c r="AU487" s="39"/>
      <c r="AV487" s="49"/>
      <c r="AW487" s="39"/>
      <c r="AX487" s="39">
        <v>10</v>
      </c>
      <c r="AY487" s="30">
        <f>(J487*10)/100</f>
        <v>0</v>
      </c>
      <c r="AZ487" s="42"/>
    </row>
    <row r="488" spans="1:52" ht="15.75" customHeight="1" x14ac:dyDescent="0.25">
      <c r="A488" s="46"/>
      <c r="B488" s="38"/>
      <c r="C488" s="39"/>
      <c r="D488" s="37"/>
      <c r="E488" s="42"/>
      <c r="F488" s="38"/>
      <c r="G488" s="39"/>
      <c r="H488" s="42"/>
      <c r="I488" s="42"/>
      <c r="J488" s="43">
        <v>0</v>
      </c>
      <c r="K488" s="43">
        <v>0</v>
      </c>
      <c r="L488" s="56">
        <v>0</v>
      </c>
      <c r="M488" s="56">
        <v>0</v>
      </c>
      <c r="N488" s="44" t="e">
        <f t="shared" si="91"/>
        <v>#DIV/0!</v>
      </c>
      <c r="O488" s="45">
        <f t="shared" si="85"/>
        <v>0</v>
      </c>
      <c r="P488" s="43"/>
      <c r="Q488" s="45">
        <f t="shared" si="86"/>
        <v>0</v>
      </c>
      <c r="R488" s="43">
        <v>0</v>
      </c>
      <c r="S488" s="30">
        <f t="shared" si="90"/>
        <v>0</v>
      </c>
      <c r="T488" s="30">
        <f t="shared" si="90"/>
        <v>0</v>
      </c>
      <c r="U488" s="30" t="e">
        <f>T488/X488</f>
        <v>#DIV/0!</v>
      </c>
      <c r="V488" s="43" t="e">
        <f>T488/X488</f>
        <v>#DIV/0!</v>
      </c>
      <c r="W488" s="43" t="e">
        <f t="shared" si="82"/>
        <v>#DIV/0!</v>
      </c>
      <c r="X488" s="43">
        <f t="shared" si="87"/>
        <v>0</v>
      </c>
      <c r="Y488" s="43">
        <v>0</v>
      </c>
      <c r="Z488" s="43">
        <v>0</v>
      </c>
      <c r="AA488" s="43">
        <v>0</v>
      </c>
      <c r="AB488" s="43"/>
      <c r="AC488" s="43" t="e">
        <f t="shared" si="83"/>
        <v>#DIV/0!</v>
      </c>
      <c r="AD488" s="43"/>
      <c r="AE488" s="43" t="e">
        <f t="shared" si="84"/>
        <v>#DIV/0!</v>
      </c>
      <c r="AF488" s="43" t="e">
        <f t="shared" si="88"/>
        <v>#DIV/0!</v>
      </c>
      <c r="AG488" s="43" t="e">
        <f t="shared" si="89"/>
        <v>#DIV/0!</v>
      </c>
      <c r="AH488" s="38"/>
      <c r="AI488" s="38"/>
      <c r="AJ488" s="38"/>
      <c r="AK488" s="38"/>
      <c r="AL488" s="38"/>
      <c r="AM488" s="48"/>
      <c r="AN488" s="42"/>
      <c r="AO488" s="42"/>
      <c r="AP488" s="42"/>
      <c r="AQ488" s="42"/>
      <c r="AR488" s="42"/>
      <c r="AS488" s="50"/>
      <c r="AT488" s="39"/>
      <c r="AU488" s="39"/>
      <c r="AV488" s="49"/>
      <c r="AW488" s="39"/>
      <c r="AX488" s="39">
        <v>10</v>
      </c>
      <c r="AY488" s="30">
        <f>(J488*10)/100</f>
        <v>0</v>
      </c>
      <c r="AZ488" s="42"/>
    </row>
    <row r="489" spans="1:52" ht="15.75" customHeight="1" x14ac:dyDescent="0.25">
      <c r="A489" s="46"/>
      <c r="B489" s="38"/>
      <c r="C489" s="39"/>
      <c r="D489" s="37"/>
      <c r="E489" s="42"/>
      <c r="F489" s="38"/>
      <c r="G489" s="39"/>
      <c r="H489" s="42"/>
      <c r="I489" s="42"/>
      <c r="J489" s="43">
        <v>0</v>
      </c>
      <c r="K489" s="43">
        <v>0</v>
      </c>
      <c r="L489" s="56">
        <v>0</v>
      </c>
      <c r="M489" s="56">
        <v>0</v>
      </c>
      <c r="N489" s="44" t="e">
        <f t="shared" si="91"/>
        <v>#DIV/0!</v>
      </c>
      <c r="O489" s="45">
        <f t="shared" si="85"/>
        <v>0</v>
      </c>
      <c r="P489" s="43"/>
      <c r="Q489" s="45">
        <f t="shared" si="86"/>
        <v>0</v>
      </c>
      <c r="R489" s="43">
        <v>0</v>
      </c>
      <c r="S489" s="30">
        <f t="shared" si="90"/>
        <v>0</v>
      </c>
      <c r="T489" s="30">
        <f t="shared" si="90"/>
        <v>0</v>
      </c>
      <c r="U489" s="30" t="e">
        <f>T489/X489</f>
        <v>#DIV/0!</v>
      </c>
      <c r="V489" s="43" t="e">
        <f>T489/X489</f>
        <v>#DIV/0!</v>
      </c>
      <c r="W489" s="43" t="e">
        <f t="shared" si="82"/>
        <v>#DIV/0!</v>
      </c>
      <c r="X489" s="43">
        <f t="shared" si="87"/>
        <v>0</v>
      </c>
      <c r="Y489" s="43">
        <v>0</v>
      </c>
      <c r="Z489" s="43">
        <v>0</v>
      </c>
      <c r="AA489" s="43">
        <v>0</v>
      </c>
      <c r="AB489" s="43"/>
      <c r="AC489" s="43" t="e">
        <f t="shared" si="83"/>
        <v>#DIV/0!</v>
      </c>
      <c r="AD489" s="43"/>
      <c r="AE489" s="43" t="e">
        <f t="shared" si="84"/>
        <v>#DIV/0!</v>
      </c>
      <c r="AF489" s="43" t="e">
        <f t="shared" si="88"/>
        <v>#DIV/0!</v>
      </c>
      <c r="AG489" s="43" t="e">
        <f t="shared" si="89"/>
        <v>#DIV/0!</v>
      </c>
      <c r="AH489" s="38"/>
      <c r="AI489" s="38"/>
      <c r="AJ489" s="38"/>
      <c r="AK489" s="38"/>
      <c r="AL489" s="38"/>
      <c r="AM489" s="48"/>
      <c r="AN489" s="42"/>
      <c r="AO489" s="42"/>
      <c r="AP489" s="42"/>
      <c r="AQ489" s="42"/>
      <c r="AR489" s="42"/>
      <c r="AS489" s="50"/>
      <c r="AT489" s="39"/>
      <c r="AU489" s="39"/>
      <c r="AV489" s="49"/>
      <c r="AW489" s="39"/>
      <c r="AX489" s="39">
        <v>10</v>
      </c>
      <c r="AY489" s="30">
        <f>(J489*10)/100</f>
        <v>0</v>
      </c>
      <c r="AZ489" s="42"/>
    </row>
    <row r="490" spans="1:52" ht="15.75" customHeight="1" x14ac:dyDescent="0.25">
      <c r="A490" s="46"/>
      <c r="B490" s="38"/>
      <c r="C490" s="39"/>
      <c r="D490" s="37"/>
      <c r="E490" s="42"/>
      <c r="F490" s="38"/>
      <c r="G490" s="39"/>
      <c r="H490" s="42"/>
      <c r="I490" s="42"/>
      <c r="J490" s="43">
        <v>0</v>
      </c>
      <c r="K490" s="43">
        <v>0</v>
      </c>
      <c r="L490" s="56">
        <v>0</v>
      </c>
      <c r="M490" s="56">
        <v>0</v>
      </c>
      <c r="N490" s="44" t="e">
        <f t="shared" si="91"/>
        <v>#DIV/0!</v>
      </c>
      <c r="O490" s="45">
        <f t="shared" si="85"/>
        <v>0</v>
      </c>
      <c r="P490" s="43"/>
      <c r="Q490" s="45">
        <f t="shared" si="86"/>
        <v>0</v>
      </c>
      <c r="R490" s="43">
        <v>0</v>
      </c>
      <c r="S490" s="30">
        <f t="shared" si="90"/>
        <v>0</v>
      </c>
      <c r="T490" s="30">
        <f t="shared" si="90"/>
        <v>0</v>
      </c>
      <c r="U490" s="30" t="e">
        <f>T490/X490</f>
        <v>#DIV/0!</v>
      </c>
      <c r="V490" s="43" t="e">
        <f>T490/X490</f>
        <v>#DIV/0!</v>
      </c>
      <c r="W490" s="43" t="e">
        <f t="shared" si="82"/>
        <v>#DIV/0!</v>
      </c>
      <c r="X490" s="43">
        <f t="shared" si="87"/>
        <v>0</v>
      </c>
      <c r="Y490" s="43">
        <v>0</v>
      </c>
      <c r="Z490" s="43">
        <v>0</v>
      </c>
      <c r="AA490" s="43">
        <v>0</v>
      </c>
      <c r="AB490" s="43"/>
      <c r="AC490" s="43" t="e">
        <f t="shared" si="83"/>
        <v>#DIV/0!</v>
      </c>
      <c r="AD490" s="43"/>
      <c r="AE490" s="43" t="e">
        <f t="shared" si="84"/>
        <v>#DIV/0!</v>
      </c>
      <c r="AF490" s="43" t="e">
        <f t="shared" si="88"/>
        <v>#DIV/0!</v>
      </c>
      <c r="AG490" s="43" t="e">
        <f t="shared" si="89"/>
        <v>#DIV/0!</v>
      </c>
      <c r="AH490" s="38"/>
      <c r="AI490" s="38"/>
      <c r="AJ490" s="38"/>
      <c r="AK490" s="38"/>
      <c r="AL490" s="38"/>
      <c r="AM490" s="48"/>
      <c r="AN490" s="42"/>
      <c r="AO490" s="42"/>
      <c r="AP490" s="42"/>
      <c r="AQ490" s="42"/>
      <c r="AR490" s="42"/>
      <c r="AS490" s="50"/>
      <c r="AT490" s="39"/>
      <c r="AU490" s="39"/>
      <c r="AV490" s="49"/>
      <c r="AW490" s="39"/>
      <c r="AX490" s="39">
        <v>10</v>
      </c>
      <c r="AY490" s="30">
        <f>(J490*10)/100</f>
        <v>0</v>
      </c>
      <c r="AZ490" s="42"/>
    </row>
    <row r="491" spans="1:52" ht="15.75" customHeight="1" x14ac:dyDescent="0.25">
      <c r="A491" s="46"/>
      <c r="B491" s="38"/>
      <c r="C491" s="39"/>
      <c r="D491" s="37"/>
      <c r="E491" s="42"/>
      <c r="F491" s="38"/>
      <c r="G491" s="39"/>
      <c r="H491" s="42"/>
      <c r="I491" s="42"/>
      <c r="J491" s="43">
        <v>0</v>
      </c>
      <c r="K491" s="43">
        <v>0</v>
      </c>
      <c r="L491" s="56">
        <v>0</v>
      </c>
      <c r="M491" s="56">
        <v>0</v>
      </c>
      <c r="N491" s="44" t="e">
        <f t="shared" si="91"/>
        <v>#DIV/0!</v>
      </c>
      <c r="O491" s="45">
        <f t="shared" si="85"/>
        <v>0</v>
      </c>
      <c r="P491" s="43"/>
      <c r="Q491" s="45">
        <f t="shared" si="86"/>
        <v>0</v>
      </c>
      <c r="R491" s="43">
        <v>0</v>
      </c>
      <c r="S491" s="30">
        <f t="shared" si="90"/>
        <v>0</v>
      </c>
      <c r="T491" s="30">
        <f t="shared" si="90"/>
        <v>0</v>
      </c>
      <c r="U491" s="30" t="e">
        <f>T491/X491</f>
        <v>#DIV/0!</v>
      </c>
      <c r="V491" s="43" t="e">
        <f>T491/X491</f>
        <v>#DIV/0!</v>
      </c>
      <c r="W491" s="43" t="e">
        <f t="shared" si="82"/>
        <v>#DIV/0!</v>
      </c>
      <c r="X491" s="43">
        <f t="shared" si="87"/>
        <v>0</v>
      </c>
      <c r="Y491" s="43">
        <v>0</v>
      </c>
      <c r="Z491" s="43">
        <v>0</v>
      </c>
      <c r="AA491" s="43">
        <v>0</v>
      </c>
      <c r="AB491" s="43"/>
      <c r="AC491" s="43" t="e">
        <f t="shared" si="83"/>
        <v>#DIV/0!</v>
      </c>
      <c r="AD491" s="43"/>
      <c r="AE491" s="43" t="e">
        <f t="shared" si="84"/>
        <v>#DIV/0!</v>
      </c>
      <c r="AF491" s="43" t="e">
        <f t="shared" si="88"/>
        <v>#DIV/0!</v>
      </c>
      <c r="AG491" s="43" t="e">
        <f t="shared" si="89"/>
        <v>#DIV/0!</v>
      </c>
      <c r="AH491" s="38"/>
      <c r="AI491" s="38"/>
      <c r="AJ491" s="38"/>
      <c r="AK491" s="38"/>
      <c r="AL491" s="38"/>
      <c r="AM491" s="48"/>
      <c r="AN491" s="42"/>
      <c r="AO491" s="42"/>
      <c r="AP491" s="42"/>
      <c r="AQ491" s="42"/>
      <c r="AR491" s="42"/>
      <c r="AS491" s="50"/>
      <c r="AT491" s="39"/>
      <c r="AU491" s="39"/>
      <c r="AV491" s="49"/>
      <c r="AW491" s="39"/>
      <c r="AX491" s="39">
        <v>10</v>
      </c>
      <c r="AY491" s="30">
        <f>(J491*10)/100</f>
        <v>0</v>
      </c>
      <c r="AZ491" s="42"/>
    </row>
    <row r="492" spans="1:52" ht="15.75" customHeight="1" x14ac:dyDescent="0.25">
      <c r="A492" s="46"/>
      <c r="B492" s="38"/>
      <c r="C492" s="39"/>
      <c r="D492" s="37"/>
      <c r="E492" s="42"/>
      <c r="F492" s="38"/>
      <c r="G492" s="39"/>
      <c r="H492" s="42"/>
      <c r="I492" s="42"/>
      <c r="J492" s="43">
        <v>0</v>
      </c>
      <c r="K492" s="43">
        <v>0</v>
      </c>
      <c r="L492" s="56">
        <v>0</v>
      </c>
      <c r="M492" s="56">
        <v>0</v>
      </c>
      <c r="N492" s="44" t="e">
        <f t="shared" si="91"/>
        <v>#DIV/0!</v>
      </c>
      <c r="O492" s="45">
        <f t="shared" si="85"/>
        <v>0</v>
      </c>
      <c r="P492" s="43"/>
      <c r="Q492" s="45">
        <f t="shared" si="86"/>
        <v>0</v>
      </c>
      <c r="R492" s="43">
        <v>0</v>
      </c>
      <c r="S492" s="30">
        <f t="shared" si="90"/>
        <v>0</v>
      </c>
      <c r="T492" s="30">
        <f t="shared" si="90"/>
        <v>0</v>
      </c>
      <c r="U492" s="30" t="e">
        <f>T492/X492</f>
        <v>#DIV/0!</v>
      </c>
      <c r="V492" s="43" t="e">
        <f>T492/X492</f>
        <v>#DIV/0!</v>
      </c>
      <c r="W492" s="43" t="e">
        <f t="shared" si="82"/>
        <v>#DIV/0!</v>
      </c>
      <c r="X492" s="43">
        <f t="shared" si="87"/>
        <v>0</v>
      </c>
      <c r="Y492" s="43">
        <v>0</v>
      </c>
      <c r="Z492" s="43">
        <v>0</v>
      </c>
      <c r="AA492" s="43">
        <v>0</v>
      </c>
      <c r="AB492" s="43"/>
      <c r="AC492" s="43" t="e">
        <f t="shared" si="83"/>
        <v>#DIV/0!</v>
      </c>
      <c r="AD492" s="43"/>
      <c r="AE492" s="43" t="e">
        <f t="shared" si="84"/>
        <v>#DIV/0!</v>
      </c>
      <c r="AF492" s="43" t="e">
        <f t="shared" si="88"/>
        <v>#DIV/0!</v>
      </c>
      <c r="AG492" s="43" t="e">
        <f t="shared" si="89"/>
        <v>#DIV/0!</v>
      </c>
      <c r="AH492" s="38"/>
      <c r="AI492" s="38"/>
      <c r="AJ492" s="38"/>
      <c r="AK492" s="38"/>
      <c r="AL492" s="38"/>
      <c r="AM492" s="48"/>
      <c r="AN492" s="42"/>
      <c r="AO492" s="42"/>
      <c r="AP492" s="42"/>
      <c r="AQ492" s="42"/>
      <c r="AR492" s="42"/>
      <c r="AS492" s="50"/>
      <c r="AT492" s="39"/>
      <c r="AU492" s="39"/>
      <c r="AV492" s="49"/>
      <c r="AW492" s="39"/>
      <c r="AX492" s="39">
        <v>10</v>
      </c>
      <c r="AY492" s="30">
        <f>(J492*10)/100</f>
        <v>0</v>
      </c>
      <c r="AZ492" s="42"/>
    </row>
    <row r="493" spans="1:52" ht="15.75" customHeight="1" x14ac:dyDescent="0.25">
      <c r="A493" s="46"/>
      <c r="B493" s="38"/>
      <c r="C493" s="39"/>
      <c r="D493" s="37"/>
      <c r="E493" s="42"/>
      <c r="F493" s="38"/>
      <c r="G493" s="39"/>
      <c r="H493" s="42"/>
      <c r="I493" s="42"/>
      <c r="J493" s="43">
        <v>0</v>
      </c>
      <c r="K493" s="43">
        <v>0</v>
      </c>
      <c r="L493" s="56">
        <v>0</v>
      </c>
      <c r="M493" s="56">
        <v>0</v>
      </c>
      <c r="N493" s="44" t="e">
        <f t="shared" si="91"/>
        <v>#DIV/0!</v>
      </c>
      <c r="O493" s="45">
        <f t="shared" si="85"/>
        <v>0</v>
      </c>
      <c r="P493" s="43"/>
      <c r="Q493" s="45">
        <f t="shared" si="86"/>
        <v>0</v>
      </c>
      <c r="R493" s="43">
        <v>0</v>
      </c>
      <c r="S493" s="30">
        <f t="shared" si="90"/>
        <v>0</v>
      </c>
      <c r="T493" s="30">
        <f t="shared" si="90"/>
        <v>0</v>
      </c>
      <c r="U493" s="30" t="e">
        <f>T493/X493</f>
        <v>#DIV/0!</v>
      </c>
      <c r="V493" s="43" t="e">
        <f>T493/X493</f>
        <v>#DIV/0!</v>
      </c>
      <c r="W493" s="43" t="e">
        <f t="shared" si="82"/>
        <v>#DIV/0!</v>
      </c>
      <c r="X493" s="43">
        <f t="shared" si="87"/>
        <v>0</v>
      </c>
      <c r="Y493" s="43">
        <v>0</v>
      </c>
      <c r="Z493" s="43">
        <v>0</v>
      </c>
      <c r="AA493" s="43">
        <v>0</v>
      </c>
      <c r="AB493" s="43"/>
      <c r="AC493" s="43" t="e">
        <f t="shared" si="83"/>
        <v>#DIV/0!</v>
      </c>
      <c r="AD493" s="43"/>
      <c r="AE493" s="43" t="e">
        <f t="shared" si="84"/>
        <v>#DIV/0!</v>
      </c>
      <c r="AF493" s="43" t="e">
        <f t="shared" si="88"/>
        <v>#DIV/0!</v>
      </c>
      <c r="AG493" s="43" t="e">
        <f t="shared" si="89"/>
        <v>#DIV/0!</v>
      </c>
      <c r="AH493" s="38"/>
      <c r="AI493" s="38"/>
      <c r="AJ493" s="38"/>
      <c r="AK493" s="38"/>
      <c r="AL493" s="38"/>
      <c r="AM493" s="48"/>
      <c r="AN493" s="42"/>
      <c r="AO493" s="42"/>
      <c r="AP493" s="42"/>
      <c r="AQ493" s="42"/>
      <c r="AR493" s="42"/>
      <c r="AS493" s="50"/>
      <c r="AT493" s="39"/>
      <c r="AU493" s="39"/>
      <c r="AV493" s="49"/>
      <c r="AW493" s="39"/>
      <c r="AX493" s="39">
        <v>10</v>
      </c>
      <c r="AY493" s="30">
        <f>(J493*10)/100</f>
        <v>0</v>
      </c>
      <c r="AZ493" s="42"/>
    </row>
    <row r="494" spans="1:52" ht="15.75" customHeight="1" x14ac:dyDescent="0.25">
      <c r="A494" s="46"/>
      <c r="B494" s="38"/>
      <c r="C494" s="39"/>
      <c r="D494" s="37"/>
      <c r="E494" s="42"/>
      <c r="F494" s="38"/>
      <c r="G494" s="39"/>
      <c r="H494" s="42"/>
      <c r="I494" s="42"/>
      <c r="J494" s="43">
        <v>0</v>
      </c>
      <c r="K494" s="43">
        <v>0</v>
      </c>
      <c r="L494" s="56">
        <v>0</v>
      </c>
      <c r="M494" s="56">
        <v>0</v>
      </c>
      <c r="N494" s="44" t="e">
        <f t="shared" si="91"/>
        <v>#DIV/0!</v>
      </c>
      <c r="O494" s="45">
        <f t="shared" si="85"/>
        <v>0</v>
      </c>
      <c r="P494" s="43"/>
      <c r="Q494" s="45">
        <f t="shared" si="86"/>
        <v>0</v>
      </c>
      <c r="R494" s="43">
        <v>0</v>
      </c>
      <c r="S494" s="30">
        <f t="shared" si="90"/>
        <v>0</v>
      </c>
      <c r="T494" s="30">
        <f t="shared" si="90"/>
        <v>0</v>
      </c>
      <c r="U494" s="30" t="e">
        <f>T494/X494</f>
        <v>#DIV/0!</v>
      </c>
      <c r="V494" s="43" t="e">
        <f>T494/X494</f>
        <v>#DIV/0!</v>
      </c>
      <c r="W494" s="43" t="e">
        <f t="shared" si="82"/>
        <v>#DIV/0!</v>
      </c>
      <c r="X494" s="43">
        <f t="shared" si="87"/>
        <v>0</v>
      </c>
      <c r="Y494" s="43">
        <v>0</v>
      </c>
      <c r="Z494" s="43">
        <v>0</v>
      </c>
      <c r="AA494" s="43">
        <v>0</v>
      </c>
      <c r="AB494" s="43"/>
      <c r="AC494" s="43" t="e">
        <f t="shared" si="83"/>
        <v>#DIV/0!</v>
      </c>
      <c r="AD494" s="43"/>
      <c r="AE494" s="43" t="e">
        <f t="shared" si="84"/>
        <v>#DIV/0!</v>
      </c>
      <c r="AF494" s="43" t="e">
        <f t="shared" si="88"/>
        <v>#DIV/0!</v>
      </c>
      <c r="AG494" s="43" t="e">
        <f t="shared" si="89"/>
        <v>#DIV/0!</v>
      </c>
      <c r="AH494" s="38"/>
      <c r="AI494" s="38"/>
      <c r="AJ494" s="38"/>
      <c r="AK494" s="38"/>
      <c r="AL494" s="38"/>
      <c r="AM494" s="48"/>
      <c r="AN494" s="42"/>
      <c r="AO494" s="42"/>
      <c r="AP494" s="42"/>
      <c r="AQ494" s="42"/>
      <c r="AR494" s="42"/>
      <c r="AS494" s="50"/>
      <c r="AT494" s="39"/>
      <c r="AU494" s="39"/>
      <c r="AV494" s="49"/>
      <c r="AW494" s="39"/>
      <c r="AX494" s="39">
        <v>10</v>
      </c>
      <c r="AY494" s="30">
        <f>(J494*10)/100</f>
        <v>0</v>
      </c>
      <c r="AZ494" s="42"/>
    </row>
    <row r="495" spans="1:52" ht="15.75" customHeight="1" x14ac:dyDescent="0.25">
      <c r="A495" s="46"/>
      <c r="B495" s="38"/>
      <c r="C495" s="39"/>
      <c r="D495" s="37"/>
      <c r="E495" s="42"/>
      <c r="F495" s="38"/>
      <c r="G495" s="39"/>
      <c r="H495" s="42"/>
      <c r="I495" s="42"/>
      <c r="J495" s="43">
        <v>0</v>
      </c>
      <c r="K495" s="43">
        <v>0</v>
      </c>
      <c r="L495" s="56">
        <v>0</v>
      </c>
      <c r="M495" s="56">
        <v>0</v>
      </c>
      <c r="N495" s="44" t="e">
        <f t="shared" si="91"/>
        <v>#DIV/0!</v>
      </c>
      <c r="O495" s="45">
        <f t="shared" si="85"/>
        <v>0</v>
      </c>
      <c r="P495" s="43"/>
      <c r="Q495" s="45">
        <f t="shared" si="86"/>
        <v>0</v>
      </c>
      <c r="R495" s="43">
        <v>0</v>
      </c>
      <c r="S495" s="30">
        <f t="shared" si="90"/>
        <v>0</v>
      </c>
      <c r="T495" s="30">
        <f t="shared" si="90"/>
        <v>0</v>
      </c>
      <c r="U495" s="30" t="e">
        <f>T495/X495</f>
        <v>#DIV/0!</v>
      </c>
      <c r="V495" s="43" t="e">
        <f>T495/X495</f>
        <v>#DIV/0!</v>
      </c>
      <c r="W495" s="43" t="e">
        <f t="shared" si="82"/>
        <v>#DIV/0!</v>
      </c>
      <c r="X495" s="43">
        <f t="shared" si="87"/>
        <v>0</v>
      </c>
      <c r="Y495" s="43">
        <v>0</v>
      </c>
      <c r="Z495" s="43">
        <v>0</v>
      </c>
      <c r="AA495" s="43">
        <v>0</v>
      </c>
      <c r="AB495" s="43"/>
      <c r="AC495" s="43" t="e">
        <f t="shared" si="83"/>
        <v>#DIV/0!</v>
      </c>
      <c r="AD495" s="43"/>
      <c r="AE495" s="43" t="e">
        <f t="shared" si="84"/>
        <v>#DIV/0!</v>
      </c>
      <c r="AF495" s="43" t="e">
        <f t="shared" si="88"/>
        <v>#DIV/0!</v>
      </c>
      <c r="AG495" s="43" t="e">
        <f t="shared" si="89"/>
        <v>#DIV/0!</v>
      </c>
      <c r="AH495" s="38"/>
      <c r="AI495" s="38"/>
      <c r="AJ495" s="38"/>
      <c r="AK495" s="38"/>
      <c r="AL495" s="38"/>
      <c r="AM495" s="48"/>
      <c r="AN495" s="42"/>
      <c r="AO495" s="42"/>
      <c r="AP495" s="42"/>
      <c r="AQ495" s="42"/>
      <c r="AR495" s="42"/>
      <c r="AS495" s="50"/>
      <c r="AT495" s="39"/>
      <c r="AU495" s="39"/>
      <c r="AV495" s="49"/>
      <c r="AW495" s="39"/>
      <c r="AX495" s="39">
        <v>10</v>
      </c>
      <c r="AY495" s="30">
        <f>(J495*10)/100</f>
        <v>0</v>
      </c>
      <c r="AZ495" s="42"/>
    </row>
    <row r="496" spans="1:52" ht="15.75" customHeight="1" x14ac:dyDescent="0.25">
      <c r="A496" s="46"/>
      <c r="B496" s="38"/>
      <c r="C496" s="39"/>
      <c r="D496" s="37"/>
      <c r="E496" s="42"/>
      <c r="F496" s="38"/>
      <c r="G496" s="39"/>
      <c r="H496" s="42"/>
      <c r="I496" s="42"/>
      <c r="J496" s="43">
        <v>0</v>
      </c>
      <c r="K496" s="43">
        <v>0</v>
      </c>
      <c r="L496" s="56">
        <v>0</v>
      </c>
      <c r="M496" s="56">
        <v>0</v>
      </c>
      <c r="N496" s="44" t="e">
        <f t="shared" si="91"/>
        <v>#DIV/0!</v>
      </c>
      <c r="O496" s="45">
        <f t="shared" si="85"/>
        <v>0</v>
      </c>
      <c r="P496" s="43"/>
      <c r="Q496" s="45">
        <f t="shared" si="86"/>
        <v>0</v>
      </c>
      <c r="R496" s="43">
        <v>0</v>
      </c>
      <c r="S496" s="30">
        <f t="shared" si="90"/>
        <v>0</v>
      </c>
      <c r="T496" s="30">
        <f t="shared" si="90"/>
        <v>0</v>
      </c>
      <c r="U496" s="30" t="e">
        <f>T496/X496</f>
        <v>#DIV/0!</v>
      </c>
      <c r="V496" s="43" t="e">
        <f>T496/X496</f>
        <v>#DIV/0!</v>
      </c>
      <c r="W496" s="43" t="e">
        <f t="shared" si="82"/>
        <v>#DIV/0!</v>
      </c>
      <c r="X496" s="43">
        <f t="shared" si="87"/>
        <v>0</v>
      </c>
      <c r="Y496" s="43">
        <v>0</v>
      </c>
      <c r="Z496" s="43">
        <v>0</v>
      </c>
      <c r="AA496" s="43">
        <v>0</v>
      </c>
      <c r="AB496" s="43"/>
      <c r="AC496" s="43" t="e">
        <f t="shared" si="83"/>
        <v>#DIV/0!</v>
      </c>
      <c r="AD496" s="43"/>
      <c r="AE496" s="43" t="e">
        <f t="shared" si="84"/>
        <v>#DIV/0!</v>
      </c>
      <c r="AF496" s="43" t="e">
        <f t="shared" si="88"/>
        <v>#DIV/0!</v>
      </c>
      <c r="AG496" s="43" t="e">
        <f t="shared" si="89"/>
        <v>#DIV/0!</v>
      </c>
      <c r="AH496" s="38"/>
      <c r="AI496" s="38"/>
      <c r="AJ496" s="38"/>
      <c r="AK496" s="38"/>
      <c r="AL496" s="38"/>
      <c r="AM496" s="48"/>
      <c r="AN496" s="42"/>
      <c r="AO496" s="42"/>
      <c r="AP496" s="42"/>
      <c r="AQ496" s="42"/>
      <c r="AR496" s="42"/>
      <c r="AS496" s="50"/>
      <c r="AT496" s="39"/>
      <c r="AU496" s="39"/>
      <c r="AV496" s="49"/>
      <c r="AW496" s="39"/>
      <c r="AX496" s="39">
        <v>10</v>
      </c>
      <c r="AY496" s="30">
        <f>(J496*10)/100</f>
        <v>0</v>
      </c>
      <c r="AZ496" s="42"/>
    </row>
    <row r="497" spans="1:52" ht="15.75" customHeight="1" x14ac:dyDescent="0.25">
      <c r="A497" s="46"/>
      <c r="B497" s="38"/>
      <c r="C497" s="39"/>
      <c r="D497" s="37"/>
      <c r="E497" s="42"/>
      <c r="F497" s="38"/>
      <c r="G497" s="39"/>
      <c r="H497" s="42"/>
      <c r="I497" s="42"/>
      <c r="J497" s="43">
        <v>0</v>
      </c>
      <c r="K497" s="43">
        <v>0</v>
      </c>
      <c r="L497" s="56">
        <v>0</v>
      </c>
      <c r="M497" s="56">
        <v>0</v>
      </c>
      <c r="N497" s="44" t="e">
        <f t="shared" si="91"/>
        <v>#DIV/0!</v>
      </c>
      <c r="O497" s="45">
        <f t="shared" si="85"/>
        <v>0</v>
      </c>
      <c r="P497" s="43"/>
      <c r="Q497" s="45">
        <f t="shared" si="86"/>
        <v>0</v>
      </c>
      <c r="R497" s="43">
        <v>0</v>
      </c>
      <c r="S497" s="30">
        <f t="shared" si="90"/>
        <v>0</v>
      </c>
      <c r="T497" s="30">
        <f t="shared" si="90"/>
        <v>0</v>
      </c>
      <c r="U497" s="30" t="e">
        <f>T497/X497</f>
        <v>#DIV/0!</v>
      </c>
      <c r="V497" s="43" t="e">
        <f>T497/X497</f>
        <v>#DIV/0!</v>
      </c>
      <c r="W497" s="43" t="e">
        <f t="shared" si="82"/>
        <v>#DIV/0!</v>
      </c>
      <c r="X497" s="43">
        <f t="shared" si="87"/>
        <v>0</v>
      </c>
      <c r="Y497" s="43">
        <v>0</v>
      </c>
      <c r="Z497" s="43">
        <v>0</v>
      </c>
      <c r="AA497" s="43">
        <v>0</v>
      </c>
      <c r="AB497" s="43"/>
      <c r="AC497" s="43" t="e">
        <f t="shared" si="83"/>
        <v>#DIV/0!</v>
      </c>
      <c r="AD497" s="43"/>
      <c r="AE497" s="43" t="e">
        <f t="shared" si="84"/>
        <v>#DIV/0!</v>
      </c>
      <c r="AF497" s="43" t="e">
        <f t="shared" si="88"/>
        <v>#DIV/0!</v>
      </c>
      <c r="AG497" s="43" t="e">
        <f t="shared" si="89"/>
        <v>#DIV/0!</v>
      </c>
      <c r="AH497" s="38"/>
      <c r="AI497" s="38"/>
      <c r="AJ497" s="38"/>
      <c r="AK497" s="38"/>
      <c r="AL497" s="38"/>
      <c r="AM497" s="48"/>
      <c r="AN497" s="42"/>
      <c r="AO497" s="42"/>
      <c r="AP497" s="42"/>
      <c r="AQ497" s="42"/>
      <c r="AR497" s="42"/>
      <c r="AS497" s="50"/>
      <c r="AT497" s="39"/>
      <c r="AU497" s="39"/>
      <c r="AV497" s="49"/>
      <c r="AW497" s="39"/>
      <c r="AX497" s="39">
        <v>10</v>
      </c>
      <c r="AY497" s="30">
        <f>(J497*10)/100</f>
        <v>0</v>
      </c>
      <c r="AZ497" s="42"/>
    </row>
    <row r="498" spans="1:52" ht="15.75" customHeight="1" x14ac:dyDescent="0.25">
      <c r="A498" s="46"/>
      <c r="B498" s="38"/>
      <c r="C498" s="39"/>
      <c r="D498" s="37"/>
      <c r="E498" s="42"/>
      <c r="F498" s="38"/>
      <c r="G498" s="39"/>
      <c r="H498" s="42"/>
      <c r="I498" s="42"/>
      <c r="J498" s="43">
        <v>0</v>
      </c>
      <c r="K498" s="43">
        <v>0</v>
      </c>
      <c r="L498" s="56">
        <v>0</v>
      </c>
      <c r="M498" s="56">
        <v>0</v>
      </c>
      <c r="N498" s="44" t="e">
        <f t="shared" si="91"/>
        <v>#DIV/0!</v>
      </c>
      <c r="O498" s="45">
        <f t="shared" si="85"/>
        <v>0</v>
      </c>
      <c r="P498" s="43"/>
      <c r="Q498" s="45">
        <f t="shared" si="86"/>
        <v>0</v>
      </c>
      <c r="R498" s="43">
        <v>0</v>
      </c>
      <c r="S498" s="30">
        <f t="shared" si="90"/>
        <v>0</v>
      </c>
      <c r="T498" s="30">
        <f t="shared" si="90"/>
        <v>0</v>
      </c>
      <c r="U498" s="30" t="e">
        <f>T498/X498</f>
        <v>#DIV/0!</v>
      </c>
      <c r="V498" s="43" t="e">
        <f>T498/X498</f>
        <v>#DIV/0!</v>
      </c>
      <c r="W498" s="43" t="e">
        <f t="shared" si="82"/>
        <v>#DIV/0!</v>
      </c>
      <c r="X498" s="43">
        <f t="shared" si="87"/>
        <v>0</v>
      </c>
      <c r="Y498" s="43">
        <v>0</v>
      </c>
      <c r="Z498" s="43">
        <v>0</v>
      </c>
      <c r="AA498" s="43">
        <v>0</v>
      </c>
      <c r="AB498" s="43"/>
      <c r="AC498" s="43" t="e">
        <f t="shared" si="83"/>
        <v>#DIV/0!</v>
      </c>
      <c r="AD498" s="43"/>
      <c r="AE498" s="43" t="e">
        <f t="shared" si="84"/>
        <v>#DIV/0!</v>
      </c>
      <c r="AF498" s="43" t="e">
        <f t="shared" si="88"/>
        <v>#DIV/0!</v>
      </c>
      <c r="AG498" s="43" t="e">
        <f t="shared" si="89"/>
        <v>#DIV/0!</v>
      </c>
      <c r="AH498" s="38"/>
      <c r="AI498" s="38"/>
      <c r="AJ498" s="38"/>
      <c r="AK498" s="38"/>
      <c r="AL498" s="38"/>
      <c r="AM498" s="48"/>
      <c r="AN498" s="42"/>
      <c r="AO498" s="42"/>
      <c r="AP498" s="42"/>
      <c r="AQ498" s="42"/>
      <c r="AR498" s="42"/>
      <c r="AS498" s="50"/>
      <c r="AT498" s="39"/>
      <c r="AU498" s="39"/>
      <c r="AV498" s="49"/>
      <c r="AW498" s="39"/>
      <c r="AX498" s="39">
        <v>10</v>
      </c>
      <c r="AY498" s="30">
        <f>(J498*10)/100</f>
        <v>0</v>
      </c>
      <c r="AZ498" s="42"/>
    </row>
    <row r="499" spans="1:52" ht="15.75" customHeight="1" x14ac:dyDescent="0.25">
      <c r="A499" s="46"/>
      <c r="B499" s="38"/>
      <c r="C499" s="39"/>
      <c r="D499" s="37"/>
      <c r="E499" s="42"/>
      <c r="F499" s="38"/>
      <c r="G499" s="39"/>
      <c r="H499" s="42"/>
      <c r="I499" s="42"/>
      <c r="J499" s="43">
        <v>0</v>
      </c>
      <c r="K499" s="43">
        <v>0</v>
      </c>
      <c r="L499" s="56">
        <v>0</v>
      </c>
      <c r="M499" s="56">
        <v>0</v>
      </c>
      <c r="N499" s="44" t="e">
        <f t="shared" si="91"/>
        <v>#DIV/0!</v>
      </c>
      <c r="O499" s="45">
        <f t="shared" si="85"/>
        <v>0</v>
      </c>
      <c r="P499" s="43"/>
      <c r="Q499" s="45">
        <f t="shared" si="86"/>
        <v>0</v>
      </c>
      <c r="R499" s="43">
        <v>0</v>
      </c>
      <c r="S499" s="30">
        <f t="shared" si="90"/>
        <v>0</v>
      </c>
      <c r="T499" s="30">
        <f t="shared" si="90"/>
        <v>0</v>
      </c>
      <c r="U499" s="30" t="e">
        <f>T499/X499</f>
        <v>#DIV/0!</v>
      </c>
      <c r="V499" s="43" t="e">
        <f>T499/X499</f>
        <v>#DIV/0!</v>
      </c>
      <c r="W499" s="43" t="e">
        <f t="shared" si="82"/>
        <v>#DIV/0!</v>
      </c>
      <c r="X499" s="43">
        <f t="shared" si="87"/>
        <v>0</v>
      </c>
      <c r="Y499" s="43">
        <v>0</v>
      </c>
      <c r="Z499" s="43">
        <v>0</v>
      </c>
      <c r="AA499" s="43">
        <v>0</v>
      </c>
      <c r="AB499" s="43"/>
      <c r="AC499" s="43" t="e">
        <f t="shared" si="83"/>
        <v>#DIV/0!</v>
      </c>
      <c r="AD499" s="43"/>
      <c r="AE499" s="43" t="e">
        <f t="shared" si="84"/>
        <v>#DIV/0!</v>
      </c>
      <c r="AF499" s="43" t="e">
        <f t="shared" si="88"/>
        <v>#DIV/0!</v>
      </c>
      <c r="AG499" s="43" t="e">
        <f t="shared" si="89"/>
        <v>#DIV/0!</v>
      </c>
      <c r="AH499" s="38"/>
      <c r="AI499" s="38"/>
      <c r="AJ499" s="38"/>
      <c r="AK499" s="38"/>
      <c r="AL499" s="38"/>
      <c r="AM499" s="48"/>
      <c r="AN499" s="42"/>
      <c r="AO499" s="42"/>
      <c r="AP499" s="42"/>
      <c r="AQ499" s="42"/>
      <c r="AR499" s="42"/>
      <c r="AS499" s="50"/>
      <c r="AT499" s="39"/>
      <c r="AU499" s="39"/>
      <c r="AV499" s="49"/>
      <c r="AW499" s="39"/>
      <c r="AX499" s="39">
        <v>10</v>
      </c>
      <c r="AY499" s="30">
        <f>(J499*10)/100</f>
        <v>0</v>
      </c>
      <c r="AZ499" s="42"/>
    </row>
    <row r="500" spans="1:52" ht="15.75" customHeight="1" x14ac:dyDescent="0.25">
      <c r="A500" s="46"/>
      <c r="B500" s="38"/>
      <c r="C500" s="39"/>
      <c r="D500" s="37"/>
      <c r="E500" s="42"/>
      <c r="F500" s="38"/>
      <c r="G500" s="39"/>
      <c r="H500" s="42"/>
      <c r="I500" s="42"/>
      <c r="J500" s="43">
        <v>0</v>
      </c>
      <c r="K500" s="43">
        <v>0</v>
      </c>
      <c r="L500" s="56">
        <v>0</v>
      </c>
      <c r="M500" s="56">
        <v>0</v>
      </c>
      <c r="N500" s="44" t="e">
        <f t="shared" si="91"/>
        <v>#DIV/0!</v>
      </c>
      <c r="O500" s="45">
        <f t="shared" si="85"/>
        <v>0</v>
      </c>
      <c r="P500" s="43"/>
      <c r="Q500" s="45">
        <f t="shared" si="86"/>
        <v>0</v>
      </c>
      <c r="R500" s="43">
        <v>0</v>
      </c>
      <c r="S500" s="30">
        <f t="shared" si="90"/>
        <v>0</v>
      </c>
      <c r="T500" s="30">
        <f t="shared" si="90"/>
        <v>0</v>
      </c>
      <c r="U500" s="30" t="e">
        <f>T500/X500</f>
        <v>#DIV/0!</v>
      </c>
      <c r="V500" s="43" t="e">
        <f>T500/X500</f>
        <v>#DIV/0!</v>
      </c>
      <c r="W500" s="43" t="e">
        <f t="shared" si="82"/>
        <v>#DIV/0!</v>
      </c>
      <c r="X500" s="43">
        <f t="shared" si="87"/>
        <v>0</v>
      </c>
      <c r="Y500" s="43">
        <v>0</v>
      </c>
      <c r="Z500" s="43">
        <v>0</v>
      </c>
      <c r="AA500" s="43">
        <v>0</v>
      </c>
      <c r="AB500" s="43"/>
      <c r="AC500" s="43" t="e">
        <f t="shared" si="83"/>
        <v>#DIV/0!</v>
      </c>
      <c r="AD500" s="43"/>
      <c r="AE500" s="43" t="e">
        <f t="shared" si="84"/>
        <v>#DIV/0!</v>
      </c>
      <c r="AF500" s="43" t="e">
        <f t="shared" si="88"/>
        <v>#DIV/0!</v>
      </c>
      <c r="AG500" s="43" t="e">
        <f t="shared" si="89"/>
        <v>#DIV/0!</v>
      </c>
      <c r="AH500" s="38"/>
      <c r="AI500" s="38"/>
      <c r="AJ500" s="38"/>
      <c r="AK500" s="38"/>
      <c r="AL500" s="38"/>
      <c r="AM500" s="48"/>
      <c r="AN500" s="42"/>
      <c r="AO500" s="42"/>
      <c r="AP500" s="42"/>
      <c r="AQ500" s="42"/>
      <c r="AR500" s="42"/>
      <c r="AS500" s="50"/>
      <c r="AT500" s="39"/>
      <c r="AU500" s="39"/>
      <c r="AV500" s="49"/>
      <c r="AW500" s="39"/>
      <c r="AX500" s="39">
        <v>10</v>
      </c>
      <c r="AY500" s="30">
        <f>(J500*10)/100</f>
        <v>0</v>
      </c>
      <c r="AZ500" s="42"/>
    </row>
    <row r="501" spans="1:52" ht="15.75" customHeight="1" x14ac:dyDescent="0.25">
      <c r="A501" s="46"/>
      <c r="B501" s="38"/>
      <c r="C501" s="39"/>
      <c r="D501" s="37"/>
      <c r="E501" s="42"/>
      <c r="F501" s="38"/>
      <c r="G501" s="39"/>
      <c r="H501" s="42"/>
      <c r="I501" s="42"/>
      <c r="J501" s="43">
        <v>0</v>
      </c>
      <c r="K501" s="43">
        <v>0</v>
      </c>
      <c r="L501" s="56">
        <v>0</v>
      </c>
      <c r="M501" s="56">
        <v>0</v>
      </c>
      <c r="N501" s="44" t="e">
        <f t="shared" si="91"/>
        <v>#DIV/0!</v>
      </c>
      <c r="O501" s="45">
        <f t="shared" si="85"/>
        <v>0</v>
      </c>
      <c r="P501" s="43"/>
      <c r="Q501" s="45">
        <f t="shared" si="86"/>
        <v>0</v>
      </c>
      <c r="R501" s="43">
        <v>0</v>
      </c>
      <c r="S501" s="30">
        <f t="shared" si="90"/>
        <v>0</v>
      </c>
      <c r="T501" s="30">
        <f t="shared" si="90"/>
        <v>0</v>
      </c>
      <c r="U501" s="30" t="e">
        <f>T501/X501</f>
        <v>#DIV/0!</v>
      </c>
      <c r="V501" s="43" t="e">
        <f>T501/X501</f>
        <v>#DIV/0!</v>
      </c>
      <c r="W501" s="43" t="e">
        <f t="shared" si="82"/>
        <v>#DIV/0!</v>
      </c>
      <c r="X501" s="43">
        <f t="shared" si="87"/>
        <v>0</v>
      </c>
      <c r="Y501" s="43">
        <v>0</v>
      </c>
      <c r="Z501" s="43">
        <v>0</v>
      </c>
      <c r="AA501" s="43">
        <v>0</v>
      </c>
      <c r="AB501" s="43"/>
      <c r="AC501" s="43" t="e">
        <f t="shared" si="83"/>
        <v>#DIV/0!</v>
      </c>
      <c r="AD501" s="43"/>
      <c r="AE501" s="43" t="e">
        <f t="shared" si="84"/>
        <v>#DIV/0!</v>
      </c>
      <c r="AF501" s="43" t="e">
        <f t="shared" si="88"/>
        <v>#DIV/0!</v>
      </c>
      <c r="AG501" s="43" t="e">
        <f t="shared" si="89"/>
        <v>#DIV/0!</v>
      </c>
      <c r="AH501" s="38"/>
      <c r="AI501" s="38"/>
      <c r="AJ501" s="38"/>
      <c r="AK501" s="38"/>
      <c r="AL501" s="38"/>
      <c r="AM501" s="48"/>
      <c r="AN501" s="42"/>
      <c r="AO501" s="42"/>
      <c r="AP501" s="42"/>
      <c r="AQ501" s="42"/>
      <c r="AR501" s="42"/>
      <c r="AS501" s="50"/>
      <c r="AT501" s="39"/>
      <c r="AU501" s="39"/>
      <c r="AV501" s="49"/>
      <c r="AW501" s="39"/>
      <c r="AX501" s="39">
        <v>10</v>
      </c>
      <c r="AY501" s="30">
        <f>(J501*10)/100</f>
        <v>0</v>
      </c>
      <c r="AZ501" s="42"/>
    </row>
    <row r="502" spans="1:52" ht="15.75" customHeight="1" x14ac:dyDescent="0.25">
      <c r="A502" s="46"/>
      <c r="B502" s="38"/>
      <c r="C502" s="39"/>
      <c r="D502" s="37"/>
      <c r="E502" s="42"/>
      <c r="F502" s="38"/>
      <c r="G502" s="39"/>
      <c r="H502" s="42"/>
      <c r="I502" s="42"/>
      <c r="J502" s="43">
        <v>0</v>
      </c>
      <c r="K502" s="43">
        <v>0</v>
      </c>
      <c r="L502" s="56">
        <v>0</v>
      </c>
      <c r="M502" s="56">
        <v>0</v>
      </c>
      <c r="N502" s="44" t="e">
        <f t="shared" si="91"/>
        <v>#DIV/0!</v>
      </c>
      <c r="O502" s="45">
        <f t="shared" si="85"/>
        <v>0</v>
      </c>
      <c r="P502" s="43"/>
      <c r="Q502" s="45">
        <f t="shared" si="86"/>
        <v>0</v>
      </c>
      <c r="R502" s="43">
        <v>0</v>
      </c>
      <c r="S502" s="30">
        <f t="shared" si="90"/>
        <v>0</v>
      </c>
      <c r="T502" s="30">
        <f t="shared" si="90"/>
        <v>0</v>
      </c>
      <c r="U502" s="30" t="e">
        <f>T502/X502</f>
        <v>#DIV/0!</v>
      </c>
      <c r="V502" s="43" t="e">
        <f>T502/X502</f>
        <v>#DIV/0!</v>
      </c>
      <c r="W502" s="43" t="e">
        <f t="shared" si="82"/>
        <v>#DIV/0!</v>
      </c>
      <c r="X502" s="43">
        <f t="shared" si="87"/>
        <v>0</v>
      </c>
      <c r="Y502" s="43">
        <v>0</v>
      </c>
      <c r="Z502" s="43">
        <v>0</v>
      </c>
      <c r="AA502" s="43">
        <v>0</v>
      </c>
      <c r="AB502" s="43"/>
      <c r="AC502" s="43" t="e">
        <f t="shared" si="83"/>
        <v>#DIV/0!</v>
      </c>
      <c r="AD502" s="43"/>
      <c r="AE502" s="43" t="e">
        <f t="shared" si="84"/>
        <v>#DIV/0!</v>
      </c>
      <c r="AF502" s="43" t="e">
        <f t="shared" si="88"/>
        <v>#DIV/0!</v>
      </c>
      <c r="AG502" s="43" t="e">
        <f t="shared" si="89"/>
        <v>#DIV/0!</v>
      </c>
      <c r="AH502" s="38"/>
      <c r="AI502" s="38"/>
      <c r="AJ502" s="38"/>
      <c r="AK502" s="38"/>
      <c r="AL502" s="38"/>
      <c r="AM502" s="48"/>
      <c r="AN502" s="42"/>
      <c r="AO502" s="42"/>
      <c r="AP502" s="42"/>
      <c r="AQ502" s="42"/>
      <c r="AR502" s="42"/>
      <c r="AS502" s="50"/>
      <c r="AT502" s="39"/>
      <c r="AU502" s="39"/>
      <c r="AV502" s="49"/>
      <c r="AW502" s="39"/>
      <c r="AX502" s="39">
        <v>10</v>
      </c>
      <c r="AY502" s="30">
        <f>(J502*10)/100</f>
        <v>0</v>
      </c>
      <c r="AZ502" s="42"/>
    </row>
    <row r="503" spans="1:52" ht="15.75" customHeight="1" x14ac:dyDescent="0.25">
      <c r="A503" s="46"/>
      <c r="B503" s="38"/>
      <c r="C503" s="39"/>
      <c r="D503" s="37"/>
      <c r="E503" s="42"/>
      <c r="F503" s="38"/>
      <c r="G503" s="39"/>
      <c r="H503" s="42"/>
      <c r="I503" s="42"/>
      <c r="J503" s="43">
        <v>0</v>
      </c>
      <c r="K503" s="43">
        <v>0</v>
      </c>
      <c r="L503" s="56">
        <v>0</v>
      </c>
      <c r="M503" s="56">
        <v>0</v>
      </c>
      <c r="N503" s="44" t="e">
        <f t="shared" si="91"/>
        <v>#DIV/0!</v>
      </c>
      <c r="O503" s="45">
        <f t="shared" si="85"/>
        <v>0</v>
      </c>
      <c r="P503" s="43"/>
      <c r="Q503" s="45">
        <f t="shared" si="86"/>
        <v>0</v>
      </c>
      <c r="R503" s="43">
        <v>0</v>
      </c>
      <c r="S503" s="30">
        <f t="shared" si="90"/>
        <v>0</v>
      </c>
      <c r="T503" s="30">
        <f t="shared" si="90"/>
        <v>0</v>
      </c>
      <c r="U503" s="30" t="e">
        <f>T503/X503</f>
        <v>#DIV/0!</v>
      </c>
      <c r="V503" s="43" t="e">
        <f>T503/X503</f>
        <v>#DIV/0!</v>
      </c>
      <c r="W503" s="43" t="e">
        <f t="shared" si="82"/>
        <v>#DIV/0!</v>
      </c>
      <c r="X503" s="43">
        <f t="shared" si="87"/>
        <v>0</v>
      </c>
      <c r="Y503" s="43">
        <v>0</v>
      </c>
      <c r="Z503" s="43">
        <v>0</v>
      </c>
      <c r="AA503" s="43">
        <v>0</v>
      </c>
      <c r="AB503" s="43"/>
      <c r="AC503" s="43" t="e">
        <f t="shared" si="83"/>
        <v>#DIV/0!</v>
      </c>
      <c r="AD503" s="43"/>
      <c r="AE503" s="43" t="e">
        <f t="shared" si="84"/>
        <v>#DIV/0!</v>
      </c>
      <c r="AF503" s="43" t="e">
        <f t="shared" si="88"/>
        <v>#DIV/0!</v>
      </c>
      <c r="AG503" s="43" t="e">
        <f t="shared" si="89"/>
        <v>#DIV/0!</v>
      </c>
      <c r="AH503" s="38"/>
      <c r="AI503" s="38"/>
      <c r="AJ503" s="38"/>
      <c r="AK503" s="38"/>
      <c r="AL503" s="38"/>
      <c r="AM503" s="48"/>
      <c r="AN503" s="42"/>
      <c r="AO503" s="42"/>
      <c r="AP503" s="42"/>
      <c r="AQ503" s="42"/>
      <c r="AR503" s="42"/>
      <c r="AS503" s="50"/>
      <c r="AT503" s="39"/>
      <c r="AU503" s="39"/>
      <c r="AV503" s="49"/>
      <c r="AW503" s="39"/>
      <c r="AX503" s="39">
        <v>10</v>
      </c>
      <c r="AY503" s="30">
        <f>(J503*10)/100</f>
        <v>0</v>
      </c>
      <c r="AZ503" s="42"/>
    </row>
    <row r="504" spans="1:52" ht="15.75" customHeight="1" x14ac:dyDescent="0.25">
      <c r="A504" s="46"/>
      <c r="B504" s="38"/>
      <c r="C504" s="39"/>
      <c r="D504" s="37"/>
      <c r="E504" s="42"/>
      <c r="F504" s="38"/>
      <c r="G504" s="39"/>
      <c r="H504" s="42"/>
      <c r="I504" s="42"/>
      <c r="J504" s="43">
        <v>0</v>
      </c>
      <c r="K504" s="43">
        <v>0</v>
      </c>
      <c r="L504" s="56">
        <v>0</v>
      </c>
      <c r="M504" s="56">
        <v>0</v>
      </c>
      <c r="N504" s="44" t="e">
        <f t="shared" si="91"/>
        <v>#DIV/0!</v>
      </c>
      <c r="O504" s="45">
        <f t="shared" si="85"/>
        <v>0</v>
      </c>
      <c r="P504" s="43"/>
      <c r="Q504" s="45">
        <f t="shared" si="86"/>
        <v>0</v>
      </c>
      <c r="R504" s="43">
        <v>0</v>
      </c>
      <c r="S504" s="30">
        <f t="shared" si="90"/>
        <v>0</v>
      </c>
      <c r="T504" s="30">
        <f t="shared" si="90"/>
        <v>0</v>
      </c>
      <c r="U504" s="30" t="e">
        <f>T504/X504</f>
        <v>#DIV/0!</v>
      </c>
      <c r="V504" s="43" t="e">
        <f>T504/X504</f>
        <v>#DIV/0!</v>
      </c>
      <c r="W504" s="43" t="e">
        <f t="shared" si="82"/>
        <v>#DIV/0!</v>
      </c>
      <c r="X504" s="43">
        <f t="shared" si="87"/>
        <v>0</v>
      </c>
      <c r="Y504" s="43">
        <v>0</v>
      </c>
      <c r="Z504" s="43">
        <v>0</v>
      </c>
      <c r="AA504" s="43">
        <v>0</v>
      </c>
      <c r="AB504" s="43"/>
      <c r="AC504" s="43" t="e">
        <f t="shared" si="83"/>
        <v>#DIV/0!</v>
      </c>
      <c r="AD504" s="43"/>
      <c r="AE504" s="43" t="e">
        <f t="shared" si="84"/>
        <v>#DIV/0!</v>
      </c>
      <c r="AF504" s="43" t="e">
        <f t="shared" si="88"/>
        <v>#DIV/0!</v>
      </c>
      <c r="AG504" s="43" t="e">
        <f t="shared" si="89"/>
        <v>#DIV/0!</v>
      </c>
      <c r="AH504" s="38"/>
      <c r="AI504" s="38"/>
      <c r="AJ504" s="38"/>
      <c r="AK504" s="38"/>
      <c r="AL504" s="38"/>
      <c r="AM504" s="48"/>
      <c r="AN504" s="42"/>
      <c r="AO504" s="42"/>
      <c r="AP504" s="42"/>
      <c r="AQ504" s="42"/>
      <c r="AR504" s="42"/>
      <c r="AS504" s="50"/>
      <c r="AT504" s="39"/>
      <c r="AU504" s="39"/>
      <c r="AV504" s="49"/>
      <c r="AW504" s="39"/>
      <c r="AX504" s="39">
        <v>10</v>
      </c>
      <c r="AY504" s="30">
        <f>(J504*10)/100</f>
        <v>0</v>
      </c>
      <c r="AZ504" s="42"/>
    </row>
    <row r="505" spans="1:52" ht="15.75" customHeight="1" x14ac:dyDescent="0.25">
      <c r="A505" s="46"/>
      <c r="B505" s="38"/>
      <c r="C505" s="39"/>
      <c r="D505" s="37"/>
      <c r="E505" s="42"/>
      <c r="F505" s="38"/>
      <c r="G505" s="39"/>
      <c r="H505" s="42"/>
      <c r="I505" s="42"/>
      <c r="J505" s="43">
        <v>0</v>
      </c>
      <c r="K505" s="43">
        <v>0</v>
      </c>
      <c r="L505" s="56">
        <v>0</v>
      </c>
      <c r="M505" s="56">
        <v>0</v>
      </c>
      <c r="N505" s="44" t="e">
        <f t="shared" si="91"/>
        <v>#DIV/0!</v>
      </c>
      <c r="O505" s="45">
        <f t="shared" si="85"/>
        <v>0</v>
      </c>
      <c r="P505" s="43"/>
      <c r="Q505" s="45">
        <f t="shared" si="86"/>
        <v>0</v>
      </c>
      <c r="R505" s="43">
        <v>0</v>
      </c>
      <c r="S505" s="30">
        <f t="shared" si="90"/>
        <v>0</v>
      </c>
      <c r="T505" s="30">
        <f t="shared" si="90"/>
        <v>0</v>
      </c>
      <c r="U505" s="30" t="e">
        <f>T505/X505</f>
        <v>#DIV/0!</v>
      </c>
      <c r="V505" s="43" t="e">
        <f>T505/X505</f>
        <v>#DIV/0!</v>
      </c>
      <c r="W505" s="43" t="e">
        <f t="shared" si="82"/>
        <v>#DIV/0!</v>
      </c>
      <c r="X505" s="43">
        <f t="shared" si="87"/>
        <v>0</v>
      </c>
      <c r="Y505" s="43">
        <v>0</v>
      </c>
      <c r="Z505" s="43">
        <v>0</v>
      </c>
      <c r="AA505" s="43">
        <v>0</v>
      </c>
      <c r="AB505" s="43"/>
      <c r="AC505" s="43" t="e">
        <f t="shared" si="83"/>
        <v>#DIV/0!</v>
      </c>
      <c r="AD505" s="43"/>
      <c r="AE505" s="43" t="e">
        <f t="shared" si="84"/>
        <v>#DIV/0!</v>
      </c>
      <c r="AF505" s="43" t="e">
        <f t="shared" si="88"/>
        <v>#DIV/0!</v>
      </c>
      <c r="AG505" s="43" t="e">
        <f t="shared" si="89"/>
        <v>#DIV/0!</v>
      </c>
      <c r="AH505" s="38"/>
      <c r="AI505" s="38"/>
      <c r="AJ505" s="38"/>
      <c r="AK505" s="38"/>
      <c r="AL505" s="38"/>
      <c r="AM505" s="48"/>
      <c r="AN505" s="42"/>
      <c r="AO505" s="42"/>
      <c r="AP505" s="42"/>
      <c r="AQ505" s="42"/>
      <c r="AR505" s="42"/>
      <c r="AS505" s="50"/>
      <c r="AT505" s="39"/>
      <c r="AU505" s="39"/>
      <c r="AV505" s="49"/>
      <c r="AW505" s="39"/>
      <c r="AX505" s="39">
        <v>10</v>
      </c>
      <c r="AY505" s="30">
        <f>(J505*10)/100</f>
        <v>0</v>
      </c>
      <c r="AZ505" s="42"/>
    </row>
    <row r="506" spans="1:52" ht="15.75" customHeight="1" x14ac:dyDescent="0.25">
      <c r="A506" s="46"/>
      <c r="B506" s="38"/>
      <c r="C506" s="39"/>
      <c r="D506" s="37"/>
      <c r="E506" s="42"/>
      <c r="F506" s="38"/>
      <c r="G506" s="39"/>
      <c r="H506" s="42"/>
      <c r="I506" s="42"/>
      <c r="J506" s="43">
        <v>0</v>
      </c>
      <c r="K506" s="43">
        <v>0</v>
      </c>
      <c r="L506" s="56">
        <v>0</v>
      </c>
      <c r="M506" s="56">
        <v>0</v>
      </c>
      <c r="N506" s="44" t="e">
        <f t="shared" si="91"/>
        <v>#DIV/0!</v>
      </c>
      <c r="O506" s="45">
        <f t="shared" si="85"/>
        <v>0</v>
      </c>
      <c r="P506" s="43"/>
      <c r="Q506" s="45">
        <f t="shared" si="86"/>
        <v>0</v>
      </c>
      <c r="R506" s="43">
        <v>0</v>
      </c>
      <c r="S506" s="30">
        <f t="shared" si="90"/>
        <v>0</v>
      </c>
      <c r="T506" s="30">
        <f t="shared" si="90"/>
        <v>0</v>
      </c>
      <c r="U506" s="30" t="e">
        <f>T506/X506</f>
        <v>#DIV/0!</v>
      </c>
      <c r="V506" s="43" t="e">
        <f>T506/X506</f>
        <v>#DIV/0!</v>
      </c>
      <c r="W506" s="43" t="e">
        <f t="shared" si="82"/>
        <v>#DIV/0!</v>
      </c>
      <c r="X506" s="43">
        <f t="shared" si="87"/>
        <v>0</v>
      </c>
      <c r="Y506" s="43">
        <v>0</v>
      </c>
      <c r="Z506" s="43">
        <v>0</v>
      </c>
      <c r="AA506" s="43">
        <v>0</v>
      </c>
      <c r="AB506" s="43"/>
      <c r="AC506" s="43" t="e">
        <f t="shared" si="83"/>
        <v>#DIV/0!</v>
      </c>
      <c r="AD506" s="43"/>
      <c r="AE506" s="43" t="e">
        <f t="shared" si="84"/>
        <v>#DIV/0!</v>
      </c>
      <c r="AF506" s="43" t="e">
        <f t="shared" si="88"/>
        <v>#DIV/0!</v>
      </c>
      <c r="AG506" s="43" t="e">
        <f t="shared" si="89"/>
        <v>#DIV/0!</v>
      </c>
      <c r="AH506" s="38"/>
      <c r="AI506" s="38"/>
      <c r="AJ506" s="38"/>
      <c r="AK506" s="38"/>
      <c r="AL506" s="38"/>
      <c r="AM506" s="48"/>
      <c r="AN506" s="42"/>
      <c r="AO506" s="42"/>
      <c r="AP506" s="42"/>
      <c r="AQ506" s="42"/>
      <c r="AR506" s="42"/>
      <c r="AS506" s="50"/>
      <c r="AT506" s="39"/>
      <c r="AU506" s="39"/>
      <c r="AV506" s="49"/>
      <c r="AW506" s="39"/>
      <c r="AX506" s="39">
        <v>10</v>
      </c>
      <c r="AY506" s="30">
        <f>(J506*10)/100</f>
        <v>0</v>
      </c>
      <c r="AZ506" s="42"/>
    </row>
    <row r="507" spans="1:52" ht="15.75" customHeight="1" x14ac:dyDescent="0.25">
      <c r="A507" s="46"/>
      <c r="B507" s="38"/>
      <c r="C507" s="39"/>
      <c r="D507" s="37"/>
      <c r="E507" s="42"/>
      <c r="F507" s="38"/>
      <c r="G507" s="39"/>
      <c r="H507" s="42"/>
      <c r="I507" s="42"/>
      <c r="J507" s="43">
        <v>0</v>
      </c>
      <c r="K507" s="43">
        <v>0</v>
      </c>
      <c r="L507" s="56">
        <v>0</v>
      </c>
      <c r="M507" s="56">
        <v>0</v>
      </c>
      <c r="N507" s="44" t="e">
        <f t="shared" si="91"/>
        <v>#DIV/0!</v>
      </c>
      <c r="O507" s="45">
        <f t="shared" si="85"/>
        <v>0</v>
      </c>
      <c r="P507" s="43"/>
      <c r="Q507" s="45">
        <f t="shared" si="86"/>
        <v>0</v>
      </c>
      <c r="R507" s="43">
        <v>0</v>
      </c>
      <c r="S507" s="30">
        <f t="shared" si="90"/>
        <v>0</v>
      </c>
      <c r="T507" s="30">
        <f t="shared" si="90"/>
        <v>0</v>
      </c>
      <c r="U507" s="30" t="e">
        <f>T507/X507</f>
        <v>#DIV/0!</v>
      </c>
      <c r="V507" s="43" t="e">
        <f>T507/X507</f>
        <v>#DIV/0!</v>
      </c>
      <c r="W507" s="43" t="e">
        <f t="shared" si="82"/>
        <v>#DIV/0!</v>
      </c>
      <c r="X507" s="43">
        <f t="shared" si="87"/>
        <v>0</v>
      </c>
      <c r="Y507" s="43">
        <v>0</v>
      </c>
      <c r="Z507" s="43">
        <v>0</v>
      </c>
      <c r="AA507" s="43">
        <v>0</v>
      </c>
      <c r="AB507" s="43"/>
      <c r="AC507" s="43" t="e">
        <f t="shared" si="83"/>
        <v>#DIV/0!</v>
      </c>
      <c r="AD507" s="43"/>
      <c r="AE507" s="43" t="e">
        <f t="shared" si="84"/>
        <v>#DIV/0!</v>
      </c>
      <c r="AF507" s="43" t="e">
        <f t="shared" si="88"/>
        <v>#DIV/0!</v>
      </c>
      <c r="AG507" s="43" t="e">
        <f t="shared" si="89"/>
        <v>#DIV/0!</v>
      </c>
      <c r="AH507" s="38"/>
      <c r="AI507" s="38"/>
      <c r="AJ507" s="38"/>
      <c r="AK507" s="38"/>
      <c r="AL507" s="38"/>
      <c r="AM507" s="48"/>
      <c r="AN507" s="42"/>
      <c r="AO507" s="42"/>
      <c r="AP507" s="42"/>
      <c r="AQ507" s="42"/>
      <c r="AR507" s="42"/>
      <c r="AS507" s="50"/>
      <c r="AT507" s="39"/>
      <c r="AU507" s="39"/>
      <c r="AV507" s="49"/>
      <c r="AW507" s="39"/>
      <c r="AX507" s="39">
        <v>10</v>
      </c>
      <c r="AY507" s="30">
        <f>(J507*10)/100</f>
        <v>0</v>
      </c>
      <c r="AZ507" s="42"/>
    </row>
    <row r="508" spans="1:52" ht="15.75" customHeight="1" x14ac:dyDescent="0.25">
      <c r="A508" s="46"/>
      <c r="B508" s="38"/>
      <c r="C508" s="39"/>
      <c r="D508" s="37"/>
      <c r="E508" s="42"/>
      <c r="F508" s="38"/>
      <c r="G508" s="39"/>
      <c r="H508" s="42"/>
      <c r="I508" s="42"/>
      <c r="J508" s="43">
        <v>0</v>
      </c>
      <c r="K508" s="43">
        <v>0</v>
      </c>
      <c r="L508" s="56">
        <v>0</v>
      </c>
      <c r="M508" s="56">
        <v>0</v>
      </c>
      <c r="N508" s="44" t="e">
        <f t="shared" si="91"/>
        <v>#DIV/0!</v>
      </c>
      <c r="O508" s="45">
        <f t="shared" si="85"/>
        <v>0</v>
      </c>
      <c r="P508" s="43"/>
      <c r="Q508" s="45">
        <f t="shared" si="86"/>
        <v>0</v>
      </c>
      <c r="R508" s="43">
        <v>0</v>
      </c>
      <c r="S508" s="30">
        <f t="shared" si="90"/>
        <v>0</v>
      </c>
      <c r="T508" s="30">
        <f t="shared" si="90"/>
        <v>0</v>
      </c>
      <c r="U508" s="30" t="e">
        <f>T508/X508</f>
        <v>#DIV/0!</v>
      </c>
      <c r="V508" s="43" t="e">
        <f>T508/X508</f>
        <v>#DIV/0!</v>
      </c>
      <c r="W508" s="43" t="e">
        <f t="shared" si="82"/>
        <v>#DIV/0!</v>
      </c>
      <c r="X508" s="43">
        <f t="shared" si="87"/>
        <v>0</v>
      </c>
      <c r="Y508" s="43">
        <v>0</v>
      </c>
      <c r="Z508" s="43">
        <v>0</v>
      </c>
      <c r="AA508" s="43">
        <v>0</v>
      </c>
      <c r="AB508" s="43"/>
      <c r="AC508" s="43" t="e">
        <f t="shared" si="83"/>
        <v>#DIV/0!</v>
      </c>
      <c r="AD508" s="43"/>
      <c r="AE508" s="43" t="e">
        <f t="shared" si="84"/>
        <v>#DIV/0!</v>
      </c>
      <c r="AF508" s="43" t="e">
        <f t="shared" si="88"/>
        <v>#DIV/0!</v>
      </c>
      <c r="AG508" s="43" t="e">
        <f t="shared" si="89"/>
        <v>#DIV/0!</v>
      </c>
      <c r="AH508" s="38"/>
      <c r="AI508" s="38"/>
      <c r="AJ508" s="38"/>
      <c r="AK508" s="38"/>
      <c r="AL508" s="38"/>
      <c r="AM508" s="48"/>
      <c r="AN508" s="42"/>
      <c r="AO508" s="42"/>
      <c r="AP508" s="42"/>
      <c r="AQ508" s="42"/>
      <c r="AR508" s="42"/>
      <c r="AS508" s="50"/>
      <c r="AT508" s="39"/>
      <c r="AU508" s="39"/>
      <c r="AV508" s="49"/>
      <c r="AW508" s="39"/>
      <c r="AX508" s="39">
        <v>10</v>
      </c>
      <c r="AY508" s="30">
        <f>(J508*10)/100</f>
        <v>0</v>
      </c>
      <c r="AZ508" s="42"/>
    </row>
    <row r="509" spans="1:52" ht="15.75" customHeight="1" x14ac:dyDescent="0.25">
      <c r="A509" s="46"/>
      <c r="B509" s="38"/>
      <c r="C509" s="39"/>
      <c r="D509" s="37"/>
      <c r="E509" s="42"/>
      <c r="F509" s="38"/>
      <c r="G509" s="39"/>
      <c r="H509" s="42"/>
      <c r="I509" s="42"/>
      <c r="J509" s="43">
        <v>0</v>
      </c>
      <c r="K509" s="43">
        <v>0</v>
      </c>
      <c r="L509" s="56">
        <v>0</v>
      </c>
      <c r="M509" s="56">
        <v>0</v>
      </c>
      <c r="N509" s="44" t="e">
        <f t="shared" si="91"/>
        <v>#DIV/0!</v>
      </c>
      <c r="O509" s="45">
        <f t="shared" si="85"/>
        <v>0</v>
      </c>
      <c r="P509" s="43"/>
      <c r="Q509" s="45">
        <f t="shared" si="86"/>
        <v>0</v>
      </c>
      <c r="R509" s="43">
        <v>0</v>
      </c>
      <c r="S509" s="30">
        <f t="shared" si="90"/>
        <v>0</v>
      </c>
      <c r="T509" s="30">
        <f t="shared" si="90"/>
        <v>0</v>
      </c>
      <c r="U509" s="30" t="e">
        <f>T509/X509</f>
        <v>#DIV/0!</v>
      </c>
      <c r="V509" s="43" t="e">
        <f>T509/X509</f>
        <v>#DIV/0!</v>
      </c>
      <c r="W509" s="43" t="e">
        <f t="shared" si="82"/>
        <v>#DIV/0!</v>
      </c>
      <c r="X509" s="43">
        <f t="shared" si="87"/>
        <v>0</v>
      </c>
      <c r="Y509" s="43">
        <v>0</v>
      </c>
      <c r="Z509" s="43">
        <v>0</v>
      </c>
      <c r="AA509" s="43">
        <v>0</v>
      </c>
      <c r="AB509" s="43"/>
      <c r="AC509" s="43" t="e">
        <f t="shared" si="83"/>
        <v>#DIV/0!</v>
      </c>
      <c r="AD509" s="43"/>
      <c r="AE509" s="43" t="e">
        <f t="shared" si="84"/>
        <v>#DIV/0!</v>
      </c>
      <c r="AF509" s="43" t="e">
        <f t="shared" si="88"/>
        <v>#DIV/0!</v>
      </c>
      <c r="AG509" s="43" t="e">
        <f t="shared" si="89"/>
        <v>#DIV/0!</v>
      </c>
      <c r="AH509" s="38"/>
      <c r="AI509" s="38"/>
      <c r="AJ509" s="38"/>
      <c r="AK509" s="38"/>
      <c r="AL509" s="38"/>
      <c r="AM509" s="48"/>
      <c r="AN509" s="42"/>
      <c r="AO509" s="42"/>
      <c r="AP509" s="42"/>
      <c r="AQ509" s="42"/>
      <c r="AR509" s="42"/>
      <c r="AS509" s="50"/>
      <c r="AT509" s="39"/>
      <c r="AU509" s="39"/>
      <c r="AV509" s="49"/>
      <c r="AW509" s="39"/>
      <c r="AX509" s="39">
        <v>10</v>
      </c>
      <c r="AY509" s="30">
        <f>(J509*10)/100</f>
        <v>0</v>
      </c>
      <c r="AZ509" s="42"/>
    </row>
    <row r="510" spans="1:52" ht="15.75" customHeight="1" x14ac:dyDescent="0.25">
      <c r="A510" s="46"/>
      <c r="B510" s="38"/>
      <c r="C510" s="39"/>
      <c r="D510" s="37"/>
      <c r="E510" s="42"/>
      <c r="F510" s="38"/>
      <c r="G510" s="39"/>
      <c r="H510" s="42"/>
      <c r="I510" s="42"/>
      <c r="J510" s="43">
        <v>0</v>
      </c>
      <c r="K510" s="43">
        <v>0</v>
      </c>
      <c r="L510" s="56">
        <v>0</v>
      </c>
      <c r="M510" s="56">
        <v>0</v>
      </c>
      <c r="N510" s="44" t="e">
        <f t="shared" si="91"/>
        <v>#DIV/0!</v>
      </c>
      <c r="O510" s="45">
        <f t="shared" si="85"/>
        <v>0</v>
      </c>
      <c r="P510" s="43"/>
      <c r="Q510" s="45">
        <f t="shared" si="86"/>
        <v>0</v>
      </c>
      <c r="R510" s="43">
        <v>0</v>
      </c>
      <c r="S510" s="30">
        <f t="shared" si="90"/>
        <v>0</v>
      </c>
      <c r="T510" s="30">
        <f t="shared" si="90"/>
        <v>0</v>
      </c>
      <c r="U510" s="30" t="e">
        <f>T510/X510</f>
        <v>#DIV/0!</v>
      </c>
      <c r="V510" s="43" t="e">
        <f>T510/X510</f>
        <v>#DIV/0!</v>
      </c>
      <c r="W510" s="43" t="e">
        <f t="shared" si="82"/>
        <v>#DIV/0!</v>
      </c>
      <c r="X510" s="43">
        <f t="shared" si="87"/>
        <v>0</v>
      </c>
      <c r="Y510" s="43">
        <v>0</v>
      </c>
      <c r="Z510" s="43">
        <v>0</v>
      </c>
      <c r="AA510" s="43">
        <v>0</v>
      </c>
      <c r="AB510" s="43"/>
      <c r="AC510" s="43" t="e">
        <f t="shared" si="83"/>
        <v>#DIV/0!</v>
      </c>
      <c r="AD510" s="43"/>
      <c r="AE510" s="43" t="e">
        <f t="shared" si="84"/>
        <v>#DIV/0!</v>
      </c>
      <c r="AF510" s="43" t="e">
        <f t="shared" si="88"/>
        <v>#DIV/0!</v>
      </c>
      <c r="AG510" s="43" t="e">
        <f t="shared" si="89"/>
        <v>#DIV/0!</v>
      </c>
      <c r="AH510" s="38"/>
      <c r="AI510" s="38"/>
      <c r="AJ510" s="38"/>
      <c r="AK510" s="38"/>
      <c r="AL510" s="38"/>
      <c r="AM510" s="48"/>
      <c r="AN510" s="42"/>
      <c r="AO510" s="42"/>
      <c r="AP510" s="42"/>
      <c r="AQ510" s="42"/>
      <c r="AR510" s="42"/>
      <c r="AS510" s="50"/>
      <c r="AT510" s="39"/>
      <c r="AU510" s="39"/>
      <c r="AV510" s="49"/>
      <c r="AW510" s="39"/>
      <c r="AX510" s="39">
        <v>10</v>
      </c>
      <c r="AY510" s="30">
        <f>(J510*10)/100</f>
        <v>0</v>
      </c>
      <c r="AZ510" s="42"/>
    </row>
    <row r="511" spans="1:52" ht="15.75" customHeight="1" x14ac:dyDescent="0.25">
      <c r="A511" s="46"/>
      <c r="B511" s="38"/>
      <c r="C511" s="39"/>
      <c r="D511" s="37"/>
      <c r="E511" s="42"/>
      <c r="F511" s="38"/>
      <c r="G511" s="39"/>
      <c r="H511" s="42"/>
      <c r="I511" s="42"/>
      <c r="J511" s="43">
        <v>0</v>
      </c>
      <c r="K511" s="43">
        <v>0</v>
      </c>
      <c r="L511" s="56">
        <v>0</v>
      </c>
      <c r="M511" s="56">
        <v>0</v>
      </c>
      <c r="N511" s="44" t="e">
        <f t="shared" si="91"/>
        <v>#DIV/0!</v>
      </c>
      <c r="O511" s="45">
        <f t="shared" si="85"/>
        <v>0</v>
      </c>
      <c r="P511" s="43"/>
      <c r="Q511" s="45">
        <f t="shared" si="86"/>
        <v>0</v>
      </c>
      <c r="R511" s="43">
        <v>0</v>
      </c>
      <c r="S511" s="30">
        <f t="shared" si="90"/>
        <v>0</v>
      </c>
      <c r="T511" s="30">
        <f t="shared" si="90"/>
        <v>0</v>
      </c>
      <c r="U511" s="30" t="e">
        <f>T511/X511</f>
        <v>#DIV/0!</v>
      </c>
      <c r="V511" s="43" t="e">
        <f>T511/X511</f>
        <v>#DIV/0!</v>
      </c>
      <c r="W511" s="43" t="e">
        <f t="shared" si="82"/>
        <v>#DIV/0!</v>
      </c>
      <c r="X511" s="43">
        <f t="shared" si="87"/>
        <v>0</v>
      </c>
      <c r="Y511" s="43">
        <v>0</v>
      </c>
      <c r="Z511" s="43">
        <v>0</v>
      </c>
      <c r="AA511" s="43">
        <v>0</v>
      </c>
      <c r="AB511" s="43"/>
      <c r="AC511" s="43" t="e">
        <f t="shared" si="83"/>
        <v>#DIV/0!</v>
      </c>
      <c r="AD511" s="43"/>
      <c r="AE511" s="43" t="e">
        <f t="shared" si="84"/>
        <v>#DIV/0!</v>
      </c>
      <c r="AF511" s="43" t="e">
        <f t="shared" si="88"/>
        <v>#DIV/0!</v>
      </c>
      <c r="AG511" s="43" t="e">
        <f t="shared" si="89"/>
        <v>#DIV/0!</v>
      </c>
      <c r="AH511" s="38"/>
      <c r="AI511" s="38"/>
      <c r="AJ511" s="38"/>
      <c r="AK511" s="38"/>
      <c r="AL511" s="38"/>
      <c r="AM511" s="48"/>
      <c r="AN511" s="42"/>
      <c r="AO511" s="42"/>
      <c r="AP511" s="42"/>
      <c r="AQ511" s="42"/>
      <c r="AR511" s="42"/>
      <c r="AS511" s="50"/>
      <c r="AT511" s="39"/>
      <c r="AU511" s="39"/>
      <c r="AV511" s="49"/>
      <c r="AW511" s="39"/>
      <c r="AX511" s="39">
        <v>10</v>
      </c>
      <c r="AY511" s="30">
        <f>(J511*10)/100</f>
        <v>0</v>
      </c>
      <c r="AZ511" s="42"/>
    </row>
    <row r="512" spans="1:52" ht="15.75" customHeight="1" x14ac:dyDescent="0.25">
      <c r="A512" s="46"/>
      <c r="B512" s="38"/>
      <c r="C512" s="39"/>
      <c r="D512" s="37"/>
      <c r="E512" s="42"/>
      <c r="F512" s="38"/>
      <c r="G512" s="39"/>
      <c r="H512" s="42"/>
      <c r="I512" s="42"/>
      <c r="J512" s="43">
        <v>0</v>
      </c>
      <c r="K512" s="43">
        <v>0</v>
      </c>
      <c r="L512" s="56">
        <v>0</v>
      </c>
      <c r="M512" s="56">
        <v>0</v>
      </c>
      <c r="N512" s="44" t="e">
        <f t="shared" si="91"/>
        <v>#DIV/0!</v>
      </c>
      <c r="O512" s="45">
        <f t="shared" si="85"/>
        <v>0</v>
      </c>
      <c r="P512" s="43"/>
      <c r="Q512" s="45">
        <f t="shared" si="86"/>
        <v>0</v>
      </c>
      <c r="R512" s="43">
        <v>0</v>
      </c>
      <c r="S512" s="30">
        <f t="shared" si="90"/>
        <v>0</v>
      </c>
      <c r="T512" s="30">
        <f t="shared" si="90"/>
        <v>0</v>
      </c>
      <c r="U512" s="30" t="e">
        <f>T512/X512</f>
        <v>#DIV/0!</v>
      </c>
      <c r="V512" s="43" t="e">
        <f>T512/X512</f>
        <v>#DIV/0!</v>
      </c>
      <c r="W512" s="43" t="e">
        <f t="shared" si="82"/>
        <v>#DIV/0!</v>
      </c>
      <c r="X512" s="43">
        <f t="shared" si="87"/>
        <v>0</v>
      </c>
      <c r="Y512" s="43">
        <v>0</v>
      </c>
      <c r="Z512" s="43">
        <v>0</v>
      </c>
      <c r="AA512" s="43">
        <v>0</v>
      </c>
      <c r="AB512" s="43"/>
      <c r="AC512" s="43" t="e">
        <f t="shared" si="83"/>
        <v>#DIV/0!</v>
      </c>
      <c r="AD512" s="43"/>
      <c r="AE512" s="43" t="e">
        <f t="shared" si="84"/>
        <v>#DIV/0!</v>
      </c>
      <c r="AF512" s="43" t="e">
        <f t="shared" si="88"/>
        <v>#DIV/0!</v>
      </c>
      <c r="AG512" s="43" t="e">
        <f t="shared" si="89"/>
        <v>#DIV/0!</v>
      </c>
      <c r="AH512" s="38"/>
      <c r="AI512" s="38"/>
      <c r="AJ512" s="38"/>
      <c r="AK512" s="38"/>
      <c r="AL512" s="38"/>
      <c r="AM512" s="48"/>
      <c r="AN512" s="42"/>
      <c r="AO512" s="42"/>
      <c r="AP512" s="42"/>
      <c r="AQ512" s="42"/>
      <c r="AR512" s="42"/>
      <c r="AS512" s="50"/>
      <c r="AT512" s="39"/>
      <c r="AU512" s="39"/>
      <c r="AV512" s="49"/>
      <c r="AW512" s="39"/>
      <c r="AX512" s="39">
        <v>10</v>
      </c>
      <c r="AY512" s="30">
        <f>(J512*10)/100</f>
        <v>0</v>
      </c>
      <c r="AZ512" s="42"/>
    </row>
    <row r="513" spans="1:52" ht="15.75" customHeight="1" x14ac:dyDescent="0.25">
      <c r="A513" s="46"/>
      <c r="B513" s="38"/>
      <c r="C513" s="39"/>
      <c r="D513" s="37"/>
      <c r="E513" s="42"/>
      <c r="F513" s="38"/>
      <c r="G513" s="39"/>
      <c r="H513" s="42"/>
      <c r="I513" s="42"/>
      <c r="J513" s="43">
        <v>0</v>
      </c>
      <c r="K513" s="43">
        <v>0</v>
      </c>
      <c r="L513" s="56">
        <v>0</v>
      </c>
      <c r="M513" s="56">
        <v>0</v>
      </c>
      <c r="N513" s="44" t="e">
        <f t="shared" si="91"/>
        <v>#DIV/0!</v>
      </c>
      <c r="O513" s="45">
        <f t="shared" si="85"/>
        <v>0</v>
      </c>
      <c r="P513" s="43"/>
      <c r="Q513" s="45">
        <f t="shared" si="86"/>
        <v>0</v>
      </c>
      <c r="R513" s="43">
        <v>0</v>
      </c>
      <c r="S513" s="30">
        <f t="shared" si="90"/>
        <v>0</v>
      </c>
      <c r="T513" s="30">
        <f t="shared" si="90"/>
        <v>0</v>
      </c>
      <c r="U513" s="30" t="e">
        <f>T513/X513</f>
        <v>#DIV/0!</v>
      </c>
      <c r="V513" s="43" t="e">
        <f>T513/X513</f>
        <v>#DIV/0!</v>
      </c>
      <c r="W513" s="43" t="e">
        <f t="shared" si="82"/>
        <v>#DIV/0!</v>
      </c>
      <c r="X513" s="43">
        <f t="shared" si="87"/>
        <v>0</v>
      </c>
      <c r="Y513" s="43">
        <v>0</v>
      </c>
      <c r="Z513" s="43">
        <v>0</v>
      </c>
      <c r="AA513" s="43">
        <v>0</v>
      </c>
      <c r="AB513" s="43"/>
      <c r="AC513" s="43" t="e">
        <f t="shared" si="83"/>
        <v>#DIV/0!</v>
      </c>
      <c r="AD513" s="43"/>
      <c r="AE513" s="43" t="e">
        <f t="shared" si="84"/>
        <v>#DIV/0!</v>
      </c>
      <c r="AF513" s="43" t="e">
        <f t="shared" si="88"/>
        <v>#DIV/0!</v>
      </c>
      <c r="AG513" s="43" t="e">
        <f t="shared" si="89"/>
        <v>#DIV/0!</v>
      </c>
      <c r="AH513" s="38"/>
      <c r="AI513" s="38"/>
      <c r="AJ513" s="38"/>
      <c r="AK513" s="38"/>
      <c r="AL513" s="38"/>
      <c r="AM513" s="48"/>
      <c r="AN513" s="42"/>
      <c r="AO513" s="42"/>
      <c r="AP513" s="42"/>
      <c r="AQ513" s="42"/>
      <c r="AR513" s="42"/>
      <c r="AS513" s="50"/>
      <c r="AT513" s="39"/>
      <c r="AU513" s="39"/>
      <c r="AV513" s="49"/>
      <c r="AW513" s="39"/>
      <c r="AX513" s="39">
        <v>10</v>
      </c>
      <c r="AY513" s="30">
        <f>(J513*10)/100</f>
        <v>0</v>
      </c>
      <c r="AZ513" s="42"/>
    </row>
    <row r="514" spans="1:52" ht="15.75" customHeight="1" x14ac:dyDescent="0.25">
      <c r="A514" s="46"/>
      <c r="B514" s="38"/>
      <c r="C514" s="39"/>
      <c r="D514" s="37"/>
      <c r="E514" s="42"/>
      <c r="F514" s="38"/>
      <c r="G514" s="39"/>
      <c r="H514" s="42"/>
      <c r="I514" s="42"/>
      <c r="J514" s="43">
        <v>0</v>
      </c>
      <c r="K514" s="43">
        <v>0</v>
      </c>
      <c r="L514" s="56">
        <v>0</v>
      </c>
      <c r="M514" s="56">
        <v>0</v>
      </c>
      <c r="N514" s="44" t="e">
        <f t="shared" si="91"/>
        <v>#DIV/0!</v>
      </c>
      <c r="O514" s="45">
        <f t="shared" si="85"/>
        <v>0</v>
      </c>
      <c r="P514" s="43"/>
      <c r="Q514" s="45">
        <f t="shared" si="86"/>
        <v>0</v>
      </c>
      <c r="R514" s="43">
        <v>0</v>
      </c>
      <c r="S514" s="30">
        <f t="shared" si="90"/>
        <v>0</v>
      </c>
      <c r="T514" s="30">
        <f t="shared" si="90"/>
        <v>0</v>
      </c>
      <c r="U514" s="30" t="e">
        <f>T514/X514</f>
        <v>#DIV/0!</v>
      </c>
      <c r="V514" s="43" t="e">
        <f>T514/X514</f>
        <v>#DIV/0!</v>
      </c>
      <c r="W514" s="43" t="e">
        <f t="shared" si="82"/>
        <v>#DIV/0!</v>
      </c>
      <c r="X514" s="43">
        <f t="shared" si="87"/>
        <v>0</v>
      </c>
      <c r="Y514" s="43">
        <v>0</v>
      </c>
      <c r="Z514" s="43">
        <v>0</v>
      </c>
      <c r="AA514" s="43">
        <v>0</v>
      </c>
      <c r="AB514" s="43"/>
      <c r="AC514" s="43" t="e">
        <f t="shared" si="83"/>
        <v>#DIV/0!</v>
      </c>
      <c r="AD514" s="43"/>
      <c r="AE514" s="43" t="e">
        <f t="shared" si="84"/>
        <v>#DIV/0!</v>
      </c>
      <c r="AF514" s="43" t="e">
        <f t="shared" si="88"/>
        <v>#DIV/0!</v>
      </c>
      <c r="AG514" s="43" t="e">
        <f t="shared" si="89"/>
        <v>#DIV/0!</v>
      </c>
      <c r="AH514" s="38"/>
      <c r="AI514" s="38"/>
      <c r="AJ514" s="38"/>
      <c r="AK514" s="38"/>
      <c r="AL514" s="38"/>
      <c r="AM514" s="48"/>
      <c r="AN514" s="42"/>
      <c r="AO514" s="42"/>
      <c r="AP514" s="42"/>
      <c r="AQ514" s="42"/>
      <c r="AR514" s="42"/>
      <c r="AS514" s="50"/>
      <c r="AT514" s="39"/>
      <c r="AU514" s="39"/>
      <c r="AV514" s="49"/>
      <c r="AW514" s="39"/>
      <c r="AX514" s="39">
        <v>10</v>
      </c>
      <c r="AY514" s="30">
        <f>(J514*10)/100</f>
        <v>0</v>
      </c>
      <c r="AZ514" s="42"/>
    </row>
    <row r="515" spans="1:52" ht="15.75" customHeight="1" x14ac:dyDescent="0.25">
      <c r="A515" s="46"/>
      <c r="B515" s="38"/>
      <c r="C515" s="39"/>
      <c r="D515" s="37"/>
      <c r="E515" s="42"/>
      <c r="F515" s="38"/>
      <c r="G515" s="39"/>
      <c r="H515" s="42"/>
      <c r="I515" s="42"/>
      <c r="J515" s="43">
        <v>0</v>
      </c>
      <c r="K515" s="43">
        <v>0</v>
      </c>
      <c r="L515" s="56">
        <v>0</v>
      </c>
      <c r="M515" s="56">
        <v>0</v>
      </c>
      <c r="N515" s="44" t="e">
        <f t="shared" si="91"/>
        <v>#DIV/0!</v>
      </c>
      <c r="O515" s="45">
        <f t="shared" si="85"/>
        <v>0</v>
      </c>
      <c r="P515" s="43"/>
      <c r="Q515" s="45">
        <f t="shared" si="86"/>
        <v>0</v>
      </c>
      <c r="R515" s="43">
        <v>0</v>
      </c>
      <c r="S515" s="30">
        <f t="shared" si="90"/>
        <v>0</v>
      </c>
      <c r="T515" s="30">
        <f t="shared" si="90"/>
        <v>0</v>
      </c>
      <c r="U515" s="30" t="e">
        <f>T515/X515</f>
        <v>#DIV/0!</v>
      </c>
      <c r="V515" s="43" t="e">
        <f>T515/X515</f>
        <v>#DIV/0!</v>
      </c>
      <c r="W515" s="43" t="e">
        <f t="shared" ref="W515:W525" si="92">V515*AV515</f>
        <v>#DIV/0!</v>
      </c>
      <c r="X515" s="43">
        <f t="shared" si="87"/>
        <v>0</v>
      </c>
      <c r="Y515" s="43">
        <v>0</v>
      </c>
      <c r="Z515" s="43">
        <v>0</v>
      </c>
      <c r="AA515" s="43">
        <v>0</v>
      </c>
      <c r="AB515" s="43"/>
      <c r="AC515" s="43" t="e">
        <f t="shared" si="83"/>
        <v>#DIV/0!</v>
      </c>
      <c r="AD515" s="43"/>
      <c r="AE515" s="43" t="e">
        <f t="shared" si="84"/>
        <v>#DIV/0!</v>
      </c>
      <c r="AF515" s="43" t="e">
        <f t="shared" si="88"/>
        <v>#DIV/0!</v>
      </c>
      <c r="AG515" s="43" t="e">
        <f t="shared" si="89"/>
        <v>#DIV/0!</v>
      </c>
      <c r="AH515" s="38"/>
      <c r="AI515" s="38"/>
      <c r="AJ515" s="38"/>
      <c r="AK515" s="38"/>
      <c r="AL515" s="38"/>
      <c r="AM515" s="48"/>
      <c r="AN515" s="42"/>
      <c r="AO515" s="42"/>
      <c r="AP515" s="42"/>
      <c r="AQ515" s="42"/>
      <c r="AR515" s="42"/>
      <c r="AS515" s="50"/>
      <c r="AT515" s="39"/>
      <c r="AU515" s="39"/>
      <c r="AV515" s="49"/>
      <c r="AW515" s="39"/>
      <c r="AX515" s="39">
        <v>10</v>
      </c>
      <c r="AY515" s="30">
        <f>(J515*10)/100</f>
        <v>0</v>
      </c>
      <c r="AZ515" s="42"/>
    </row>
    <row r="516" spans="1:52" ht="15.75" customHeight="1" x14ac:dyDescent="0.25">
      <c r="A516" s="46"/>
      <c r="B516" s="38"/>
      <c r="C516" s="39"/>
      <c r="D516" s="37"/>
      <c r="E516" s="42"/>
      <c r="F516" s="38"/>
      <c r="G516" s="39"/>
      <c r="H516" s="42"/>
      <c r="I516" s="42"/>
      <c r="J516" s="43">
        <v>0</v>
      </c>
      <c r="K516" s="43">
        <v>0</v>
      </c>
      <c r="L516" s="56">
        <v>0</v>
      </c>
      <c r="M516" s="56">
        <v>0</v>
      </c>
      <c r="N516" s="44" t="e">
        <f t="shared" si="91"/>
        <v>#DIV/0!</v>
      </c>
      <c r="O516" s="45">
        <f t="shared" si="85"/>
        <v>0</v>
      </c>
      <c r="P516" s="43"/>
      <c r="Q516" s="45">
        <f t="shared" si="86"/>
        <v>0</v>
      </c>
      <c r="R516" s="43">
        <v>0</v>
      </c>
      <c r="S516" s="30">
        <f t="shared" si="90"/>
        <v>0</v>
      </c>
      <c r="T516" s="30">
        <f t="shared" si="90"/>
        <v>0</v>
      </c>
      <c r="U516" s="30" t="e">
        <f>T516/X516</f>
        <v>#DIV/0!</v>
      </c>
      <c r="V516" s="43" t="e">
        <f>T516/X516</f>
        <v>#DIV/0!</v>
      </c>
      <c r="W516" s="43" t="e">
        <f t="shared" si="92"/>
        <v>#DIV/0!</v>
      </c>
      <c r="X516" s="43">
        <f t="shared" si="87"/>
        <v>0</v>
      </c>
      <c r="Y516" s="43">
        <v>0</v>
      </c>
      <c r="Z516" s="43">
        <v>0</v>
      </c>
      <c r="AA516" s="43">
        <v>0</v>
      </c>
      <c r="AB516" s="43"/>
      <c r="AC516" s="43" t="e">
        <f t="shared" ref="AC516:AC527" si="93">AB516*V516</f>
        <v>#DIV/0!</v>
      </c>
      <c r="AD516" s="43"/>
      <c r="AE516" s="43" t="e">
        <f t="shared" ref="AE516:AE579" si="94">AD516*V516</f>
        <v>#DIV/0!</v>
      </c>
      <c r="AF516" s="43" t="e">
        <f t="shared" si="88"/>
        <v>#DIV/0!</v>
      </c>
      <c r="AG516" s="43" t="e">
        <f t="shared" si="89"/>
        <v>#DIV/0!</v>
      </c>
      <c r="AH516" s="38"/>
      <c r="AI516" s="38"/>
      <c r="AJ516" s="38"/>
      <c r="AK516" s="38"/>
      <c r="AL516" s="38"/>
      <c r="AM516" s="48"/>
      <c r="AN516" s="42"/>
      <c r="AO516" s="42"/>
      <c r="AP516" s="42"/>
      <c r="AQ516" s="42"/>
      <c r="AR516" s="42"/>
      <c r="AS516" s="50"/>
      <c r="AT516" s="39"/>
      <c r="AU516" s="39"/>
      <c r="AV516" s="49"/>
      <c r="AW516" s="39"/>
      <c r="AX516" s="39">
        <v>10</v>
      </c>
      <c r="AY516" s="30">
        <f>(J516*10)/100</f>
        <v>0</v>
      </c>
      <c r="AZ516" s="42"/>
    </row>
    <row r="517" spans="1:52" ht="15.75" customHeight="1" x14ac:dyDescent="0.25">
      <c r="A517" s="46"/>
      <c r="B517" s="38"/>
      <c r="C517" s="39"/>
      <c r="D517" s="37"/>
      <c r="E517" s="42"/>
      <c r="F517" s="38"/>
      <c r="G517" s="39"/>
      <c r="H517" s="42"/>
      <c r="I517" s="42"/>
      <c r="J517" s="43">
        <v>0</v>
      </c>
      <c r="K517" s="43">
        <v>0</v>
      </c>
      <c r="L517" s="56">
        <v>0</v>
      </c>
      <c r="M517" s="56">
        <v>0</v>
      </c>
      <c r="N517" s="44" t="e">
        <f t="shared" si="91"/>
        <v>#DIV/0!</v>
      </c>
      <c r="O517" s="45">
        <f t="shared" si="85"/>
        <v>0</v>
      </c>
      <c r="P517" s="43"/>
      <c r="Q517" s="45">
        <f t="shared" si="86"/>
        <v>0</v>
      </c>
      <c r="R517" s="43">
        <v>0</v>
      </c>
      <c r="S517" s="30">
        <f t="shared" si="90"/>
        <v>0</v>
      </c>
      <c r="T517" s="30">
        <f t="shared" si="90"/>
        <v>0</v>
      </c>
      <c r="U517" s="30" t="e">
        <f>T517/X517</f>
        <v>#DIV/0!</v>
      </c>
      <c r="V517" s="43" t="e">
        <f>T517/X517</f>
        <v>#DIV/0!</v>
      </c>
      <c r="W517" s="43" t="e">
        <f t="shared" si="92"/>
        <v>#DIV/0!</v>
      </c>
      <c r="X517" s="43">
        <f t="shared" si="87"/>
        <v>0</v>
      </c>
      <c r="Y517" s="43">
        <v>0</v>
      </c>
      <c r="Z517" s="43">
        <v>0</v>
      </c>
      <c r="AA517" s="43">
        <v>0</v>
      </c>
      <c r="AB517" s="43"/>
      <c r="AC517" s="43" t="e">
        <f t="shared" si="93"/>
        <v>#DIV/0!</v>
      </c>
      <c r="AD517" s="43"/>
      <c r="AE517" s="43" t="e">
        <f t="shared" si="94"/>
        <v>#DIV/0!</v>
      </c>
      <c r="AF517" s="43" t="e">
        <f t="shared" si="88"/>
        <v>#DIV/0!</v>
      </c>
      <c r="AG517" s="43" t="e">
        <f t="shared" si="89"/>
        <v>#DIV/0!</v>
      </c>
      <c r="AH517" s="38"/>
      <c r="AI517" s="38"/>
      <c r="AJ517" s="38"/>
      <c r="AK517" s="38"/>
      <c r="AL517" s="38"/>
      <c r="AM517" s="48"/>
      <c r="AN517" s="42"/>
      <c r="AO517" s="42"/>
      <c r="AP517" s="42"/>
      <c r="AQ517" s="42"/>
      <c r="AR517" s="42"/>
      <c r="AS517" s="50"/>
      <c r="AT517" s="39"/>
      <c r="AU517" s="39"/>
      <c r="AV517" s="49"/>
      <c r="AW517" s="39"/>
      <c r="AX517" s="39">
        <v>10</v>
      </c>
      <c r="AY517" s="30">
        <f>(J517*10)/100</f>
        <v>0</v>
      </c>
      <c r="AZ517" s="42"/>
    </row>
    <row r="518" spans="1:52" ht="15.75" customHeight="1" x14ac:dyDescent="0.25">
      <c r="A518" s="46"/>
      <c r="B518" s="38"/>
      <c r="C518" s="39"/>
      <c r="D518" s="37"/>
      <c r="E518" s="42"/>
      <c r="F518" s="38"/>
      <c r="G518" s="39"/>
      <c r="H518" s="42"/>
      <c r="I518" s="42"/>
      <c r="J518" s="43">
        <v>0</v>
      </c>
      <c r="K518" s="43">
        <v>0</v>
      </c>
      <c r="L518" s="56">
        <v>0</v>
      </c>
      <c r="M518" s="56">
        <v>0</v>
      </c>
      <c r="N518" s="44" t="e">
        <f t="shared" si="91"/>
        <v>#DIV/0!</v>
      </c>
      <c r="O518" s="45">
        <f t="shared" si="85"/>
        <v>0</v>
      </c>
      <c r="P518" s="43"/>
      <c r="Q518" s="45">
        <f t="shared" si="86"/>
        <v>0</v>
      </c>
      <c r="R518" s="43">
        <v>0</v>
      </c>
      <c r="S518" s="30">
        <f t="shared" si="90"/>
        <v>0</v>
      </c>
      <c r="T518" s="30">
        <f t="shared" si="90"/>
        <v>0</v>
      </c>
      <c r="U518" s="30" t="e">
        <f>T518/X518</f>
        <v>#DIV/0!</v>
      </c>
      <c r="V518" s="43" t="e">
        <f>T518/X518</f>
        <v>#DIV/0!</v>
      </c>
      <c r="W518" s="43" t="e">
        <f t="shared" si="92"/>
        <v>#DIV/0!</v>
      </c>
      <c r="X518" s="43">
        <f t="shared" si="87"/>
        <v>0</v>
      </c>
      <c r="Y518" s="43">
        <v>0</v>
      </c>
      <c r="Z518" s="43">
        <v>0</v>
      </c>
      <c r="AA518" s="43">
        <v>0</v>
      </c>
      <c r="AB518" s="43"/>
      <c r="AC518" s="43" t="e">
        <f t="shared" si="93"/>
        <v>#DIV/0!</v>
      </c>
      <c r="AD518" s="43"/>
      <c r="AE518" s="43" t="e">
        <f t="shared" si="94"/>
        <v>#DIV/0!</v>
      </c>
      <c r="AF518" s="43" t="e">
        <f t="shared" si="88"/>
        <v>#DIV/0!</v>
      </c>
      <c r="AG518" s="43" t="e">
        <f t="shared" si="89"/>
        <v>#DIV/0!</v>
      </c>
      <c r="AH518" s="38"/>
      <c r="AI518" s="38"/>
      <c r="AJ518" s="38"/>
      <c r="AK518" s="38"/>
      <c r="AL518" s="38"/>
      <c r="AM518" s="48"/>
      <c r="AN518" s="42"/>
      <c r="AO518" s="42"/>
      <c r="AP518" s="42"/>
      <c r="AQ518" s="42"/>
      <c r="AR518" s="42"/>
      <c r="AS518" s="50"/>
      <c r="AT518" s="39"/>
      <c r="AU518" s="39"/>
      <c r="AV518" s="49"/>
      <c r="AW518" s="39"/>
      <c r="AX518" s="39">
        <v>10</v>
      </c>
      <c r="AY518" s="30">
        <f>(J518*10)/100</f>
        <v>0</v>
      </c>
      <c r="AZ518" s="42"/>
    </row>
    <row r="519" spans="1:52" ht="15.75" customHeight="1" x14ac:dyDescent="0.25">
      <c r="A519" s="46"/>
      <c r="B519" s="38"/>
      <c r="C519" s="39"/>
      <c r="D519" s="37"/>
      <c r="E519" s="42"/>
      <c r="F519" s="38"/>
      <c r="G519" s="39"/>
      <c r="H519" s="42"/>
      <c r="I519" s="42"/>
      <c r="J519" s="43">
        <v>0</v>
      </c>
      <c r="K519" s="43">
        <v>0</v>
      </c>
      <c r="L519" s="56">
        <v>0</v>
      </c>
      <c r="M519" s="56">
        <v>0</v>
      </c>
      <c r="N519" s="44" t="e">
        <f t="shared" si="91"/>
        <v>#DIV/0!</v>
      </c>
      <c r="O519" s="45">
        <f t="shared" si="85"/>
        <v>0</v>
      </c>
      <c r="P519" s="43"/>
      <c r="Q519" s="45">
        <f t="shared" si="86"/>
        <v>0</v>
      </c>
      <c r="R519" s="43">
        <v>0</v>
      </c>
      <c r="S519" s="30">
        <f t="shared" si="90"/>
        <v>0</v>
      </c>
      <c r="T519" s="30">
        <f t="shared" si="90"/>
        <v>0</v>
      </c>
      <c r="U519" s="30" t="e">
        <f>T519/X519</f>
        <v>#DIV/0!</v>
      </c>
      <c r="V519" s="43" t="e">
        <f>T519/X519</f>
        <v>#DIV/0!</v>
      </c>
      <c r="W519" s="43" t="e">
        <f t="shared" si="92"/>
        <v>#DIV/0!</v>
      </c>
      <c r="X519" s="43">
        <f t="shared" si="87"/>
        <v>0</v>
      </c>
      <c r="Y519" s="43">
        <v>0</v>
      </c>
      <c r="Z519" s="43">
        <v>0</v>
      </c>
      <c r="AA519" s="43">
        <v>0</v>
      </c>
      <c r="AB519" s="43"/>
      <c r="AC519" s="43" t="e">
        <f t="shared" si="93"/>
        <v>#DIV/0!</v>
      </c>
      <c r="AD519" s="43"/>
      <c r="AE519" s="43" t="e">
        <f t="shared" si="94"/>
        <v>#DIV/0!</v>
      </c>
      <c r="AF519" s="43" t="e">
        <f t="shared" si="88"/>
        <v>#DIV/0!</v>
      </c>
      <c r="AG519" s="43" t="e">
        <f t="shared" si="89"/>
        <v>#DIV/0!</v>
      </c>
      <c r="AH519" s="38"/>
      <c r="AI519" s="38"/>
      <c r="AJ519" s="38"/>
      <c r="AK519" s="38"/>
      <c r="AL519" s="38"/>
      <c r="AM519" s="48"/>
      <c r="AN519" s="42"/>
      <c r="AO519" s="42"/>
      <c r="AP519" s="42"/>
      <c r="AQ519" s="42"/>
      <c r="AR519" s="42"/>
      <c r="AS519" s="50"/>
      <c r="AT519" s="39"/>
      <c r="AU519" s="39"/>
      <c r="AV519" s="49"/>
      <c r="AW519" s="39"/>
      <c r="AX519" s="39">
        <v>10</v>
      </c>
      <c r="AY519" s="30">
        <f>(J519*10)/100</f>
        <v>0</v>
      </c>
      <c r="AZ519" s="42"/>
    </row>
    <row r="520" spans="1:52" ht="15.75" customHeight="1" x14ac:dyDescent="0.25">
      <c r="A520" s="46"/>
      <c r="B520" s="38"/>
      <c r="C520" s="39"/>
      <c r="D520" s="37"/>
      <c r="E520" s="42"/>
      <c r="F520" s="38"/>
      <c r="G520" s="39"/>
      <c r="H520" s="42"/>
      <c r="I520" s="42"/>
      <c r="J520" s="43">
        <v>0</v>
      </c>
      <c r="K520" s="43">
        <v>0</v>
      </c>
      <c r="L520" s="56">
        <v>0</v>
      </c>
      <c r="M520" s="56">
        <v>0</v>
      </c>
      <c r="N520" s="44" t="e">
        <f t="shared" si="91"/>
        <v>#DIV/0!</v>
      </c>
      <c r="O520" s="45">
        <f t="shared" ref="O520:O525" si="95">J520-P520</f>
        <v>0</v>
      </c>
      <c r="P520" s="43"/>
      <c r="Q520" s="45">
        <f t="shared" ref="Q520:Q525" si="96">J520-R520</f>
        <v>0</v>
      </c>
      <c r="R520" s="43">
        <v>0</v>
      </c>
      <c r="S520" s="30">
        <f t="shared" si="90"/>
        <v>0</v>
      </c>
      <c r="T520" s="30">
        <f t="shared" si="90"/>
        <v>0</v>
      </c>
      <c r="U520" s="30" t="e">
        <f>T520/X520</f>
        <v>#DIV/0!</v>
      </c>
      <c r="V520" s="43" t="e">
        <f>T520/X520</f>
        <v>#DIV/0!</v>
      </c>
      <c r="W520" s="43" t="e">
        <f t="shared" si="92"/>
        <v>#DIV/0!</v>
      </c>
      <c r="X520" s="43">
        <f t="shared" ref="X520:X527" si="97">Y520+Z520+AA520</f>
        <v>0</v>
      </c>
      <c r="Y520" s="43">
        <v>0</v>
      </c>
      <c r="Z520" s="43">
        <v>0</v>
      </c>
      <c r="AA520" s="43">
        <v>0</v>
      </c>
      <c r="AB520" s="43"/>
      <c r="AC520" s="43" t="e">
        <f t="shared" si="93"/>
        <v>#DIV/0!</v>
      </c>
      <c r="AD520" s="43"/>
      <c r="AE520" s="43" t="e">
        <f t="shared" si="94"/>
        <v>#DIV/0!</v>
      </c>
      <c r="AF520" s="43" t="e">
        <f t="shared" si="88"/>
        <v>#DIV/0!</v>
      </c>
      <c r="AG520" s="43" t="e">
        <f t="shared" si="89"/>
        <v>#DIV/0!</v>
      </c>
      <c r="AH520" s="38"/>
      <c r="AI520" s="38"/>
      <c r="AJ520" s="38"/>
      <c r="AK520" s="38"/>
      <c r="AL520" s="38"/>
      <c r="AM520" s="48"/>
      <c r="AN520" s="42"/>
      <c r="AO520" s="42"/>
      <c r="AP520" s="42"/>
      <c r="AQ520" s="42"/>
      <c r="AR520" s="42"/>
      <c r="AS520" s="50"/>
      <c r="AT520" s="39"/>
      <c r="AU520" s="39"/>
      <c r="AV520" s="49"/>
      <c r="AW520" s="39"/>
      <c r="AX520" s="39">
        <v>10</v>
      </c>
      <c r="AY520" s="30">
        <f>(J520*10)/100</f>
        <v>0</v>
      </c>
      <c r="AZ520" s="42"/>
    </row>
    <row r="521" spans="1:52" ht="15.75" customHeight="1" x14ac:dyDescent="0.25">
      <c r="A521" s="46"/>
      <c r="B521" s="38"/>
      <c r="C521" s="39"/>
      <c r="D521" s="37"/>
      <c r="E521" s="42"/>
      <c r="F521" s="38"/>
      <c r="G521" s="39"/>
      <c r="H521" s="42"/>
      <c r="I521" s="42"/>
      <c r="J521" s="43">
        <v>0</v>
      </c>
      <c r="K521" s="43">
        <v>0</v>
      </c>
      <c r="L521" s="56">
        <v>0</v>
      </c>
      <c r="M521" s="56">
        <v>0</v>
      </c>
      <c r="N521" s="44" t="e">
        <f t="shared" si="91"/>
        <v>#DIV/0!</v>
      </c>
      <c r="O521" s="45">
        <f t="shared" si="95"/>
        <v>0</v>
      </c>
      <c r="P521" s="43"/>
      <c r="Q521" s="45">
        <f t="shared" si="96"/>
        <v>0</v>
      </c>
      <c r="R521" s="43">
        <v>0</v>
      </c>
      <c r="S521" s="30">
        <f t="shared" si="90"/>
        <v>0</v>
      </c>
      <c r="T521" s="30">
        <f t="shared" si="90"/>
        <v>0</v>
      </c>
      <c r="U521" s="30" t="e">
        <f>T521/X521</f>
        <v>#DIV/0!</v>
      </c>
      <c r="V521" s="43" t="e">
        <f>T521/X521</f>
        <v>#DIV/0!</v>
      </c>
      <c r="W521" s="43" t="e">
        <f t="shared" si="92"/>
        <v>#DIV/0!</v>
      </c>
      <c r="X521" s="43">
        <f t="shared" si="97"/>
        <v>0</v>
      </c>
      <c r="Y521" s="43">
        <v>0</v>
      </c>
      <c r="Z521" s="43">
        <v>0</v>
      </c>
      <c r="AA521" s="43">
        <v>0</v>
      </c>
      <c r="AB521" s="43"/>
      <c r="AC521" s="43" t="e">
        <f t="shared" si="93"/>
        <v>#DIV/0!</v>
      </c>
      <c r="AD521" s="43"/>
      <c r="AE521" s="43" t="e">
        <f t="shared" si="94"/>
        <v>#DIV/0!</v>
      </c>
      <c r="AF521" s="43" t="e">
        <f t="shared" si="88"/>
        <v>#DIV/0!</v>
      </c>
      <c r="AG521" s="43" t="e">
        <f t="shared" si="89"/>
        <v>#DIV/0!</v>
      </c>
      <c r="AH521" s="38"/>
      <c r="AI521" s="38"/>
      <c r="AJ521" s="38"/>
      <c r="AK521" s="38"/>
      <c r="AL521" s="38"/>
      <c r="AM521" s="48"/>
      <c r="AN521" s="42"/>
      <c r="AO521" s="42"/>
      <c r="AP521" s="42"/>
      <c r="AQ521" s="42"/>
      <c r="AR521" s="42"/>
      <c r="AS521" s="50"/>
      <c r="AT521" s="39"/>
      <c r="AU521" s="39"/>
      <c r="AV521" s="49"/>
      <c r="AW521" s="39"/>
      <c r="AX521" s="39">
        <v>10</v>
      </c>
      <c r="AY521" s="30">
        <f>(J521*10)/100</f>
        <v>0</v>
      </c>
      <c r="AZ521" s="42"/>
    </row>
    <row r="522" spans="1:52" ht="15.75" customHeight="1" x14ac:dyDescent="0.25">
      <c r="A522" s="46"/>
      <c r="B522" s="38"/>
      <c r="C522" s="39"/>
      <c r="D522" s="37"/>
      <c r="E522" s="42"/>
      <c r="F522" s="38"/>
      <c r="G522" s="39"/>
      <c r="H522" s="42"/>
      <c r="I522" s="42"/>
      <c r="J522" s="43">
        <v>0</v>
      </c>
      <c r="K522" s="43">
        <v>0</v>
      </c>
      <c r="L522" s="56">
        <v>0</v>
      </c>
      <c r="M522" s="56">
        <v>0</v>
      </c>
      <c r="N522" s="44" t="e">
        <f t="shared" si="91"/>
        <v>#DIV/0!</v>
      </c>
      <c r="O522" s="45">
        <f t="shared" si="95"/>
        <v>0</v>
      </c>
      <c r="P522" s="43"/>
      <c r="Q522" s="45">
        <f t="shared" si="96"/>
        <v>0</v>
      </c>
      <c r="R522" s="43">
        <v>0</v>
      </c>
      <c r="S522" s="30">
        <f t="shared" si="90"/>
        <v>0</v>
      </c>
      <c r="T522" s="30">
        <f t="shared" si="90"/>
        <v>0</v>
      </c>
      <c r="U522" s="30" t="e">
        <f>T522/X522</f>
        <v>#DIV/0!</v>
      </c>
      <c r="V522" s="43" t="e">
        <f>T522/X522</f>
        <v>#DIV/0!</v>
      </c>
      <c r="W522" s="43" t="e">
        <f t="shared" si="92"/>
        <v>#DIV/0!</v>
      </c>
      <c r="X522" s="43">
        <f t="shared" si="97"/>
        <v>0</v>
      </c>
      <c r="Y522" s="43">
        <v>0</v>
      </c>
      <c r="Z522" s="43">
        <v>0</v>
      </c>
      <c r="AA522" s="43">
        <v>0</v>
      </c>
      <c r="AB522" s="43"/>
      <c r="AC522" s="43" t="e">
        <f t="shared" si="93"/>
        <v>#DIV/0!</v>
      </c>
      <c r="AD522" s="43"/>
      <c r="AE522" s="43" t="e">
        <f t="shared" si="94"/>
        <v>#DIV/0!</v>
      </c>
      <c r="AF522" s="43" t="e">
        <f t="shared" si="88"/>
        <v>#DIV/0!</v>
      </c>
      <c r="AG522" s="43" t="e">
        <f t="shared" si="89"/>
        <v>#DIV/0!</v>
      </c>
      <c r="AH522" s="38"/>
      <c r="AI522" s="38"/>
      <c r="AJ522" s="38"/>
      <c r="AK522" s="38"/>
      <c r="AL522" s="38"/>
      <c r="AM522" s="48"/>
      <c r="AN522" s="42"/>
      <c r="AO522" s="42"/>
      <c r="AP522" s="42"/>
      <c r="AQ522" s="42"/>
      <c r="AR522" s="42"/>
      <c r="AS522" s="50"/>
      <c r="AT522" s="39"/>
      <c r="AU522" s="39"/>
      <c r="AV522" s="49"/>
      <c r="AW522" s="39"/>
      <c r="AX522" s="39">
        <v>10</v>
      </c>
      <c r="AY522" s="30">
        <f>(J522*10)/100</f>
        <v>0</v>
      </c>
      <c r="AZ522" s="42"/>
    </row>
    <row r="523" spans="1:52" ht="15.75" customHeight="1" x14ac:dyDescent="0.25">
      <c r="A523" s="46"/>
      <c r="B523" s="38"/>
      <c r="C523" s="39"/>
      <c r="D523" s="37"/>
      <c r="E523" s="42"/>
      <c r="F523" s="38"/>
      <c r="G523" s="39"/>
      <c r="H523" s="42"/>
      <c r="I523" s="42"/>
      <c r="J523" s="43">
        <v>0</v>
      </c>
      <c r="K523" s="43">
        <v>0</v>
      </c>
      <c r="L523" s="56">
        <v>0</v>
      </c>
      <c r="M523" s="56">
        <v>0</v>
      </c>
      <c r="N523" s="44" t="e">
        <f t="shared" si="91"/>
        <v>#DIV/0!</v>
      </c>
      <c r="O523" s="45">
        <f t="shared" si="95"/>
        <v>0</v>
      </c>
      <c r="P523" s="43"/>
      <c r="Q523" s="45">
        <f t="shared" si="96"/>
        <v>0</v>
      </c>
      <c r="R523" s="43">
        <v>0</v>
      </c>
      <c r="S523" s="30">
        <f t="shared" si="90"/>
        <v>0</v>
      </c>
      <c r="T523" s="30">
        <f t="shared" si="90"/>
        <v>0</v>
      </c>
      <c r="U523" s="30" t="e">
        <f>T523/X523</f>
        <v>#DIV/0!</v>
      </c>
      <c r="V523" s="43" t="e">
        <f>T523/X523</f>
        <v>#DIV/0!</v>
      </c>
      <c r="W523" s="43" t="e">
        <f t="shared" si="92"/>
        <v>#DIV/0!</v>
      </c>
      <c r="X523" s="43">
        <f t="shared" si="97"/>
        <v>0</v>
      </c>
      <c r="Y523" s="43">
        <v>0</v>
      </c>
      <c r="Z523" s="43">
        <v>0</v>
      </c>
      <c r="AA523" s="43">
        <v>0</v>
      </c>
      <c r="AB523" s="43"/>
      <c r="AC523" s="43" t="e">
        <f t="shared" si="93"/>
        <v>#DIV/0!</v>
      </c>
      <c r="AD523" s="43"/>
      <c r="AE523" s="43" t="e">
        <f t="shared" si="94"/>
        <v>#DIV/0!</v>
      </c>
      <c r="AF523" s="43" t="e">
        <f t="shared" si="88"/>
        <v>#DIV/0!</v>
      </c>
      <c r="AG523" s="43" t="e">
        <f t="shared" si="89"/>
        <v>#DIV/0!</v>
      </c>
      <c r="AH523" s="38"/>
      <c r="AI523" s="38"/>
      <c r="AJ523" s="38"/>
      <c r="AK523" s="38"/>
      <c r="AL523" s="38"/>
      <c r="AM523" s="48"/>
      <c r="AN523" s="42"/>
      <c r="AO523" s="42"/>
      <c r="AP523" s="42"/>
      <c r="AQ523" s="42"/>
      <c r="AR523" s="42"/>
      <c r="AS523" s="50"/>
      <c r="AT523" s="39"/>
      <c r="AU523" s="39"/>
      <c r="AV523" s="49"/>
      <c r="AW523" s="39"/>
      <c r="AX523" s="39">
        <v>10</v>
      </c>
      <c r="AY523" s="30">
        <f>(J523*10)/100</f>
        <v>0</v>
      </c>
      <c r="AZ523" s="42"/>
    </row>
    <row r="524" spans="1:52" ht="15.75" customHeight="1" x14ac:dyDescent="0.25">
      <c r="A524" s="46"/>
      <c r="B524" s="38"/>
      <c r="C524" s="39"/>
      <c r="D524" s="37"/>
      <c r="E524" s="42"/>
      <c r="F524" s="38"/>
      <c r="G524" s="39"/>
      <c r="H524" s="42"/>
      <c r="I524" s="42"/>
      <c r="J524" s="43">
        <v>0</v>
      </c>
      <c r="K524" s="43">
        <v>0</v>
      </c>
      <c r="L524" s="56">
        <v>0</v>
      </c>
      <c r="M524" s="56">
        <v>0</v>
      </c>
      <c r="N524" s="44" t="e">
        <f t="shared" si="91"/>
        <v>#DIV/0!</v>
      </c>
      <c r="O524" s="45">
        <f t="shared" si="95"/>
        <v>0</v>
      </c>
      <c r="P524" s="43"/>
      <c r="Q524" s="45">
        <f t="shared" si="96"/>
        <v>0</v>
      </c>
      <c r="R524" s="43">
        <v>0</v>
      </c>
      <c r="S524" s="30">
        <f t="shared" si="90"/>
        <v>0</v>
      </c>
      <c r="T524" s="30">
        <f t="shared" si="90"/>
        <v>0</v>
      </c>
      <c r="U524" s="30" t="e">
        <f>T524/X524</f>
        <v>#DIV/0!</v>
      </c>
      <c r="V524" s="43" t="e">
        <f>T524/X524</f>
        <v>#DIV/0!</v>
      </c>
      <c r="W524" s="43" t="e">
        <f t="shared" si="92"/>
        <v>#DIV/0!</v>
      </c>
      <c r="X524" s="43">
        <f t="shared" si="97"/>
        <v>0</v>
      </c>
      <c r="Y524" s="43">
        <v>0</v>
      </c>
      <c r="Z524" s="43">
        <v>0</v>
      </c>
      <c r="AA524" s="43">
        <v>0</v>
      </c>
      <c r="AB524" s="43"/>
      <c r="AC524" s="43" t="e">
        <f t="shared" si="93"/>
        <v>#DIV/0!</v>
      </c>
      <c r="AD524" s="43"/>
      <c r="AE524" s="43" t="e">
        <f t="shared" si="94"/>
        <v>#DIV/0!</v>
      </c>
      <c r="AF524" s="43" t="e">
        <f t="shared" si="88"/>
        <v>#DIV/0!</v>
      </c>
      <c r="AG524" s="43" t="e">
        <f t="shared" si="89"/>
        <v>#DIV/0!</v>
      </c>
      <c r="AH524" s="38"/>
      <c r="AI524" s="38"/>
      <c r="AJ524" s="38"/>
      <c r="AK524" s="38"/>
      <c r="AL524" s="38"/>
      <c r="AM524" s="48"/>
      <c r="AN524" s="42"/>
      <c r="AO524" s="42"/>
      <c r="AP524" s="42"/>
      <c r="AQ524" s="42"/>
      <c r="AR524" s="42"/>
      <c r="AS524" s="50"/>
      <c r="AT524" s="39"/>
      <c r="AU524" s="39"/>
      <c r="AV524" s="49"/>
      <c r="AW524" s="39"/>
      <c r="AX524" s="39">
        <v>10</v>
      </c>
      <c r="AY524" s="30">
        <f>(J524*10)/100</f>
        <v>0</v>
      </c>
      <c r="AZ524" s="42"/>
    </row>
    <row r="525" spans="1:52" ht="15.75" customHeight="1" x14ac:dyDescent="0.25">
      <c r="A525" s="46"/>
      <c r="B525" s="38"/>
      <c r="C525" s="39"/>
      <c r="D525" s="37"/>
      <c r="E525" s="42"/>
      <c r="F525" s="38"/>
      <c r="G525" s="39"/>
      <c r="H525" s="42"/>
      <c r="I525" s="42"/>
      <c r="J525" s="43">
        <v>0</v>
      </c>
      <c r="K525" s="43">
        <v>0</v>
      </c>
      <c r="L525" s="56">
        <v>0</v>
      </c>
      <c r="M525" s="56">
        <v>0</v>
      </c>
      <c r="N525" s="44" t="e">
        <f t="shared" si="91"/>
        <v>#DIV/0!</v>
      </c>
      <c r="O525" s="45">
        <f t="shared" si="95"/>
        <v>0</v>
      </c>
      <c r="P525" s="43"/>
      <c r="Q525" s="45">
        <f t="shared" si="96"/>
        <v>0</v>
      </c>
      <c r="R525" s="43">
        <v>0</v>
      </c>
      <c r="S525" s="30">
        <f t="shared" si="90"/>
        <v>0</v>
      </c>
      <c r="T525" s="30">
        <f t="shared" si="90"/>
        <v>0</v>
      </c>
      <c r="U525" s="30" t="e">
        <f>T525/X525</f>
        <v>#DIV/0!</v>
      </c>
      <c r="V525" s="43" t="e">
        <f>T525/X525</f>
        <v>#DIV/0!</v>
      </c>
      <c r="W525" s="43" t="e">
        <f t="shared" si="92"/>
        <v>#DIV/0!</v>
      </c>
      <c r="X525" s="43">
        <f t="shared" si="97"/>
        <v>0</v>
      </c>
      <c r="Y525" s="43">
        <v>0</v>
      </c>
      <c r="Z525" s="43">
        <v>0</v>
      </c>
      <c r="AA525" s="43">
        <v>0</v>
      </c>
      <c r="AB525" s="43"/>
      <c r="AC525" s="43" t="e">
        <f t="shared" si="93"/>
        <v>#DIV/0!</v>
      </c>
      <c r="AD525" s="43"/>
      <c r="AE525" s="43" t="e">
        <f t="shared" si="94"/>
        <v>#DIV/0!</v>
      </c>
      <c r="AF525" s="43" t="e">
        <f t="shared" si="88"/>
        <v>#DIV/0!</v>
      </c>
      <c r="AG525" s="43" t="e">
        <f t="shared" si="89"/>
        <v>#DIV/0!</v>
      </c>
      <c r="AH525" s="38"/>
      <c r="AI525" s="38"/>
      <c r="AJ525" s="38"/>
      <c r="AK525" s="38"/>
      <c r="AL525" s="38"/>
      <c r="AM525" s="48"/>
      <c r="AN525" s="42"/>
      <c r="AO525" s="42"/>
      <c r="AP525" s="42"/>
      <c r="AQ525" s="42"/>
      <c r="AR525" s="42"/>
      <c r="AS525" s="50"/>
      <c r="AT525" s="39"/>
      <c r="AU525" s="39"/>
      <c r="AV525" s="49"/>
      <c r="AW525" s="39"/>
      <c r="AX525" s="39">
        <v>10</v>
      </c>
      <c r="AY525" s="30">
        <f>(J525*10)/100</f>
        <v>0</v>
      </c>
      <c r="AZ525" s="42"/>
    </row>
    <row r="526" spans="1:52" x14ac:dyDescent="0.25">
      <c r="AE526" s="43">
        <f t="shared" si="94"/>
        <v>0</v>
      </c>
    </row>
    <row r="527" spans="1:52" x14ac:dyDescent="0.25">
      <c r="AE527" s="43">
        <f t="shared" si="94"/>
        <v>0</v>
      </c>
    </row>
    <row r="528" spans="1:52" x14ac:dyDescent="0.25">
      <c r="AE528" s="43">
        <f t="shared" si="94"/>
        <v>0</v>
      </c>
    </row>
    <row r="529" spans="31:31" x14ac:dyDescent="0.25">
      <c r="AE529" s="43">
        <f t="shared" si="94"/>
        <v>0</v>
      </c>
    </row>
    <row r="530" spans="31:31" x14ac:dyDescent="0.25">
      <c r="AE530" s="43">
        <f t="shared" si="94"/>
        <v>0</v>
      </c>
    </row>
    <row r="531" spans="31:31" x14ac:dyDescent="0.25">
      <c r="AE531" s="43">
        <f t="shared" si="94"/>
        <v>0</v>
      </c>
    </row>
    <row r="532" spans="31:31" x14ac:dyDescent="0.25">
      <c r="AE532" s="43">
        <f t="shared" si="94"/>
        <v>0</v>
      </c>
    </row>
    <row r="533" spans="31:31" x14ac:dyDescent="0.25">
      <c r="AE533" s="43">
        <f t="shared" si="94"/>
        <v>0</v>
      </c>
    </row>
    <row r="534" spans="31:31" x14ac:dyDescent="0.25">
      <c r="AE534" s="43">
        <f t="shared" si="94"/>
        <v>0</v>
      </c>
    </row>
    <row r="535" spans="31:31" x14ac:dyDescent="0.25">
      <c r="AE535" s="43">
        <f t="shared" si="94"/>
        <v>0</v>
      </c>
    </row>
    <row r="536" spans="31:31" x14ac:dyDescent="0.25">
      <c r="AE536" s="43">
        <f t="shared" si="94"/>
        <v>0</v>
      </c>
    </row>
    <row r="537" spans="31:31" x14ac:dyDescent="0.25">
      <c r="AE537" s="43">
        <f t="shared" si="94"/>
        <v>0</v>
      </c>
    </row>
    <row r="538" spans="31:31" x14ac:dyDescent="0.25">
      <c r="AE538" s="43">
        <f t="shared" si="94"/>
        <v>0</v>
      </c>
    </row>
    <row r="539" spans="31:31" x14ac:dyDescent="0.25">
      <c r="AE539" s="43">
        <f t="shared" si="94"/>
        <v>0</v>
      </c>
    </row>
    <row r="540" spans="31:31" x14ac:dyDescent="0.25">
      <c r="AE540" s="43">
        <f t="shared" si="94"/>
        <v>0</v>
      </c>
    </row>
    <row r="541" spans="31:31" x14ac:dyDescent="0.25">
      <c r="AE541" s="43">
        <f t="shared" si="94"/>
        <v>0</v>
      </c>
    </row>
    <row r="542" spans="31:31" x14ac:dyDescent="0.25">
      <c r="AE542" s="43">
        <f t="shared" si="94"/>
        <v>0</v>
      </c>
    </row>
    <row r="543" spans="31:31" x14ac:dyDescent="0.25">
      <c r="AE543" s="43">
        <f t="shared" si="94"/>
        <v>0</v>
      </c>
    </row>
    <row r="544" spans="31:31" x14ac:dyDescent="0.25">
      <c r="AE544" s="43">
        <f t="shared" si="94"/>
        <v>0</v>
      </c>
    </row>
    <row r="545" spans="31:31" x14ac:dyDescent="0.25">
      <c r="AE545" s="43">
        <f t="shared" si="94"/>
        <v>0</v>
      </c>
    </row>
    <row r="546" spans="31:31" x14ac:dyDescent="0.25">
      <c r="AE546" s="43">
        <f t="shared" si="94"/>
        <v>0</v>
      </c>
    </row>
    <row r="547" spans="31:31" x14ac:dyDescent="0.25">
      <c r="AE547" s="43">
        <f t="shared" si="94"/>
        <v>0</v>
      </c>
    </row>
    <row r="548" spans="31:31" x14ac:dyDescent="0.25">
      <c r="AE548" s="43">
        <f t="shared" si="94"/>
        <v>0</v>
      </c>
    </row>
    <row r="549" spans="31:31" x14ac:dyDescent="0.25">
      <c r="AE549" s="43">
        <f t="shared" si="94"/>
        <v>0</v>
      </c>
    </row>
    <row r="550" spans="31:31" x14ac:dyDescent="0.25">
      <c r="AE550" s="43">
        <f t="shared" si="94"/>
        <v>0</v>
      </c>
    </row>
    <row r="551" spans="31:31" x14ac:dyDescent="0.25">
      <c r="AE551" s="43">
        <f t="shared" si="94"/>
        <v>0</v>
      </c>
    </row>
    <row r="552" spans="31:31" x14ac:dyDescent="0.25">
      <c r="AE552" s="43">
        <f t="shared" si="94"/>
        <v>0</v>
      </c>
    </row>
    <row r="553" spans="31:31" x14ac:dyDescent="0.25">
      <c r="AE553" s="43">
        <f t="shared" si="94"/>
        <v>0</v>
      </c>
    </row>
    <row r="554" spans="31:31" x14ac:dyDescent="0.25">
      <c r="AE554" s="43">
        <f t="shared" si="94"/>
        <v>0</v>
      </c>
    </row>
    <row r="555" spans="31:31" x14ac:dyDescent="0.25">
      <c r="AE555" s="43">
        <f t="shared" si="94"/>
        <v>0</v>
      </c>
    </row>
    <row r="556" spans="31:31" x14ac:dyDescent="0.25">
      <c r="AE556" s="43">
        <f t="shared" si="94"/>
        <v>0</v>
      </c>
    </row>
    <row r="557" spans="31:31" x14ac:dyDescent="0.25">
      <c r="AE557" s="43">
        <f t="shared" si="94"/>
        <v>0</v>
      </c>
    </row>
    <row r="558" spans="31:31" x14ac:dyDescent="0.25">
      <c r="AE558" s="43">
        <f t="shared" si="94"/>
        <v>0</v>
      </c>
    </row>
    <row r="559" spans="31:31" x14ac:dyDescent="0.25">
      <c r="AE559" s="43">
        <f t="shared" si="94"/>
        <v>0</v>
      </c>
    </row>
    <row r="560" spans="31:31" x14ac:dyDescent="0.25">
      <c r="AE560" s="43">
        <f t="shared" si="94"/>
        <v>0</v>
      </c>
    </row>
    <row r="561" spans="31:31" x14ac:dyDescent="0.25">
      <c r="AE561" s="43">
        <f t="shared" si="94"/>
        <v>0</v>
      </c>
    </row>
    <row r="562" spans="31:31" x14ac:dyDescent="0.25">
      <c r="AE562" s="43">
        <f t="shared" si="94"/>
        <v>0</v>
      </c>
    </row>
    <row r="563" spans="31:31" x14ac:dyDescent="0.25">
      <c r="AE563" s="43">
        <f t="shared" si="94"/>
        <v>0</v>
      </c>
    </row>
    <row r="564" spans="31:31" x14ac:dyDescent="0.25">
      <c r="AE564" s="43">
        <f t="shared" si="94"/>
        <v>0</v>
      </c>
    </row>
    <row r="565" spans="31:31" x14ac:dyDescent="0.25">
      <c r="AE565" s="43">
        <f t="shared" si="94"/>
        <v>0</v>
      </c>
    </row>
    <row r="566" spans="31:31" x14ac:dyDescent="0.25">
      <c r="AE566" s="43">
        <f t="shared" si="94"/>
        <v>0</v>
      </c>
    </row>
    <row r="567" spans="31:31" x14ac:dyDescent="0.25">
      <c r="AE567" s="43">
        <f t="shared" si="94"/>
        <v>0</v>
      </c>
    </row>
    <row r="568" spans="31:31" x14ac:dyDescent="0.25">
      <c r="AE568" s="43">
        <f t="shared" si="94"/>
        <v>0</v>
      </c>
    </row>
    <row r="569" spans="31:31" x14ac:dyDescent="0.25">
      <c r="AE569" s="43">
        <f t="shared" si="94"/>
        <v>0</v>
      </c>
    </row>
    <row r="570" spans="31:31" x14ac:dyDescent="0.25">
      <c r="AE570" s="43">
        <f t="shared" si="94"/>
        <v>0</v>
      </c>
    </row>
    <row r="571" spans="31:31" x14ac:dyDescent="0.25">
      <c r="AE571" s="43">
        <f t="shared" si="94"/>
        <v>0</v>
      </c>
    </row>
    <row r="572" spans="31:31" x14ac:dyDescent="0.25">
      <c r="AE572" s="43">
        <f t="shared" si="94"/>
        <v>0</v>
      </c>
    </row>
    <row r="573" spans="31:31" x14ac:dyDescent="0.25">
      <c r="AE573" s="43">
        <f t="shared" si="94"/>
        <v>0</v>
      </c>
    </row>
    <row r="574" spans="31:31" x14ac:dyDescent="0.25">
      <c r="AE574" s="43">
        <f t="shared" si="94"/>
        <v>0</v>
      </c>
    </row>
    <row r="575" spans="31:31" x14ac:dyDescent="0.25">
      <c r="AE575" s="43">
        <f t="shared" si="94"/>
        <v>0</v>
      </c>
    </row>
    <row r="576" spans="31:31" x14ac:dyDescent="0.25">
      <c r="AE576" s="43">
        <f t="shared" si="94"/>
        <v>0</v>
      </c>
    </row>
    <row r="577" spans="31:31" x14ac:dyDescent="0.25">
      <c r="AE577" s="43">
        <f t="shared" si="94"/>
        <v>0</v>
      </c>
    </row>
    <row r="578" spans="31:31" x14ac:dyDescent="0.25">
      <c r="AE578" s="43">
        <f t="shared" si="94"/>
        <v>0</v>
      </c>
    </row>
    <row r="579" spans="31:31" x14ac:dyDescent="0.25">
      <c r="AE579" s="43">
        <f t="shared" si="94"/>
        <v>0</v>
      </c>
    </row>
    <row r="580" spans="31:31" x14ac:dyDescent="0.25">
      <c r="AE580" s="43">
        <f t="shared" ref="AE580:AE617" si="98">AD580*V580</f>
        <v>0</v>
      </c>
    </row>
    <row r="581" spans="31:31" x14ac:dyDescent="0.25">
      <c r="AE581" s="43">
        <f t="shared" si="98"/>
        <v>0</v>
      </c>
    </row>
    <row r="582" spans="31:31" x14ac:dyDescent="0.25">
      <c r="AE582" s="43">
        <f t="shared" si="98"/>
        <v>0</v>
      </c>
    </row>
    <row r="583" spans="31:31" x14ac:dyDescent="0.25">
      <c r="AE583" s="43">
        <f t="shared" si="98"/>
        <v>0</v>
      </c>
    </row>
    <row r="584" spans="31:31" x14ac:dyDescent="0.25">
      <c r="AE584" s="43">
        <f t="shared" si="98"/>
        <v>0</v>
      </c>
    </row>
    <row r="585" spans="31:31" x14ac:dyDescent="0.25">
      <c r="AE585" s="43">
        <f t="shared" si="98"/>
        <v>0</v>
      </c>
    </row>
    <row r="586" spans="31:31" x14ac:dyDescent="0.25">
      <c r="AE586" s="43">
        <f t="shared" si="98"/>
        <v>0</v>
      </c>
    </row>
    <row r="587" spans="31:31" x14ac:dyDescent="0.25">
      <c r="AE587" s="43">
        <f t="shared" si="98"/>
        <v>0</v>
      </c>
    </row>
    <row r="588" spans="31:31" x14ac:dyDescent="0.25">
      <c r="AE588" s="43">
        <f t="shared" si="98"/>
        <v>0</v>
      </c>
    </row>
    <row r="589" spans="31:31" x14ac:dyDescent="0.25">
      <c r="AE589" s="43">
        <f t="shared" si="98"/>
        <v>0</v>
      </c>
    </row>
    <row r="590" spans="31:31" x14ac:dyDescent="0.25">
      <c r="AE590" s="43">
        <f t="shared" si="98"/>
        <v>0</v>
      </c>
    </row>
    <row r="591" spans="31:31" x14ac:dyDescent="0.25">
      <c r="AE591" s="43">
        <f t="shared" si="98"/>
        <v>0</v>
      </c>
    </row>
    <row r="592" spans="31:31" x14ac:dyDescent="0.25">
      <c r="AE592" s="43">
        <f t="shared" si="98"/>
        <v>0</v>
      </c>
    </row>
    <row r="593" spans="31:31" x14ac:dyDescent="0.25">
      <c r="AE593" s="43">
        <f t="shared" si="98"/>
        <v>0</v>
      </c>
    </row>
    <row r="594" spans="31:31" x14ac:dyDescent="0.25">
      <c r="AE594" s="43">
        <f t="shared" si="98"/>
        <v>0</v>
      </c>
    </row>
    <row r="595" spans="31:31" x14ac:dyDescent="0.25">
      <c r="AE595" s="43">
        <f t="shared" si="98"/>
        <v>0</v>
      </c>
    </row>
    <row r="596" spans="31:31" x14ac:dyDescent="0.25">
      <c r="AE596" s="43">
        <f t="shared" si="98"/>
        <v>0</v>
      </c>
    </row>
    <row r="597" spans="31:31" x14ac:dyDescent="0.25">
      <c r="AE597" s="43">
        <f t="shared" si="98"/>
        <v>0</v>
      </c>
    </row>
    <row r="598" spans="31:31" x14ac:dyDescent="0.25">
      <c r="AE598" s="43">
        <f t="shared" si="98"/>
        <v>0</v>
      </c>
    </row>
    <row r="599" spans="31:31" x14ac:dyDescent="0.25">
      <c r="AE599" s="43">
        <f t="shared" si="98"/>
        <v>0</v>
      </c>
    </row>
    <row r="600" spans="31:31" x14ac:dyDescent="0.25">
      <c r="AE600" s="43">
        <f t="shared" si="98"/>
        <v>0</v>
      </c>
    </row>
    <row r="601" spans="31:31" x14ac:dyDescent="0.25">
      <c r="AE601" s="43">
        <f t="shared" si="98"/>
        <v>0</v>
      </c>
    </row>
    <row r="602" spans="31:31" x14ac:dyDescent="0.25">
      <c r="AE602" s="43">
        <f t="shared" si="98"/>
        <v>0</v>
      </c>
    </row>
    <row r="603" spans="31:31" x14ac:dyDescent="0.25">
      <c r="AE603" s="43">
        <f t="shared" si="98"/>
        <v>0</v>
      </c>
    </row>
    <row r="604" spans="31:31" x14ac:dyDescent="0.25">
      <c r="AE604" s="43">
        <f t="shared" si="98"/>
        <v>0</v>
      </c>
    </row>
    <row r="605" spans="31:31" x14ac:dyDescent="0.25">
      <c r="AE605" s="43">
        <f t="shared" si="98"/>
        <v>0</v>
      </c>
    </row>
    <row r="606" spans="31:31" x14ac:dyDescent="0.25">
      <c r="AE606" s="43">
        <f t="shared" si="98"/>
        <v>0</v>
      </c>
    </row>
    <row r="607" spans="31:31" x14ac:dyDescent="0.25">
      <c r="AE607" s="43">
        <f t="shared" si="98"/>
        <v>0</v>
      </c>
    </row>
    <row r="608" spans="31:31" x14ac:dyDescent="0.25">
      <c r="AE608" s="43">
        <f t="shared" si="98"/>
        <v>0</v>
      </c>
    </row>
    <row r="609" spans="31:31" x14ac:dyDescent="0.25">
      <c r="AE609" s="43">
        <f t="shared" si="98"/>
        <v>0</v>
      </c>
    </row>
    <row r="610" spans="31:31" x14ac:dyDescent="0.25">
      <c r="AE610" s="43">
        <f t="shared" si="98"/>
        <v>0</v>
      </c>
    </row>
    <row r="611" spans="31:31" x14ac:dyDescent="0.25">
      <c r="AE611" s="43">
        <f t="shared" si="98"/>
        <v>0</v>
      </c>
    </row>
    <row r="612" spans="31:31" x14ac:dyDescent="0.25">
      <c r="AE612" s="43">
        <f t="shared" si="98"/>
        <v>0</v>
      </c>
    </row>
    <row r="613" spans="31:31" x14ac:dyDescent="0.25">
      <c r="AE613" s="43">
        <f t="shared" si="98"/>
        <v>0</v>
      </c>
    </row>
    <row r="614" spans="31:31" x14ac:dyDescent="0.25">
      <c r="AE614" s="43">
        <f t="shared" si="98"/>
        <v>0</v>
      </c>
    </row>
    <row r="615" spans="31:31" x14ac:dyDescent="0.25">
      <c r="AE615" s="43">
        <f t="shared" si="98"/>
        <v>0</v>
      </c>
    </row>
  </sheetData>
  <autoFilter ref="A2:AZ525" xr:uid="{00000000-0009-0000-0000-000002000000}"/>
  <mergeCells count="24">
    <mergeCell ref="AZ1:AZ2"/>
    <mergeCell ref="AQ1:AQ2"/>
    <mergeCell ref="AR1:AR2"/>
    <mergeCell ref="AS1:AS2"/>
    <mergeCell ref="AT1:AT2"/>
    <mergeCell ref="AU1:AU2"/>
    <mergeCell ref="AV1:AV2"/>
    <mergeCell ref="U1:U2"/>
    <mergeCell ref="V1:V2"/>
    <mergeCell ref="W1:W2"/>
    <mergeCell ref="AO1:AO2"/>
    <mergeCell ref="AP1:AP2"/>
    <mergeCell ref="S1:S2"/>
    <mergeCell ref="T1:T2"/>
    <mergeCell ref="J1:J2"/>
    <mergeCell ref="N1:N2"/>
    <mergeCell ref="O1:O2"/>
    <mergeCell ref="P1:P2"/>
    <mergeCell ref="Q1:Q2"/>
    <mergeCell ref="R1:R2"/>
    <mergeCell ref="C1:C2"/>
    <mergeCell ref="I1:I2"/>
    <mergeCell ref="A1:A2"/>
    <mergeCell ref="B1:B2"/>
  </mergeCells>
  <hyperlinks>
    <hyperlink ref="E11" r:id="rId1" xr:uid="{80D807FA-371D-4083-8F45-570CCA252B92}"/>
    <hyperlink ref="E20" r:id="rId2" xr:uid="{895D7717-9FE1-458D-AEBF-BD0CCCDF6C9D}"/>
    <hyperlink ref="E31" r:id="rId3" xr:uid="{E8A369E7-8C38-4762-989F-2BF0AD119F80}"/>
    <hyperlink ref="E32" r:id="rId4" xr:uid="{36CD399B-5E7A-460F-AEEC-911F415378B3}"/>
    <hyperlink ref="E33" r:id="rId5" xr:uid="{88394869-09EC-42D3-9056-DC12E46B19F4}"/>
    <hyperlink ref="E34" r:id="rId6" xr:uid="{5E97D9F1-9B55-4F4F-86E6-4E08BCD60FFE}"/>
    <hyperlink ref="E35" r:id="rId7" xr:uid="{2C1C60F9-85D6-4DAD-B331-FC63164D0362}"/>
    <hyperlink ref="E36" r:id="rId8" xr:uid="{8B8079E2-2CA0-4EC1-9D5E-225B2C0E81F3}"/>
    <hyperlink ref="E37" r:id="rId9" xr:uid="{C07536B9-F2F2-421E-87CA-36CA8FD26959}"/>
    <hyperlink ref="E38" r:id="rId10" xr:uid="{033A147F-5579-498F-86B9-D06FD6392FBD}"/>
    <hyperlink ref="E39" r:id="rId11" xr:uid="{B22BE48C-569B-49F6-A984-F64B627EB5F0}"/>
    <hyperlink ref="E40" r:id="rId12" xr:uid="{BB376600-CCAB-4EB5-801C-3FAAE3D957B2}"/>
    <hyperlink ref="E41" r:id="rId13" xr:uid="{10122F2E-F425-407F-A6E2-EBD7E231DF9A}"/>
    <hyperlink ref="E42" r:id="rId14" xr:uid="{D69FE7AF-D810-46D7-9CFB-C78FA0830503}"/>
    <hyperlink ref="E43" r:id="rId15" xr:uid="{27D2D6DF-3DBA-40DA-A714-21B07BFFE84F}"/>
    <hyperlink ref="E44" r:id="rId16" xr:uid="{E9273335-3657-44DF-B18D-F5419C86BCC0}"/>
    <hyperlink ref="E45" r:id="rId17" xr:uid="{C3BFE9F6-F45B-42C9-8AD3-B77EEE664209}"/>
    <hyperlink ref="E46" r:id="rId18" xr:uid="{0DA64242-997D-46B6-B1EB-D9CE31F018D6}"/>
    <hyperlink ref="E47" r:id="rId19" xr:uid="{8DED2F06-7A43-4AC3-B076-A60F6BB80765}"/>
    <hyperlink ref="E48" r:id="rId20" xr:uid="{852AB764-928C-4278-9474-F1E4559FF369}"/>
    <hyperlink ref="E49" r:id="rId21" xr:uid="{B984B651-0119-40E2-9956-AF049CCC518C}"/>
    <hyperlink ref="E50" r:id="rId22" xr:uid="{056D2479-DA8E-4D82-A903-FF4EF0BC8484}"/>
    <hyperlink ref="E51" r:id="rId23" xr:uid="{CB65DAAB-90C4-4D8F-B659-29DBB4A241EE}"/>
    <hyperlink ref="E52" r:id="rId24" xr:uid="{20889F19-5756-4057-A3A9-164E598133BD}"/>
    <hyperlink ref="E53" r:id="rId25" xr:uid="{49AC6BFE-CB26-411A-905B-9D58B0254D90}"/>
    <hyperlink ref="E54" r:id="rId26" xr:uid="{EF1E74B3-4FE1-432C-903A-14795B05A189}"/>
    <hyperlink ref="E55" r:id="rId27" xr:uid="{DEF619BE-3610-42FD-A7E1-DAC73D3910B8}"/>
    <hyperlink ref="E56" r:id="rId28" xr:uid="{BAC206C1-E6C7-4B71-906A-036BD97190C2}"/>
    <hyperlink ref="E57" r:id="rId29" xr:uid="{C862FFB1-D658-4B36-8404-3704567C20CF}"/>
    <hyperlink ref="E58" r:id="rId30" xr:uid="{7D87C330-50D8-44FF-9520-CC9021A90642}"/>
    <hyperlink ref="E59" r:id="rId31" xr:uid="{859920BA-07CD-4C9B-A17D-0836B8656DE9}"/>
    <hyperlink ref="E60" r:id="rId32" xr:uid="{5FB4B398-07AA-47C6-9F9E-D663EA55AB25}"/>
    <hyperlink ref="E61" r:id="rId33" xr:uid="{62C02B90-EFBB-4490-9FD5-9D48CE8C1FC7}"/>
    <hyperlink ref="E62" r:id="rId34" xr:uid="{6E29D1F0-AEA3-4503-8559-0B9E75C92B36}"/>
    <hyperlink ref="E63" r:id="rId35" xr:uid="{F13947A0-284C-4850-A992-E754E3E8FC3B}"/>
    <hyperlink ref="E64" r:id="rId36" xr:uid="{BEA61CEB-FEE5-4B05-B94E-ABC264FECCFB}"/>
    <hyperlink ref="E65" r:id="rId37" xr:uid="{62833FB5-4A16-4CA3-AA49-E6E6E6B6A6AE}"/>
    <hyperlink ref="E66" r:id="rId38" xr:uid="{5D5788E2-B328-4119-A479-6AD99347BF54}"/>
    <hyperlink ref="E67" r:id="rId39" xr:uid="{85328F5A-F551-47A5-AF36-2FED27579222}"/>
    <hyperlink ref="E68" r:id="rId40" xr:uid="{9D548DB3-A29E-45CD-9677-C226ECDDE711}"/>
    <hyperlink ref="E69" r:id="rId41" xr:uid="{BC16B57F-9527-4217-9157-E3928B9F7A31}"/>
    <hyperlink ref="E70" r:id="rId42" xr:uid="{6F521B78-55B8-4E1E-8655-DC0352147EC9}"/>
    <hyperlink ref="E71" r:id="rId43" xr:uid="{EE00136C-B39C-4568-A7AC-AAB5D9422347}"/>
    <hyperlink ref="E72" r:id="rId44" xr:uid="{7A0F162A-F4BD-46DD-A592-BED4F13C942F}"/>
    <hyperlink ref="E73" r:id="rId45" xr:uid="{AB3177D5-76DD-4EE4-A93E-F38217BD84E3}"/>
    <hyperlink ref="E74" r:id="rId46" xr:uid="{2A15598E-8CEA-4524-A2EE-42C4BBE4A538}"/>
    <hyperlink ref="E75" r:id="rId47" xr:uid="{1F312630-2C6F-461A-ABEF-DC8FA3631CB1}"/>
    <hyperlink ref="E76" r:id="rId48" xr:uid="{A602A499-47E3-4832-9A42-C08466F11E8A}"/>
    <hyperlink ref="E77" r:id="rId49" xr:uid="{529E81B0-23DA-457F-B242-8B7236414A48}"/>
    <hyperlink ref="E78" r:id="rId50" xr:uid="{146B008E-1C92-47E0-A68C-6E66FDB9F0FE}"/>
    <hyperlink ref="E79" r:id="rId51" xr:uid="{D3290679-5FA2-46E4-9497-A946DAE63D96}"/>
    <hyperlink ref="E80" r:id="rId52" xr:uid="{501E1544-2ABA-4B69-AF29-078B2DD705A8}"/>
    <hyperlink ref="E81" r:id="rId53" xr:uid="{DB67E978-F97B-446E-A18A-ECB26DFC661A}"/>
    <hyperlink ref="E83" r:id="rId54" xr:uid="{3E57260B-08D0-4450-A653-7CEE45308BC2}"/>
    <hyperlink ref="E85" r:id="rId55" xr:uid="{49F55142-88C0-4FF0-95C4-E4E841B3C91B}"/>
    <hyperlink ref="E86" r:id="rId56" xr:uid="{31B70212-2FFE-408D-BB58-810CB337297A}"/>
    <hyperlink ref="E84" r:id="rId57" xr:uid="{0E03FC74-DFD3-4A29-B850-C6609CC1F341}"/>
    <hyperlink ref="E87" r:id="rId58" xr:uid="{27065075-6147-48CB-B0AA-9E9595A6AB19}"/>
    <hyperlink ref="E88" r:id="rId59" xr:uid="{281115BF-5D9E-4875-B9B4-41E3D117BF5C}"/>
    <hyperlink ref="E89" r:id="rId60" xr:uid="{0E966D25-BAE9-4C1A-B409-CA573BF0DAAB}"/>
    <hyperlink ref="E91" r:id="rId61" xr:uid="{06E40749-A54B-425B-A506-9EAD349B5DDF}"/>
    <hyperlink ref="E90" r:id="rId62" xr:uid="{2A344E13-488A-466A-BC42-66FC084DDE29}"/>
    <hyperlink ref="E92" r:id="rId63" xr:uid="{66BAF7FD-E1F8-4ED9-B961-93BD1F33B633}"/>
    <hyperlink ref="E93" r:id="rId64" xr:uid="{26B0CA0C-67C8-441F-BF79-17098DDA4D16}"/>
    <hyperlink ref="E94" r:id="rId65" xr:uid="{C74BA74A-544B-4E4F-8916-D690824F603B}"/>
    <hyperlink ref="E95" r:id="rId66" xr:uid="{10ACD709-2E33-454B-AC7E-CC7F4D9F7D9A}"/>
    <hyperlink ref="E96" r:id="rId67" xr:uid="{72880C9C-E40B-47FD-90D9-BF6F5EC2CE30}"/>
    <hyperlink ref="E97" r:id="rId68" xr:uid="{8060988B-64C8-403F-927B-9EECB328E638}"/>
    <hyperlink ref="E98" r:id="rId69" xr:uid="{10AC8AEF-4559-4313-9660-B88F451A4B09}"/>
    <hyperlink ref="E99" r:id="rId70" xr:uid="{70BDD657-C729-4850-BD03-D841EE5282BF}"/>
    <hyperlink ref="E100" r:id="rId71" xr:uid="{CD47CB13-ABD5-4136-B5D7-2FA3E5BEEE8A}"/>
    <hyperlink ref="E101" r:id="rId72" xr:uid="{97478431-7E6D-48D9-971A-D1BE33F28D36}"/>
    <hyperlink ref="E102" r:id="rId73" xr:uid="{7C698946-7DAB-495B-A771-D2F6A975C172}"/>
    <hyperlink ref="E4" r:id="rId74" xr:uid="{7ED1D5FC-637F-49F0-B1EB-F8755B367286}"/>
    <hyperlink ref="E3" r:id="rId75" xr:uid="{386D5A9C-B574-4905-8486-5FCCAEA70C20}"/>
    <hyperlink ref="E26" r:id="rId76" xr:uid="{A39D02EF-E4AD-4070-A38D-2783BF04F09A}"/>
    <hyperlink ref="E103" r:id="rId77" xr:uid="{54ECD2B2-2F08-4196-8551-66867E53FB5A}"/>
    <hyperlink ref="E104" r:id="rId78" xr:uid="{111F7118-1EBD-4935-9774-73E03289B44E}"/>
    <hyperlink ref="E105" r:id="rId79" xr:uid="{8FDEFAE7-4156-4EC9-A7A6-7289CAC1F0FB}"/>
    <hyperlink ref="E106" r:id="rId80" xr:uid="{782CFF09-CF1D-4BC8-8167-218445504019}"/>
    <hyperlink ref="E5" r:id="rId81" xr:uid="{DEC9363E-E1E7-404E-8EC3-EBB4EED3B344}"/>
    <hyperlink ref="E107" r:id="rId82" xr:uid="{1F2ECDD1-EDB8-42A3-8ED6-6960C453AC6A}"/>
    <hyperlink ref="E108" r:id="rId83" xr:uid="{FDD33317-520A-4A3A-B5C2-FB4D3193C9DA}"/>
    <hyperlink ref="E109" r:id="rId84" xr:uid="{008B2AB0-E65C-4B09-A5F5-D793059CEEAC}"/>
    <hyperlink ref="E110" r:id="rId85" xr:uid="{F4AD21C8-322D-4065-88FE-897413223584}"/>
    <hyperlink ref="E111" r:id="rId86" xr:uid="{BA0A1EF4-A49D-4251-B97A-8D6B87A97E4B}"/>
    <hyperlink ref="E112" r:id="rId87" xr:uid="{A22EDB93-7717-4DD0-973F-796B664D2F8A}"/>
    <hyperlink ref="E113" r:id="rId88" xr:uid="{9B4B4524-2019-43E3-AE4B-97011D971F14}"/>
    <hyperlink ref="E114" r:id="rId89" xr:uid="{B44144D6-7271-4247-BC78-F1F4CF9EFF54}"/>
    <hyperlink ref="E115" r:id="rId90" xr:uid="{6AC1CB28-4042-4A85-A7D0-08397D732A0D}"/>
    <hyperlink ref="E116" r:id="rId91" xr:uid="{636634C1-EE01-4233-B9D5-997747FC5203}"/>
    <hyperlink ref="E117" r:id="rId92" xr:uid="{33FF3765-08F3-4C85-8624-8208DB804F9B}"/>
    <hyperlink ref="E118" r:id="rId93" xr:uid="{2AB26EB0-2E51-4680-B895-A677ECA80545}"/>
    <hyperlink ref="E119" r:id="rId94" xr:uid="{9FE004F7-A45C-4CA0-A544-D34FF91FD48D}"/>
    <hyperlink ref="E120" r:id="rId95" xr:uid="{98B43B4A-98F9-4E43-A4BC-21040AE7874B}"/>
    <hyperlink ref="E121" r:id="rId96" xr:uid="{1C618A88-6F5B-4945-9178-A49B7093932E}"/>
    <hyperlink ref="E122" r:id="rId97" xr:uid="{D7045E30-8BD8-492F-8AA1-CF3C90B94641}"/>
    <hyperlink ref="E123" r:id="rId98" xr:uid="{E5032A93-DF69-41F0-8E1D-C4366B9B5D30}"/>
    <hyperlink ref="E124" r:id="rId99" xr:uid="{C591CC35-F42E-43FE-A12E-FE6E33B9E8FD}"/>
    <hyperlink ref="E125" r:id="rId100" xr:uid="{A4FE381C-93F9-47E7-A41F-1745836FA11A}"/>
    <hyperlink ref="E126" r:id="rId101" xr:uid="{7D72D7D7-3270-44D5-A2C3-8F7AB880DBDF}"/>
    <hyperlink ref="E127" r:id="rId102" xr:uid="{1136B5AB-0128-40E3-9D2C-576EB80C0F88}"/>
    <hyperlink ref="E130" r:id="rId103" xr:uid="{614BA8C1-E87D-4185-914F-DE4207B9C60F}"/>
    <hyperlink ref="E129" r:id="rId104" xr:uid="{60ED9FF8-1124-47E1-B1A2-1ECD4F3AD74D}"/>
    <hyperlink ref="E128" r:id="rId105" xr:uid="{8E44A935-3BB6-4E4E-A928-34B5EAF08E15}"/>
    <hyperlink ref="E131" r:id="rId106" xr:uid="{10E89E8F-3B0D-4F1E-BAB4-42A0BCA95054}"/>
    <hyperlink ref="E132" r:id="rId107" xr:uid="{718EC473-B690-4524-A16E-589975FBACBA}"/>
    <hyperlink ref="E133" r:id="rId108" xr:uid="{A9D8D9CC-C93F-4BB0-BF7E-1E742C40F058}"/>
    <hyperlink ref="E134" r:id="rId109" xr:uid="{8D40A0F3-359E-4E39-AC88-DDA161D1FB20}"/>
    <hyperlink ref="E135" r:id="rId110" xr:uid="{A394621F-B8A3-4220-BCEE-A3B0A09D51FA}"/>
    <hyperlink ref="E154" r:id="rId111" xr:uid="{C8266217-E0CC-406C-8D93-F72D11F91589}"/>
    <hyperlink ref="E136" r:id="rId112" xr:uid="{A458934C-AB6F-4461-90EA-DA70A88B5198}"/>
    <hyperlink ref="E137" r:id="rId113" xr:uid="{30EA114D-7F1F-4510-B10D-C9CB87281DA3}"/>
    <hyperlink ref="E138" r:id="rId114" xr:uid="{8A8C852E-2606-4820-9737-AF0DA5B1176E}"/>
    <hyperlink ref="E139" r:id="rId115" xr:uid="{A36A1A1A-4EFB-416C-ACBF-F40288379776}"/>
    <hyperlink ref="E140" r:id="rId116" xr:uid="{9B62B49E-1BFE-49CD-B0A6-1FD4A2715C1E}"/>
    <hyperlink ref="E141" r:id="rId117" xr:uid="{8D367A98-3F72-4D44-B070-EE0B3EE7F26D}"/>
    <hyperlink ref="E142" r:id="rId118" xr:uid="{A869E604-C374-404D-87F7-EA9300CA3E51}"/>
    <hyperlink ref="E143" r:id="rId119" xr:uid="{41AAA496-650B-49B0-BD9F-E681657028E8}"/>
    <hyperlink ref="E144" r:id="rId120" xr:uid="{2D0387C3-B5C6-48FE-AAB1-1825E9297C6C}"/>
    <hyperlink ref="E145" r:id="rId121" xr:uid="{5D9335D7-36DE-46C3-B6B4-DB132124312E}"/>
    <hyperlink ref="E146" r:id="rId122" xr:uid="{1AD9B9F5-34F6-4FEB-9A16-EF443A7D6044}"/>
    <hyperlink ref="E147" r:id="rId123" xr:uid="{4419B22E-E588-4C0E-ABEB-2D6816826421}"/>
    <hyperlink ref="E148" r:id="rId124" xr:uid="{AEC7A937-B916-46E9-B913-31D41DAF4F4A}"/>
    <hyperlink ref="E149" r:id="rId125" xr:uid="{610A5C52-B7A8-4792-AB5B-53CA99F985A1}"/>
    <hyperlink ref="E150" r:id="rId126" xr:uid="{0B87340E-3D28-4EC5-9F16-7D23D94A53A6}"/>
    <hyperlink ref="E151" r:id="rId127" xr:uid="{1D79F009-69F6-459C-AC30-374A6156955D}"/>
    <hyperlink ref="E152" r:id="rId128" xr:uid="{29A657A0-5F6D-4209-93F7-DC8E81BADB28}"/>
    <hyperlink ref="E153" r:id="rId129" xr:uid="{87C44776-B414-489D-9AA9-573E5E497FC9}"/>
    <hyperlink ref="E155" r:id="rId130" xr:uid="{77A7C09D-6AE7-4A3C-A61B-FDAAD65B6D45}"/>
    <hyperlink ref="E156" r:id="rId131" xr:uid="{5D5420CC-A2CD-45D8-9A04-236C58F085B1}"/>
    <hyperlink ref="E157" r:id="rId132" xr:uid="{DAFCBC69-D616-4CA6-94A7-56E12200A594}"/>
    <hyperlink ref="E158" r:id="rId133" xr:uid="{50C6E1CA-A682-4A94-BEAF-10657D748899}"/>
    <hyperlink ref="E159" r:id="rId134" xr:uid="{893F0F54-3AC4-4E71-9453-BF008C62DA7B}"/>
    <hyperlink ref="E160" r:id="rId135" xr:uid="{FFEE451A-A040-4350-9101-4C6878CCE3FC}"/>
    <hyperlink ref="E161" r:id="rId136" xr:uid="{8AA1FDF8-ED23-46A2-8495-A260EF85E25B}"/>
    <hyperlink ref="E162" r:id="rId137" xr:uid="{D77C4A08-DB32-494A-BDFC-7DA5C928B235}"/>
    <hyperlink ref="E163" r:id="rId138" xr:uid="{685CED2B-9219-47E9-9CE8-80956114C9DE}"/>
    <hyperlink ref="E164" r:id="rId139" xr:uid="{B45A8218-9734-43CA-8C48-B8CA64D976F5}"/>
    <hyperlink ref="E165" r:id="rId140" xr:uid="{758189CF-4BA2-4CA2-9A61-1A0954ECE9CE}"/>
    <hyperlink ref="E166" r:id="rId141" xr:uid="{905B7421-3344-483B-9FCD-6CF3C686980F}"/>
    <hyperlink ref="E167" r:id="rId142" xr:uid="{9540FFF6-A154-40E1-B768-C76DF10AA582}"/>
    <hyperlink ref="E168" r:id="rId143" xr:uid="{8A7D5CEF-74BA-44C8-BD6D-93C65C528F3A}"/>
    <hyperlink ref="E169" r:id="rId144" xr:uid="{24267A32-1C16-4681-BB64-FB96988896D4}"/>
    <hyperlink ref="E170" r:id="rId145" xr:uid="{9DF5D8EA-B21C-439B-BCFD-EA7755D9561E}"/>
    <hyperlink ref="E171" r:id="rId146" xr:uid="{F239E69F-72E6-4C77-8BFA-FFEB1ADEBF61}"/>
    <hyperlink ref="E172" r:id="rId147" xr:uid="{A0091EC7-8802-49E7-A734-64A58115DFAE}"/>
    <hyperlink ref="E173" r:id="rId148" xr:uid="{D0783171-926A-4FB5-8A5F-8C1A513C6F80}"/>
    <hyperlink ref="E174" r:id="rId149" xr:uid="{39C45E35-51AD-4F09-B2AB-E4FA9F24431A}"/>
    <hyperlink ref="E175" r:id="rId150" xr:uid="{5F168E58-566F-48FF-994F-1306647B62F8}"/>
    <hyperlink ref="E176" r:id="rId151" xr:uid="{FC5C0CAC-C804-4EF3-B704-6A6556217AB0}"/>
    <hyperlink ref="E177" r:id="rId152" xr:uid="{9C4FC96E-AF3C-4AA1-AEDA-10547F99EAE5}"/>
    <hyperlink ref="E178" r:id="rId153" xr:uid="{44099BB2-37F7-45EA-B7D3-CB48B2C977E9}"/>
    <hyperlink ref="E179" r:id="rId154" xr:uid="{457F232E-0628-45D7-A245-59485C70A2C2}"/>
    <hyperlink ref="E180" r:id="rId155" xr:uid="{4A0277A7-8A6C-4E79-8287-230ACC814E94}"/>
    <hyperlink ref="E181" r:id="rId156" xr:uid="{A037B298-F6EB-4C28-8ED8-CEB756FD2FD9}"/>
    <hyperlink ref="E182" r:id="rId157" xr:uid="{9B5AF2CF-4D4F-425C-A439-3F0496CEC4AA}"/>
    <hyperlink ref="E183" r:id="rId158" xr:uid="{F9D11558-5573-4C8D-B6F5-71408ED6E03E}"/>
    <hyperlink ref="E184" r:id="rId159" xr:uid="{BDE7F7D2-86CF-4224-AEDB-78A4290C7566}"/>
    <hyperlink ref="E185" r:id="rId160" xr:uid="{5E1A421D-797E-4D0A-BB89-5858E12BE986}"/>
    <hyperlink ref="E186" r:id="rId161" xr:uid="{ABC7B6E9-6CC1-4656-ADB5-B3A1FAAA1A65}"/>
    <hyperlink ref="E187" r:id="rId162" xr:uid="{28968C79-4003-49EF-9BDA-D85B3DAB72D0}"/>
    <hyperlink ref="E188" r:id="rId163" xr:uid="{DA2682E9-8794-418F-8697-BCF277938A5C}"/>
    <hyperlink ref="E189" r:id="rId164" xr:uid="{A20B401B-5833-4922-ABA4-CF6CB36E5978}"/>
    <hyperlink ref="E190" r:id="rId165" xr:uid="{A30CFF6D-D686-4AA7-BAB9-FA67471D6C5E}"/>
    <hyperlink ref="E191" r:id="rId166" xr:uid="{106A7F61-774D-4F7B-A29C-84896039585D}"/>
    <hyperlink ref="E192" r:id="rId167" xr:uid="{0938A8E4-A71F-4D79-ACB5-7FEB9F2F3C07}"/>
    <hyperlink ref="E193" r:id="rId168" xr:uid="{B971E5C7-1CDB-4EA0-B443-CB8EBEEECCDD}"/>
    <hyperlink ref="E194" r:id="rId169" xr:uid="{9B2460C9-01FA-4006-8136-68662B7AB2AB}"/>
    <hyperlink ref="E195" r:id="rId170" xr:uid="{7FC5EAE8-9762-4702-9489-3397295DE27B}"/>
    <hyperlink ref="E196" r:id="rId171" xr:uid="{B81B7959-470C-4BBC-93CA-38B6AE3A5DFC}"/>
    <hyperlink ref="E197" r:id="rId172" xr:uid="{D6A84C17-8D27-4C95-B9D8-38297D93B9A8}"/>
    <hyperlink ref="E198" r:id="rId173" xr:uid="{A256A731-8039-45A1-B302-FC4800A46157}"/>
    <hyperlink ref="E199" r:id="rId174" xr:uid="{88E6B019-DC80-4BCD-A12A-ACC37739E2DC}"/>
    <hyperlink ref="E200" r:id="rId175" xr:uid="{6B883974-2AD9-4798-877F-D2C756DFBB19}"/>
    <hyperlink ref="E201" r:id="rId176" xr:uid="{36EA08C9-F32C-4C60-8A04-726C30F64A5F}"/>
    <hyperlink ref="E202" r:id="rId177" xr:uid="{C7C1D6B4-3636-40BF-BAD0-02107D89B307}"/>
    <hyperlink ref="E203" r:id="rId178" xr:uid="{6BC4EE39-50AA-4983-9AA7-C07F11B10EEA}"/>
    <hyperlink ref="E204" r:id="rId179" xr:uid="{F50F9864-1DD6-4EBA-AE8B-BA36582B5370}"/>
    <hyperlink ref="E205" r:id="rId180" xr:uid="{1A7DEA55-941C-4923-B049-033B35DBE4D6}"/>
    <hyperlink ref="E206" r:id="rId181" xr:uid="{F7E6E443-B4B6-4448-9B1A-73470418E33D}"/>
    <hyperlink ref="E207" r:id="rId182" xr:uid="{B093C1F1-3410-4C38-BD5F-269EC9694C7E}"/>
    <hyperlink ref="E208" r:id="rId183" xr:uid="{69F86C92-7E44-4F3F-B680-8137D7113EF1}"/>
    <hyperlink ref="E209" r:id="rId184" xr:uid="{2A4427EF-B795-4D0C-8B63-503BB5A5277D}"/>
    <hyperlink ref="E210" r:id="rId185" xr:uid="{27B234E5-53DB-4683-B67E-3FF6843688F8}"/>
    <hyperlink ref="E211" r:id="rId186" xr:uid="{9B7863D3-3ABE-4BA0-BA5A-16F8371524A5}"/>
    <hyperlink ref="E212" r:id="rId187" xr:uid="{66914BD6-F4CF-4C3A-8554-924D6FC8EF62}"/>
    <hyperlink ref="E213" r:id="rId188" xr:uid="{A33BAB46-D72F-4655-94D4-737A9D3B25D1}"/>
    <hyperlink ref="E214" r:id="rId189" xr:uid="{8C47FF55-4BE1-410A-B56C-4A8388B25B4A}"/>
    <hyperlink ref="E215" r:id="rId190" xr:uid="{20314626-4E36-43B4-8ECA-59F9F887834F}"/>
    <hyperlink ref="E216" r:id="rId191" xr:uid="{7113464A-2DCD-423F-B2FA-4903836C2DE1}"/>
    <hyperlink ref="E218" r:id="rId192" xr:uid="{2CB578F6-5BD4-43AC-BEB2-F69AA6BC8C8A}"/>
    <hyperlink ref="E219" r:id="rId193" xr:uid="{946F5CBD-5C3E-4419-BBF9-72AF46AAB204}"/>
    <hyperlink ref="E220" r:id="rId194" xr:uid="{029BB45A-CC58-4B71-B714-C6287B0BDA51}"/>
    <hyperlink ref="E221" r:id="rId195" xr:uid="{B3A606AA-9767-4076-95EB-B90886F27CAC}"/>
    <hyperlink ref="E222" r:id="rId196" xr:uid="{E6560E97-6389-461B-A2E5-CBE272C8C0EB}"/>
    <hyperlink ref="E223" r:id="rId197" xr:uid="{9C70B9B6-7D66-4CD5-9712-D001138C1246}"/>
    <hyperlink ref="E224" r:id="rId198" xr:uid="{A513EF0A-ED02-4838-98B9-6970150F9A7C}"/>
    <hyperlink ref="E225" r:id="rId199" xr:uid="{2BF82C7E-6BF2-4A6E-9A7D-48C3B6F70323}"/>
    <hyperlink ref="E226" r:id="rId200" xr:uid="{AE223CD6-7D4B-411F-85DF-207C1CB569A7}"/>
    <hyperlink ref="E227" r:id="rId201" xr:uid="{7207EE97-8E02-454B-A5CA-4AB42260B839}"/>
    <hyperlink ref="E228" r:id="rId202" xr:uid="{4377D11D-7834-41D8-82B2-BCFE47EC6F2D}"/>
    <hyperlink ref="E229" r:id="rId203" xr:uid="{5F353E67-E679-425D-B585-0D16BDB748A8}"/>
    <hyperlink ref="E230" r:id="rId204" xr:uid="{EBCA0BED-9FD6-423E-9765-4A2C0FDE4883}"/>
    <hyperlink ref="E231" r:id="rId205" xr:uid="{9697B383-CAA3-42D6-8797-052F7AF19390}"/>
    <hyperlink ref="E232" r:id="rId206" xr:uid="{76881BC7-D512-4595-B1E8-1EC70E45F324}"/>
    <hyperlink ref="E233" r:id="rId207" xr:uid="{6C63C185-78C5-48E7-B655-AA0E5D471F1F}"/>
    <hyperlink ref="E234" r:id="rId208" xr:uid="{B172D6E2-2429-474A-8AFC-C9726455973E}"/>
    <hyperlink ref="E235" r:id="rId209" xr:uid="{071659AA-293F-410F-9E13-557C558C85E8}"/>
    <hyperlink ref="E236" r:id="rId210" xr:uid="{9D414667-629D-4348-87B5-A8D9EB62ED93}"/>
    <hyperlink ref="E237" r:id="rId211" xr:uid="{C37FF668-2980-43BF-90D9-A539FECF671E}"/>
    <hyperlink ref="E238" r:id="rId212" xr:uid="{6BCA583F-B20D-4856-980B-618CF8081B1B}"/>
    <hyperlink ref="E239" r:id="rId213" xr:uid="{7B7A6E69-E102-4970-B805-CBA585D662FF}"/>
    <hyperlink ref="E240" r:id="rId214" xr:uid="{66701B5A-BCDF-420F-B553-3049D496184B}"/>
    <hyperlink ref="E241" r:id="rId215" xr:uid="{D7B4CA79-73BD-40AF-A8A3-6FF7B131F6FA}"/>
    <hyperlink ref="E242" r:id="rId216" xr:uid="{36F86463-6FBC-4245-9772-E56888527280}"/>
    <hyperlink ref="E243" r:id="rId217" xr:uid="{C4C5A0A7-20CD-41DA-BA38-EFE078F49C3B}"/>
    <hyperlink ref="E244" r:id="rId218" xr:uid="{1D030AC3-D6E1-48DC-8747-3A1B8C7A1DD5}"/>
    <hyperlink ref="E245" r:id="rId219" xr:uid="{387036BB-1F39-459F-A5F9-B12FD424D3A5}"/>
    <hyperlink ref="E246" r:id="rId220" xr:uid="{51773AD2-70E1-4D4E-B45D-AE7F1262B7B3}"/>
    <hyperlink ref="E247" r:id="rId221" xr:uid="{0FE3CFA1-222D-4935-8BF3-08438AEB72D9}"/>
    <hyperlink ref="E248" r:id="rId222" xr:uid="{9198E5B1-FA6A-4294-B818-0D8215E36EE6}"/>
    <hyperlink ref="E249" r:id="rId223" xr:uid="{3477A014-A1E1-4F41-B5ED-6845A362448F}"/>
    <hyperlink ref="E250" r:id="rId224" xr:uid="{668625C4-E597-4F68-8F02-353298C3887D}"/>
    <hyperlink ref="E251" r:id="rId225" xr:uid="{B1FCAE54-A0D7-41EC-A142-2186FCA40F2A}"/>
    <hyperlink ref="E272" r:id="rId226" xr:uid="{8E23AE81-1902-41A5-85EC-C84412DDC102}"/>
    <hyperlink ref="E252" r:id="rId227" xr:uid="{C11FF7C1-FB8A-4672-B57A-254D026C5F44}"/>
    <hyperlink ref="E253" r:id="rId228" xr:uid="{FFE83843-562C-47E4-ADAA-F48596198924}"/>
    <hyperlink ref="E254" r:id="rId229" xr:uid="{C851001D-D3BE-4890-82D2-4B67DAE57B12}"/>
    <hyperlink ref="E255" r:id="rId230" xr:uid="{2C916076-0B80-404D-8709-00671A88CDB1}"/>
    <hyperlink ref="E256" r:id="rId231" xr:uid="{87AA5521-ADF4-4715-A4BF-7B2F66C1DE87}"/>
    <hyperlink ref="E257" r:id="rId232" xr:uid="{16D3BD76-BAB3-4ED0-A80B-E2C71626E805}"/>
    <hyperlink ref="E258" r:id="rId233" xr:uid="{2593324B-8986-48C1-9277-BCF9C09F0631}"/>
    <hyperlink ref="E259" r:id="rId234" xr:uid="{53076DED-EE6C-482F-B5A8-0E66F9FF81FC}"/>
    <hyperlink ref="E260" r:id="rId235" xr:uid="{78691AAA-2D66-49F0-ABC2-1BBE7EACD94A}"/>
    <hyperlink ref="E261" r:id="rId236" xr:uid="{8F126AE0-ADE9-4423-981C-19D0FB1D91B6}"/>
    <hyperlink ref="E262" r:id="rId237" xr:uid="{37633725-BA7B-492A-B2F7-EE96B255A0AE}"/>
    <hyperlink ref="E263" r:id="rId238" xr:uid="{BABBD3DC-F21D-48AD-B3EC-DE7C401E1F0B}"/>
    <hyperlink ref="E264" r:id="rId239" xr:uid="{A6C206B2-2B46-4AED-BF85-545E087FD51B}"/>
    <hyperlink ref="E265" r:id="rId240" xr:uid="{787AA210-49CA-4F6A-B632-52A1E0E0FC39}"/>
    <hyperlink ref="E266" r:id="rId241" xr:uid="{A7D9B439-9B4D-410A-8F62-6B8BBAE338E5}"/>
    <hyperlink ref="E267" r:id="rId242" xr:uid="{62523001-5951-41EA-933A-A9EE0BA4E947}"/>
    <hyperlink ref="E268" r:id="rId243" xr:uid="{A85EEF67-DEBE-40AB-9493-B06E00C41F09}"/>
    <hyperlink ref="E269" r:id="rId244" xr:uid="{DA0EC77C-1E88-49DC-8A9B-CEB7CD0E2646}"/>
    <hyperlink ref="E270" r:id="rId245" xr:uid="{117CC794-B381-4875-BDC5-68F73BC0C863}"/>
    <hyperlink ref="E271" r:id="rId246" xr:uid="{21F03A3B-E00E-4F5E-8968-BD6387436ABB}"/>
    <hyperlink ref="E273" r:id="rId247" xr:uid="{20C19CC9-B556-41F6-B912-0E2B1ED83606}"/>
    <hyperlink ref="E274" r:id="rId248" xr:uid="{31A8FCF5-C29C-44A5-9DFF-279A6AB53313}"/>
    <hyperlink ref="E275" r:id="rId249" xr:uid="{6DE45DF0-393B-432A-855B-689AFCD16F4F}"/>
    <hyperlink ref="E276" r:id="rId250" xr:uid="{CF682093-C8A8-45C9-87F4-7BE38A0C69E6}"/>
    <hyperlink ref="E277" r:id="rId251" xr:uid="{15BC0A2C-53B0-4A60-BD84-31306532BCB3}"/>
    <hyperlink ref="E278" r:id="rId252" xr:uid="{D9566F25-2E80-4B19-8B38-7E636235F376}"/>
    <hyperlink ref="E279" r:id="rId253" xr:uid="{A3BA85EE-B0C2-46F9-AA85-A71258EC119B}"/>
    <hyperlink ref="E280" r:id="rId254" xr:uid="{CB710932-BF15-4E1E-B842-F5CC38540881}"/>
    <hyperlink ref="E281" r:id="rId255" xr:uid="{479832A9-1D2B-4B9A-8BF0-252408006A9E}"/>
    <hyperlink ref="E282" r:id="rId256" xr:uid="{A929B9C0-6744-4C73-9E6E-4E52D79F107B}"/>
    <hyperlink ref="E283" r:id="rId257" xr:uid="{60C0A58D-DA42-4453-9E37-0297852174F7}"/>
    <hyperlink ref="E284" r:id="rId258" xr:uid="{5AAC2000-E7A7-4011-BA8F-63A7D34DC13A}"/>
    <hyperlink ref="E285" r:id="rId259" xr:uid="{9011CC4F-24A2-4CBB-8C03-27EAB9F65486}"/>
    <hyperlink ref="E286" r:id="rId260" xr:uid="{F5777AE1-6162-40B8-98E3-E27C523B00DC}"/>
    <hyperlink ref="E287" r:id="rId261" xr:uid="{10C19D6C-1A1E-4D1F-B823-B5DE2CFA70BA}"/>
    <hyperlink ref="E288" r:id="rId262" xr:uid="{88670673-06ED-43D4-8C5D-00A0CE090E74}"/>
    <hyperlink ref="E289" r:id="rId263" xr:uid="{781DB63B-FE5B-409B-AABB-17F6509CA876}"/>
    <hyperlink ref="E290" r:id="rId264" xr:uid="{BBB7F7BD-FF61-4972-818B-31814CDD8848}"/>
    <hyperlink ref="E291" r:id="rId265" xr:uid="{E0C929E8-F0BA-47E5-A5BF-E757706F2125}"/>
    <hyperlink ref="E292" r:id="rId266" xr:uid="{E5B87BEC-49C7-4D27-900A-A61DBDB7BA9F}"/>
    <hyperlink ref="E293" r:id="rId267" xr:uid="{1E0FD3C3-1CD6-44BB-ADB8-9A1B1777480E}"/>
    <hyperlink ref="E294" r:id="rId268" xr:uid="{D15402B4-B8C5-4D18-944C-B27281F64C7D}"/>
    <hyperlink ref="E295" r:id="rId269" xr:uid="{16BCCCE0-07F4-4C66-AF61-6EDBFDD5E04C}"/>
    <hyperlink ref="E296" r:id="rId270" xr:uid="{D3882840-BC81-4CEA-94A3-06DF14593CFF}"/>
    <hyperlink ref="E297" r:id="rId271" xr:uid="{F963D68E-0995-43EC-86C3-10313BEF5AEE}"/>
    <hyperlink ref="E298" r:id="rId272" xr:uid="{99719821-FD03-43BE-BA4A-ADC883BAF6C8}"/>
    <hyperlink ref="E299" r:id="rId273" xr:uid="{B79FC24D-8212-47C2-8ED3-808229F3277A}"/>
    <hyperlink ref="E300" r:id="rId274" xr:uid="{BBB717F8-642C-4A71-A5BE-BEC6E3A5E9AF}"/>
    <hyperlink ref="E301" r:id="rId275" xr:uid="{C5FD916B-9519-4277-A8C6-FA5C31BFF833}"/>
    <hyperlink ref="E302" r:id="rId276" xr:uid="{DB22C0F8-B86C-4711-BE2E-8DDADFEAB943}"/>
    <hyperlink ref="E303" r:id="rId277" xr:uid="{6C18D073-DBDC-4DD0-A14B-5656B1AD7ED6}"/>
    <hyperlink ref="E304" r:id="rId278" xr:uid="{F0EE6641-C5E4-4654-9942-195C14492D17}"/>
    <hyperlink ref="E305" r:id="rId279" xr:uid="{BA10AA9A-76D8-4A8A-ABC1-4ADFE8D37C76}"/>
    <hyperlink ref="E306" r:id="rId280" xr:uid="{AC1F8C65-646D-4812-B68C-A7993E4D5F29}"/>
    <hyperlink ref="E307" r:id="rId281" xr:uid="{2C9057CF-1DA3-4818-B2A5-396C1EBE144B}"/>
    <hyperlink ref="E308" r:id="rId282" xr:uid="{21C5B929-BA21-46A4-9141-338E1F16BCEF}"/>
    <hyperlink ref="E309" r:id="rId283" xr:uid="{0FFF1840-860A-4660-A476-A38E7A74151A}"/>
    <hyperlink ref="E310" r:id="rId284" xr:uid="{23BD6EBE-6837-46DB-A3F7-CA4544A0A020}"/>
    <hyperlink ref="E311" r:id="rId285" xr:uid="{E508A846-208A-4C5D-A442-22DF053E4503}"/>
    <hyperlink ref="E312" r:id="rId286" xr:uid="{8A2C3A59-672F-4EB0-988C-F8480DDEA360}"/>
    <hyperlink ref="E313" r:id="rId287" xr:uid="{DB417267-18C0-46D5-B668-E2F9E89C5525}"/>
    <hyperlink ref="E314" r:id="rId288" xr:uid="{0F7453CE-40B2-431B-8AC6-0EA0B1109280}"/>
    <hyperlink ref="E315" r:id="rId289" xr:uid="{3DA5FE66-18B2-456A-89F3-449A04A90B41}"/>
    <hyperlink ref="E316" r:id="rId290" xr:uid="{32AB504C-FAB3-4B25-BD80-657B4EEF4156}"/>
    <hyperlink ref="E317" r:id="rId291" xr:uid="{84FB2BDB-DFB8-48BB-841B-C3CB37925F2A}"/>
    <hyperlink ref="E318" r:id="rId292" xr:uid="{5819A24D-0DE9-496B-86B3-55300F0BCF86}"/>
    <hyperlink ref="E319" r:id="rId293" xr:uid="{506E1873-FAD7-4A2E-8BEE-6F916F9D8D10}"/>
    <hyperlink ref="E320" r:id="rId294" xr:uid="{41A80B95-8CD6-4D0C-B491-54B69454BDA9}"/>
    <hyperlink ref="E321" r:id="rId295" xr:uid="{8FE011A7-DF72-47DB-9EF9-D2B1EBE413EB}"/>
    <hyperlink ref="E322" r:id="rId296" xr:uid="{D215F702-F16F-4768-A62D-7F78AEC37DAB}"/>
    <hyperlink ref="E323" r:id="rId297" xr:uid="{E63B65C9-E96B-40AE-AAC1-E8BA0731683A}"/>
    <hyperlink ref="E324" r:id="rId298" xr:uid="{6E0B2C16-F08B-4611-BD05-3FE9AFAA91C2}"/>
    <hyperlink ref="E325" r:id="rId299" xr:uid="{F6D0453D-CA79-4492-A1B9-1E8A45B6C060}"/>
    <hyperlink ref="E326" r:id="rId300" xr:uid="{75512C69-1E47-4098-AE65-C96109A71448}"/>
    <hyperlink ref="E327" r:id="rId301" xr:uid="{3111F039-D024-4581-98DB-A6BB77907758}"/>
    <hyperlink ref="E328" r:id="rId302" xr:uid="{C4C77286-0D10-4DC0-AC48-D4DE37D59533}"/>
    <hyperlink ref="E329" r:id="rId303" xr:uid="{13E0F5BE-9FCD-4E23-B242-588183D83269}"/>
    <hyperlink ref="E330" r:id="rId304" xr:uid="{35C6E6F4-4094-44F3-9B68-E1BD0677A128}"/>
    <hyperlink ref="E331" r:id="rId305" xr:uid="{8A7A8EEC-BE4E-4E3F-8AC1-DE801173B09F}"/>
    <hyperlink ref="E332" r:id="rId306" xr:uid="{9E605300-B51F-4932-AC81-46D77441F722}"/>
    <hyperlink ref="E333" r:id="rId307" xr:uid="{7CD2FC3D-3F72-4E2A-A934-915DC3AF8784}"/>
    <hyperlink ref="E334" r:id="rId308" xr:uid="{8AD8E2A3-13FA-4B18-B047-FA0622F9BC08}"/>
    <hyperlink ref="E335" r:id="rId309" xr:uid="{861A5DF2-97C1-4DDA-B6B5-E0D7E3D6DEFC}"/>
    <hyperlink ref="E336" r:id="rId310" xr:uid="{E7DD634F-057E-49AF-9C36-C7FFE7A0369F}"/>
    <hyperlink ref="E337" r:id="rId311" xr:uid="{7C0B9834-4ADE-4453-94D0-27B8F2AB6938}"/>
    <hyperlink ref="E338" r:id="rId312" xr:uid="{60F6B2F4-481A-4761-ADE4-04B62BB9606A}"/>
    <hyperlink ref="E339" r:id="rId313" xr:uid="{7665A9E1-5712-4041-93F2-5AED6F7C4A1F}"/>
    <hyperlink ref="E340" r:id="rId314" xr:uid="{56434EF1-D0F6-42F9-AB0B-E0CFA9739D49}"/>
    <hyperlink ref="E341" r:id="rId315" xr:uid="{E6369349-EEF7-4ECE-8F71-AB5226BCC0FF}"/>
    <hyperlink ref="E342" r:id="rId316" xr:uid="{DE415DFE-D7BE-47FA-9E51-33FF922844CD}"/>
    <hyperlink ref="E343" r:id="rId317" xr:uid="{FC61FB03-0EE2-4082-8404-F3F143427E5C}"/>
    <hyperlink ref="E344" r:id="rId318" xr:uid="{03DAA8C5-5914-4D05-98BE-E34502152BD9}"/>
    <hyperlink ref="E345" r:id="rId319" xr:uid="{2352FB60-E4FF-4FAB-9A3F-AC570F3EA251}"/>
    <hyperlink ref="E346" r:id="rId320" xr:uid="{56A31278-D25D-4021-B4C2-D70C9E17053A}"/>
    <hyperlink ref="E347" r:id="rId321" xr:uid="{C66C14E4-FF29-4E11-9277-02D2BCF6B7EA}"/>
    <hyperlink ref="E348" r:id="rId322" xr:uid="{CD92518B-67B3-4222-9FDA-66902F38A526}"/>
    <hyperlink ref="E349" r:id="rId323" xr:uid="{8511C0AA-EC58-4CB5-AA56-73E5C973B1DB}"/>
    <hyperlink ref="E350" r:id="rId324" xr:uid="{7FFA3F4C-CA9E-4FFC-A12E-F2AE0EB9ED23}"/>
    <hyperlink ref="E351" r:id="rId325" xr:uid="{91BC9222-545E-4A96-8895-452F3ADADD2D}"/>
    <hyperlink ref="E352" r:id="rId326" xr:uid="{9C55AC66-6232-47C1-9A55-7FBAC37843AE}"/>
    <hyperlink ref="E353" r:id="rId327" xr:uid="{A7FC0A1A-F2B1-46C3-BA31-9872B4F61D52}"/>
    <hyperlink ref="E354" r:id="rId328" xr:uid="{966A073E-FE69-4261-9DD0-0CF1F6B29407}"/>
    <hyperlink ref="E355" r:id="rId329" xr:uid="{65D4EDB8-F9DF-4C3D-9852-ECCEFB7DE0C9}"/>
    <hyperlink ref="E356" r:id="rId330" xr:uid="{8002B6FC-BB5E-4CC7-ACF9-22CC9C7A08FE}"/>
    <hyperlink ref="E357" r:id="rId331" xr:uid="{0C924CBE-BBFE-4E05-AF72-885B2073D5BE}"/>
    <hyperlink ref="E358" r:id="rId332" xr:uid="{C6F8015B-291F-404C-9B7D-A9006D1DE530}"/>
    <hyperlink ref="E359" r:id="rId333" xr:uid="{7B32AEED-BBE2-4494-B74D-5B440BBC839A}"/>
    <hyperlink ref="E360" r:id="rId334" xr:uid="{9D228643-CBF8-48E1-9B23-72CF255B197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09735-B044-49DB-988C-C41B7C71B856}">
  <dimension ref="A1:AZ185"/>
  <sheetViews>
    <sheetView zoomScale="80" zoomScaleNormal="80" workbookViewId="0">
      <pane xSplit="1" ySplit="2" topLeftCell="B3" activePane="bottomRight" state="frozen"/>
      <selection pane="topRight" activeCell="D1" sqref="D1"/>
      <selection pane="bottomLeft" activeCell="A3" sqref="A3"/>
      <selection pane="bottomRight" activeCell="B7" sqref="B7"/>
    </sheetView>
  </sheetViews>
  <sheetFormatPr defaultColWidth="9.140625" defaultRowHeight="15.75" x14ac:dyDescent="0.25"/>
  <cols>
    <col min="1" max="1" width="23.85546875" style="20" customWidth="1"/>
    <col min="2" max="2" width="15.140625" style="70" customWidth="1"/>
    <col min="3" max="3" width="16" style="20" customWidth="1"/>
    <col min="4" max="4" width="24.7109375" style="20" customWidth="1"/>
    <col min="5" max="5" width="25.7109375" style="20" customWidth="1"/>
    <col min="6" max="6" width="15.140625" style="69" customWidth="1"/>
    <col min="7" max="7" width="33.42578125" style="51" customWidth="1"/>
    <col min="8" max="8" width="19.140625" style="71" customWidth="1"/>
    <col min="9" max="9" width="38.28515625" style="20" customWidth="1"/>
    <col min="10" max="13" width="22.140625" style="51" customWidth="1"/>
    <col min="14" max="14" width="19.140625" style="51" customWidth="1"/>
    <col min="15" max="15" width="21.28515625" style="20" customWidth="1"/>
    <col min="16" max="16" width="21.7109375" style="20" customWidth="1"/>
    <col min="17" max="17" width="19.5703125" style="20" customWidth="1"/>
    <col min="18" max="18" width="21.42578125" style="20" customWidth="1"/>
    <col min="19" max="19" width="23.5703125" style="20" customWidth="1"/>
    <col min="20" max="20" width="19.85546875" style="20" customWidth="1"/>
    <col min="21" max="21" width="15" style="20" customWidth="1"/>
    <col min="22" max="23" width="14.5703125" style="20" customWidth="1"/>
    <col min="24" max="24" width="20.140625" style="20" customWidth="1"/>
    <col min="25" max="25" width="17.5703125" style="72" customWidth="1"/>
    <col min="26" max="26" width="15.5703125" style="20" customWidth="1"/>
    <col min="27" max="27" width="15.5703125" style="71" customWidth="1"/>
    <col min="28" max="28" width="17.42578125" style="20" customWidth="1"/>
    <col min="29" max="31" width="17" style="20" customWidth="1"/>
    <col min="32" max="32" width="20.85546875" style="20" customWidth="1"/>
    <col min="33" max="33" width="16.42578125" style="20" customWidth="1"/>
    <col min="34" max="34" width="13.7109375" style="20" customWidth="1"/>
    <col min="35" max="35" width="14" style="20" customWidth="1"/>
    <col min="36" max="36" width="13.5703125" style="51" customWidth="1"/>
    <col min="37" max="37" width="14.85546875" style="51" customWidth="1"/>
    <col min="38" max="38" width="15.42578125" style="20" customWidth="1"/>
    <col min="39" max="39" width="14.85546875" style="72" customWidth="1"/>
    <col min="40" max="40" width="15" style="20" customWidth="1"/>
    <col min="41" max="41" width="16.28515625" style="71" customWidth="1"/>
    <col min="42" max="42" width="30.42578125" style="71" customWidth="1"/>
    <col min="43" max="43" width="19" style="51" customWidth="1"/>
    <col min="44" max="44" width="16.28515625" style="51" customWidth="1"/>
    <col min="45" max="45" width="11" style="20" customWidth="1"/>
    <col min="46" max="46" width="14.7109375" style="52" customWidth="1"/>
    <col min="47" max="47" width="12.5703125" style="20" customWidth="1"/>
    <col min="48" max="48" width="13.85546875" style="71" customWidth="1"/>
    <col min="49" max="49" width="8.5703125" style="72" customWidth="1"/>
    <col min="50" max="50" width="7.7109375" style="72" customWidth="1"/>
    <col min="51" max="51" width="18.42578125" style="51" customWidth="1"/>
    <col min="52" max="52" width="17.140625" style="20" customWidth="1"/>
    <col min="53" max="16384" width="9.140625" style="20"/>
  </cols>
  <sheetData>
    <row r="1" spans="1:52" ht="63.75" customHeight="1" x14ac:dyDescent="0.25">
      <c r="A1" s="1" t="s">
        <v>0</v>
      </c>
      <c r="B1" s="2" t="s">
        <v>1</v>
      </c>
      <c r="C1" s="5" t="s">
        <v>2</v>
      </c>
      <c r="D1" s="6" t="s">
        <v>3</v>
      </c>
      <c r="E1" s="4" t="s">
        <v>4</v>
      </c>
      <c r="F1" s="3" t="s">
        <v>5</v>
      </c>
      <c r="G1" s="4" t="s">
        <v>6</v>
      </c>
      <c r="H1" s="4" t="s">
        <v>7</v>
      </c>
      <c r="I1" s="7" t="s">
        <v>8</v>
      </c>
      <c r="J1" s="8" t="s">
        <v>9</v>
      </c>
      <c r="K1" s="9" t="s">
        <v>10</v>
      </c>
      <c r="L1" s="9" t="s">
        <v>11</v>
      </c>
      <c r="M1" s="9" t="s">
        <v>12</v>
      </c>
      <c r="N1" s="8" t="s">
        <v>13</v>
      </c>
      <c r="O1" s="8" t="s">
        <v>14</v>
      </c>
      <c r="P1" s="7" t="s">
        <v>15</v>
      </c>
      <c r="Q1" s="7" t="s">
        <v>16</v>
      </c>
      <c r="R1" s="7" t="s">
        <v>17</v>
      </c>
      <c r="S1" s="8" t="s">
        <v>18</v>
      </c>
      <c r="T1" s="7" t="s">
        <v>19</v>
      </c>
      <c r="U1" s="8" t="s">
        <v>20</v>
      </c>
      <c r="V1" s="8" t="s">
        <v>21</v>
      </c>
      <c r="W1" s="2" t="s">
        <v>22</v>
      </c>
      <c r="X1" s="10" t="s">
        <v>23</v>
      </c>
      <c r="Y1" s="11"/>
      <c r="Z1" s="11"/>
      <c r="AA1" s="11"/>
      <c r="AB1" s="11"/>
      <c r="AC1" s="11"/>
      <c r="AD1" s="11"/>
      <c r="AE1" s="11"/>
      <c r="AF1" s="11"/>
      <c r="AG1" s="12"/>
      <c r="AH1" s="13" t="s">
        <v>24</v>
      </c>
      <c r="AI1" s="14"/>
      <c r="AJ1" s="15"/>
      <c r="AK1" s="13" t="s">
        <v>25</v>
      </c>
      <c r="AL1" s="14"/>
      <c r="AM1" s="15"/>
      <c r="AN1" s="9" t="s">
        <v>26</v>
      </c>
      <c r="AO1" s="16" t="s">
        <v>27</v>
      </c>
      <c r="AP1" s="16" t="s">
        <v>28</v>
      </c>
      <c r="AQ1" s="16" t="s">
        <v>29</v>
      </c>
      <c r="AR1" s="16" t="s">
        <v>30</v>
      </c>
      <c r="AS1" s="7" t="s">
        <v>31</v>
      </c>
      <c r="AT1" s="7" t="s">
        <v>32</v>
      </c>
      <c r="AU1" s="8" t="s">
        <v>33</v>
      </c>
      <c r="AV1" s="17" t="s">
        <v>34</v>
      </c>
      <c r="AW1" s="18" t="s">
        <v>35</v>
      </c>
      <c r="AX1" s="19"/>
      <c r="AY1" s="19"/>
      <c r="AZ1" s="16" t="s">
        <v>36</v>
      </c>
    </row>
    <row r="2" spans="1:52" ht="45" customHeight="1" x14ac:dyDescent="0.25">
      <c r="A2" s="21"/>
      <c r="B2" s="22"/>
      <c r="C2" s="25"/>
      <c r="D2" s="26"/>
      <c r="E2" s="24"/>
      <c r="F2" s="23"/>
      <c r="G2" s="24"/>
      <c r="H2" s="24"/>
      <c r="I2" s="27"/>
      <c r="J2" s="28"/>
      <c r="K2" s="29"/>
      <c r="L2" s="29"/>
      <c r="M2" s="29"/>
      <c r="N2" s="28"/>
      <c r="O2" s="28"/>
      <c r="P2" s="27"/>
      <c r="Q2" s="27"/>
      <c r="R2" s="27"/>
      <c r="S2" s="27"/>
      <c r="T2" s="27"/>
      <c r="U2" s="28"/>
      <c r="V2" s="28"/>
      <c r="W2" s="22"/>
      <c r="X2" s="30" t="s">
        <v>37</v>
      </c>
      <c r="Y2" s="30" t="s">
        <v>38</v>
      </c>
      <c r="Z2" s="30" t="s">
        <v>39</v>
      </c>
      <c r="AA2" s="30" t="s">
        <v>40</v>
      </c>
      <c r="AB2" s="30" t="s">
        <v>41</v>
      </c>
      <c r="AC2" s="30" t="s">
        <v>42</v>
      </c>
      <c r="AD2" s="30" t="s">
        <v>43</v>
      </c>
      <c r="AE2" s="30" t="s">
        <v>44</v>
      </c>
      <c r="AF2" s="30" t="s">
        <v>45</v>
      </c>
      <c r="AG2" s="30" t="s">
        <v>46</v>
      </c>
      <c r="AH2" s="31" t="s">
        <v>38</v>
      </c>
      <c r="AI2" s="31" t="s">
        <v>39</v>
      </c>
      <c r="AJ2" s="31" t="s">
        <v>40</v>
      </c>
      <c r="AK2" s="31" t="s">
        <v>38</v>
      </c>
      <c r="AL2" s="31" t="s">
        <v>39</v>
      </c>
      <c r="AM2" s="31" t="s">
        <v>40</v>
      </c>
      <c r="AN2" s="32"/>
      <c r="AO2" s="33"/>
      <c r="AP2" s="33"/>
      <c r="AQ2" s="33"/>
      <c r="AR2" s="33"/>
      <c r="AS2" s="27"/>
      <c r="AT2" s="27"/>
      <c r="AU2" s="28"/>
      <c r="AV2" s="34"/>
      <c r="AW2" s="35" t="s">
        <v>47</v>
      </c>
      <c r="AX2" s="35" t="s">
        <v>48</v>
      </c>
      <c r="AY2" s="35" t="s">
        <v>49</v>
      </c>
      <c r="AZ2" s="33"/>
    </row>
    <row r="3" spans="1:52" ht="78.75" customHeight="1" x14ac:dyDescent="0.25">
      <c r="A3" s="37" t="s">
        <v>50</v>
      </c>
      <c r="B3" s="38">
        <v>44580</v>
      </c>
      <c r="C3" s="39">
        <v>1416</v>
      </c>
      <c r="D3" s="37" t="s">
        <v>51</v>
      </c>
      <c r="E3" s="41" t="s">
        <v>52</v>
      </c>
      <c r="F3" s="38">
        <v>44617</v>
      </c>
      <c r="G3" s="39" t="s">
        <v>53</v>
      </c>
      <c r="H3" s="42" t="s">
        <v>54</v>
      </c>
      <c r="I3" s="42" t="s">
        <v>55</v>
      </c>
      <c r="J3" s="43">
        <v>765023068.5</v>
      </c>
      <c r="K3" s="43">
        <v>255007689.5</v>
      </c>
      <c r="L3" s="43">
        <v>255007689.5</v>
      </c>
      <c r="M3" s="43">
        <v>255007689.5</v>
      </c>
      <c r="N3" s="44">
        <v>0</v>
      </c>
      <c r="O3" s="45">
        <v>0</v>
      </c>
      <c r="P3" s="43">
        <v>765023068.5</v>
      </c>
      <c r="Q3" s="45">
        <v>44970673.24000001</v>
      </c>
      <c r="R3" s="43">
        <v>255007689.5</v>
      </c>
      <c r="S3" s="30">
        <v>299978362.74000001</v>
      </c>
      <c r="T3" s="30">
        <v>809993741.74000001</v>
      </c>
      <c r="U3" s="30">
        <v>295.37</v>
      </c>
      <c r="V3" s="43">
        <v>295.37</v>
      </c>
      <c r="W3" s="43">
        <v>14768.5</v>
      </c>
      <c r="X3" s="43">
        <v>2742302</v>
      </c>
      <c r="Y3" s="43"/>
      <c r="Z3" s="43"/>
      <c r="AA3" s="43">
        <v>1015602</v>
      </c>
      <c r="AB3" s="43">
        <v>22300</v>
      </c>
      <c r="AC3" s="43">
        <v>6586751</v>
      </c>
      <c r="AD3" s="43">
        <v>993302</v>
      </c>
      <c r="AE3" s="43">
        <v>293391611.74000001</v>
      </c>
      <c r="AF3" s="44">
        <v>54846.04</v>
      </c>
      <c r="AG3" s="47">
        <v>54847</v>
      </c>
      <c r="AH3" s="38">
        <v>44682</v>
      </c>
      <c r="AI3" s="38">
        <v>45047</v>
      </c>
      <c r="AJ3" s="38">
        <v>45413</v>
      </c>
      <c r="AK3" s="38">
        <v>44696</v>
      </c>
      <c r="AL3" s="38">
        <v>45061</v>
      </c>
      <c r="AM3" s="48">
        <v>45427</v>
      </c>
      <c r="AN3" s="42" t="s">
        <v>56</v>
      </c>
      <c r="AO3" s="42" t="s">
        <v>57</v>
      </c>
      <c r="AP3" s="42" t="s">
        <v>58</v>
      </c>
      <c r="AQ3" s="42" t="s">
        <v>59</v>
      </c>
      <c r="AR3" s="42" t="s">
        <v>60</v>
      </c>
      <c r="AS3" s="39">
        <v>0</v>
      </c>
      <c r="AT3" s="39">
        <v>100</v>
      </c>
      <c r="AU3" s="39" t="s">
        <v>61</v>
      </c>
      <c r="AV3" s="49">
        <v>50</v>
      </c>
      <c r="AW3" s="39" t="s">
        <v>62</v>
      </c>
      <c r="AX3" s="39">
        <v>10</v>
      </c>
      <c r="AY3" s="30">
        <v>76502306.849999994</v>
      </c>
      <c r="AZ3" s="42" t="s">
        <v>63</v>
      </c>
    </row>
    <row r="4" spans="1:52" ht="78.75" customHeight="1" x14ac:dyDescent="0.25">
      <c r="A4" s="37" t="s">
        <v>64</v>
      </c>
      <c r="B4" s="38">
        <v>44580</v>
      </c>
      <c r="C4" s="39">
        <v>1416</v>
      </c>
      <c r="D4" s="37" t="s">
        <v>65</v>
      </c>
      <c r="E4" s="41" t="s">
        <v>66</v>
      </c>
      <c r="F4" s="38">
        <v>44617</v>
      </c>
      <c r="G4" s="39" t="s">
        <v>67</v>
      </c>
      <c r="H4" s="42" t="s">
        <v>54</v>
      </c>
      <c r="I4" s="42" t="s">
        <v>68</v>
      </c>
      <c r="J4" s="43">
        <v>659336242.5</v>
      </c>
      <c r="K4" s="43">
        <v>219778747.5</v>
      </c>
      <c r="L4" s="43">
        <v>219778747.5</v>
      </c>
      <c r="M4" s="43">
        <v>219778747.5</v>
      </c>
      <c r="N4" s="44">
        <v>0</v>
      </c>
      <c r="O4" s="45">
        <v>0</v>
      </c>
      <c r="P4" s="43">
        <v>659336242.5</v>
      </c>
      <c r="Q4" s="45">
        <v>22382694.450000048</v>
      </c>
      <c r="R4" s="43">
        <v>219778747.5</v>
      </c>
      <c r="S4" s="30">
        <v>242161441.94999999</v>
      </c>
      <c r="T4" s="30">
        <v>681718936.95000005</v>
      </c>
      <c r="U4" s="30">
        <v>27.55</v>
      </c>
      <c r="V4" s="43">
        <v>27.55</v>
      </c>
      <c r="W4" s="43">
        <v>1377.5</v>
      </c>
      <c r="X4" s="43">
        <v>24744789</v>
      </c>
      <c r="Y4" s="43"/>
      <c r="Z4" s="43"/>
      <c r="AA4" s="43">
        <v>8789889</v>
      </c>
      <c r="AB4" s="43">
        <v>168850</v>
      </c>
      <c r="AC4" s="43">
        <v>4651817.5</v>
      </c>
      <c r="AD4" s="43">
        <v>8621039</v>
      </c>
      <c r="AE4" s="43">
        <v>237509624.45000002</v>
      </c>
      <c r="AF4" s="44">
        <v>494895.78</v>
      </c>
      <c r="AG4" s="47">
        <v>494896</v>
      </c>
      <c r="AH4" s="38">
        <v>44682</v>
      </c>
      <c r="AI4" s="38">
        <v>45047</v>
      </c>
      <c r="AJ4" s="38">
        <v>45413</v>
      </c>
      <c r="AK4" s="38">
        <v>44696</v>
      </c>
      <c r="AL4" s="38">
        <v>45061</v>
      </c>
      <c r="AM4" s="48">
        <v>45427</v>
      </c>
      <c r="AN4" s="39"/>
      <c r="AO4" s="42" t="s">
        <v>57</v>
      </c>
      <c r="AP4" s="42" t="s">
        <v>58</v>
      </c>
      <c r="AQ4" s="42" t="s">
        <v>59</v>
      </c>
      <c r="AR4" s="42" t="s">
        <v>60</v>
      </c>
      <c r="AS4" s="39">
        <v>0</v>
      </c>
      <c r="AT4" s="39">
        <v>100</v>
      </c>
      <c r="AU4" s="39" t="s">
        <v>61</v>
      </c>
      <c r="AV4" s="49">
        <v>50</v>
      </c>
      <c r="AW4" s="39" t="s">
        <v>62</v>
      </c>
      <c r="AX4" s="39">
        <v>10</v>
      </c>
      <c r="AY4" s="30">
        <v>65933624.25</v>
      </c>
      <c r="AZ4" s="42" t="s">
        <v>63</v>
      </c>
    </row>
    <row r="5" spans="1:52" ht="78.75" customHeight="1" x14ac:dyDescent="0.25">
      <c r="A5" s="37" t="s">
        <v>69</v>
      </c>
      <c r="B5" s="38">
        <v>44580</v>
      </c>
      <c r="C5" s="39">
        <v>1416</v>
      </c>
      <c r="D5" s="37" t="s">
        <v>70</v>
      </c>
      <c r="E5" s="41" t="s">
        <v>71</v>
      </c>
      <c r="F5" s="38">
        <v>44616</v>
      </c>
      <c r="G5" s="37" t="s">
        <v>72</v>
      </c>
      <c r="H5" s="42" t="s">
        <v>54</v>
      </c>
      <c r="I5" s="42" t="s">
        <v>73</v>
      </c>
      <c r="J5" s="43">
        <v>2656156119</v>
      </c>
      <c r="K5" s="43">
        <v>885385373</v>
      </c>
      <c r="L5" s="43">
        <v>885385373</v>
      </c>
      <c r="M5" s="43">
        <v>885385373</v>
      </c>
      <c r="N5" s="44">
        <v>0</v>
      </c>
      <c r="O5" s="45">
        <v>0</v>
      </c>
      <c r="P5" s="43">
        <v>2656156119</v>
      </c>
      <c r="Q5" s="45">
        <v>256404931.71000004</v>
      </c>
      <c r="R5" s="43">
        <v>1141790304.71</v>
      </c>
      <c r="S5" s="30">
        <v>1141790304.71</v>
      </c>
      <c r="T5" s="30">
        <v>2912561050.71</v>
      </c>
      <c r="U5" s="30">
        <v>59.81</v>
      </c>
      <c r="V5" s="43">
        <v>59.81</v>
      </c>
      <c r="W5" s="43">
        <v>2990.5</v>
      </c>
      <c r="X5" s="43">
        <v>48696891</v>
      </c>
      <c r="Y5" s="43"/>
      <c r="Z5" s="43"/>
      <c r="AA5" s="43">
        <v>19090291</v>
      </c>
      <c r="AB5" s="43">
        <v>345100</v>
      </c>
      <c r="AC5" s="43">
        <v>20640431</v>
      </c>
      <c r="AD5" s="43">
        <v>18745191</v>
      </c>
      <c r="AE5" s="43">
        <v>1121149873.71</v>
      </c>
      <c r="AF5" s="43">
        <v>23.44688297883329</v>
      </c>
      <c r="AG5" s="43">
        <v>24</v>
      </c>
      <c r="AH5" s="38">
        <v>44682</v>
      </c>
      <c r="AI5" s="38">
        <v>45047</v>
      </c>
      <c r="AJ5" s="38">
        <v>45413</v>
      </c>
      <c r="AK5" s="38">
        <v>44701</v>
      </c>
      <c r="AL5" s="38">
        <v>45066</v>
      </c>
      <c r="AM5" s="48">
        <v>45432</v>
      </c>
      <c r="AN5" s="51"/>
      <c r="AO5" s="42" t="s">
        <v>57</v>
      </c>
      <c r="AP5" s="42" t="s">
        <v>58</v>
      </c>
      <c r="AQ5" s="42" t="s">
        <v>59</v>
      </c>
      <c r="AR5" s="42" t="s">
        <v>60</v>
      </c>
      <c r="AS5" s="39">
        <v>0</v>
      </c>
      <c r="AT5" s="39">
        <v>100</v>
      </c>
      <c r="AU5" s="39" t="s">
        <v>61</v>
      </c>
      <c r="AV5" s="52">
        <v>50</v>
      </c>
      <c r="AW5" s="39" t="s">
        <v>62</v>
      </c>
      <c r="AX5" s="39">
        <v>10</v>
      </c>
      <c r="AY5" s="30">
        <v>265615611.90000001</v>
      </c>
      <c r="AZ5" s="42" t="s">
        <v>63</v>
      </c>
    </row>
    <row r="6" spans="1:52" ht="78.75" customHeight="1" x14ac:dyDescent="0.25">
      <c r="A6" s="37" t="s">
        <v>74</v>
      </c>
      <c r="B6" s="38">
        <v>44670</v>
      </c>
      <c r="C6" s="39">
        <v>1416</v>
      </c>
      <c r="D6" s="37" t="s">
        <v>75</v>
      </c>
      <c r="E6" s="41" t="s">
        <v>76</v>
      </c>
      <c r="F6" s="38">
        <v>44707</v>
      </c>
      <c r="G6" s="37" t="s">
        <v>77</v>
      </c>
      <c r="H6" s="42" t="s">
        <v>54</v>
      </c>
      <c r="I6" s="42" t="s">
        <v>78</v>
      </c>
      <c r="J6" s="43">
        <v>1153585170</v>
      </c>
      <c r="K6" s="43">
        <v>747348732</v>
      </c>
      <c r="L6" s="43">
        <v>406236438</v>
      </c>
      <c r="M6" s="43">
        <v>0</v>
      </c>
      <c r="N6" s="44">
        <v>0</v>
      </c>
      <c r="O6" s="45">
        <v>0</v>
      </c>
      <c r="P6" s="43">
        <v>1153585170</v>
      </c>
      <c r="Q6" s="45">
        <v>0</v>
      </c>
      <c r="R6" s="30">
        <v>406236438</v>
      </c>
      <c r="S6" s="30">
        <v>752311989</v>
      </c>
      <c r="T6" s="30">
        <v>1499660721</v>
      </c>
      <c r="U6" s="30">
        <v>647.1</v>
      </c>
      <c r="V6" s="43">
        <v>647.1</v>
      </c>
      <c r="W6" s="43">
        <v>6471</v>
      </c>
      <c r="X6" s="43">
        <v>2317510</v>
      </c>
      <c r="Y6" s="43"/>
      <c r="Z6" s="43"/>
      <c r="AA6" s="43">
        <v>1162590</v>
      </c>
      <c r="AB6" s="43">
        <v>520</v>
      </c>
      <c r="AC6" s="43">
        <v>336492</v>
      </c>
      <c r="AD6" s="43">
        <v>1162070</v>
      </c>
      <c r="AE6" s="43">
        <v>751975497</v>
      </c>
      <c r="AF6" s="43">
        <v>178270</v>
      </c>
      <c r="AG6" s="43">
        <v>178270</v>
      </c>
      <c r="AH6" s="38">
        <v>44936</v>
      </c>
      <c r="AI6" s="38">
        <v>44986</v>
      </c>
      <c r="AJ6" s="38">
        <v>45352</v>
      </c>
      <c r="AK6" s="38">
        <v>44951</v>
      </c>
      <c r="AL6" s="38">
        <v>45000</v>
      </c>
      <c r="AM6" s="48">
        <v>45383</v>
      </c>
      <c r="AN6" s="42"/>
      <c r="AO6" s="42" t="s">
        <v>79</v>
      </c>
      <c r="AP6" s="42" t="s">
        <v>80</v>
      </c>
      <c r="AQ6" s="42" t="s">
        <v>81</v>
      </c>
      <c r="AR6" s="42" t="s">
        <v>82</v>
      </c>
      <c r="AS6" s="39">
        <v>100</v>
      </c>
      <c r="AT6" s="39">
        <v>0</v>
      </c>
      <c r="AU6" s="39" t="s">
        <v>83</v>
      </c>
      <c r="AV6" s="49">
        <v>10</v>
      </c>
      <c r="AW6" s="39" t="s">
        <v>62</v>
      </c>
      <c r="AX6" s="39">
        <v>10</v>
      </c>
      <c r="AY6" s="30">
        <v>115358517</v>
      </c>
      <c r="AZ6" s="42" t="s">
        <v>63</v>
      </c>
    </row>
    <row r="7" spans="1:52" ht="78.75" customHeight="1" x14ac:dyDescent="0.25">
      <c r="A7" s="37" t="s">
        <v>84</v>
      </c>
      <c r="B7" s="38">
        <v>44671</v>
      </c>
      <c r="C7" s="39">
        <v>1416</v>
      </c>
      <c r="D7" s="37" t="s">
        <v>85</v>
      </c>
      <c r="E7" s="41" t="s">
        <v>86</v>
      </c>
      <c r="F7" s="38">
        <v>44697</v>
      </c>
      <c r="G7" s="39" t="s">
        <v>87</v>
      </c>
      <c r="H7" s="42" t="s">
        <v>88</v>
      </c>
      <c r="I7" s="42" t="s">
        <v>89</v>
      </c>
      <c r="J7" s="43">
        <v>90177300</v>
      </c>
      <c r="K7" s="43" t="s">
        <v>90</v>
      </c>
      <c r="L7" s="43">
        <v>30059100</v>
      </c>
      <c r="M7" s="43">
        <v>0</v>
      </c>
      <c r="N7" s="44">
        <v>0</v>
      </c>
      <c r="O7" s="45">
        <v>0</v>
      </c>
      <c r="P7" s="43">
        <v>90177300</v>
      </c>
      <c r="Q7" s="45">
        <v>0</v>
      </c>
      <c r="R7" s="43">
        <v>30059100</v>
      </c>
      <c r="S7" s="43">
        <v>57112290</v>
      </c>
      <c r="T7" s="30">
        <v>117230490</v>
      </c>
      <c r="U7" s="30">
        <v>12.37</v>
      </c>
      <c r="V7" s="43">
        <v>12.37</v>
      </c>
      <c r="W7" s="43">
        <v>18555</v>
      </c>
      <c r="X7" s="43">
        <v>9477000</v>
      </c>
      <c r="Y7" s="43"/>
      <c r="Z7" s="43"/>
      <c r="AA7" s="43">
        <v>4617000</v>
      </c>
      <c r="AB7" s="43">
        <v>0</v>
      </c>
      <c r="AC7" s="43">
        <v>0</v>
      </c>
      <c r="AD7" s="43">
        <v>4617000</v>
      </c>
      <c r="AE7" s="43">
        <v>57112290</v>
      </c>
      <c r="AF7" s="43">
        <v>4860</v>
      </c>
      <c r="AG7" s="43">
        <v>4860</v>
      </c>
      <c r="AH7" s="38">
        <v>44936</v>
      </c>
      <c r="AI7" s="38">
        <v>44986</v>
      </c>
      <c r="AJ7" s="38">
        <v>45352</v>
      </c>
      <c r="AK7" s="38">
        <v>44951</v>
      </c>
      <c r="AL7" s="38">
        <v>45000</v>
      </c>
      <c r="AM7" s="48">
        <v>45383</v>
      </c>
      <c r="AN7" s="42"/>
      <c r="AO7" s="42" t="s">
        <v>91</v>
      </c>
      <c r="AP7" s="42" t="s">
        <v>92</v>
      </c>
      <c r="AQ7" s="42" t="s">
        <v>93</v>
      </c>
      <c r="AR7" s="42" t="s">
        <v>94</v>
      </c>
      <c r="AS7" s="39">
        <v>0</v>
      </c>
      <c r="AT7" s="39">
        <v>100</v>
      </c>
      <c r="AU7" s="39" t="s">
        <v>95</v>
      </c>
      <c r="AV7" s="49">
        <v>1500</v>
      </c>
      <c r="AW7" s="39" t="s">
        <v>96</v>
      </c>
      <c r="AX7" s="39">
        <v>10</v>
      </c>
      <c r="AY7" s="30">
        <v>9017730</v>
      </c>
      <c r="AZ7" s="42" t="s">
        <v>97</v>
      </c>
    </row>
    <row r="8" spans="1:52" ht="78.75" customHeight="1" x14ac:dyDescent="0.25">
      <c r="A8" s="37" t="s">
        <v>98</v>
      </c>
      <c r="B8" s="38">
        <v>44671</v>
      </c>
      <c r="C8" s="39">
        <v>1416</v>
      </c>
      <c r="D8" s="37" t="s">
        <v>99</v>
      </c>
      <c r="E8" s="41" t="s">
        <v>100</v>
      </c>
      <c r="F8" s="38">
        <v>44697</v>
      </c>
      <c r="G8" s="39" t="s">
        <v>101</v>
      </c>
      <c r="H8" s="42" t="s">
        <v>88</v>
      </c>
      <c r="I8" s="42" t="s">
        <v>102</v>
      </c>
      <c r="J8" s="43">
        <v>39485040</v>
      </c>
      <c r="K8" s="43">
        <v>26323360</v>
      </c>
      <c r="L8" s="43">
        <v>13161680</v>
      </c>
      <c r="M8" s="43">
        <v>0</v>
      </c>
      <c r="N8" s="44">
        <v>0</v>
      </c>
      <c r="O8" s="45">
        <v>0</v>
      </c>
      <c r="P8" s="43">
        <v>39485040</v>
      </c>
      <c r="Q8" s="45">
        <v>0</v>
      </c>
      <c r="R8" s="43">
        <v>13161680</v>
      </c>
      <c r="S8" s="30">
        <v>25005955</v>
      </c>
      <c r="T8" s="30">
        <v>51329315</v>
      </c>
      <c r="U8" s="30">
        <v>12.37</v>
      </c>
      <c r="V8" s="43">
        <v>12.37</v>
      </c>
      <c r="W8" s="43">
        <v>6185</v>
      </c>
      <c r="X8" s="43">
        <v>4149500</v>
      </c>
      <c r="Y8" s="43"/>
      <c r="Z8" s="43"/>
      <c r="AA8" s="43">
        <v>2021500</v>
      </c>
      <c r="AB8" s="43">
        <v>0</v>
      </c>
      <c r="AC8" s="43">
        <v>0</v>
      </c>
      <c r="AD8" s="43">
        <v>2021500</v>
      </c>
      <c r="AE8" s="43">
        <v>25005955</v>
      </c>
      <c r="AF8" s="43">
        <v>6384</v>
      </c>
      <c r="AG8" s="43">
        <v>6384</v>
      </c>
      <c r="AH8" s="38">
        <v>44936</v>
      </c>
      <c r="AI8" s="38">
        <v>44986</v>
      </c>
      <c r="AJ8" s="38">
        <v>45352</v>
      </c>
      <c r="AK8" s="38">
        <v>44941</v>
      </c>
      <c r="AL8" s="38">
        <v>45000</v>
      </c>
      <c r="AM8" s="48">
        <v>45383</v>
      </c>
      <c r="AN8" s="42"/>
      <c r="AO8" s="42" t="s">
        <v>91</v>
      </c>
      <c r="AP8" s="42" t="s">
        <v>103</v>
      </c>
      <c r="AQ8" s="42" t="s">
        <v>93</v>
      </c>
      <c r="AR8" s="42" t="s">
        <v>94</v>
      </c>
      <c r="AS8" s="39">
        <v>0</v>
      </c>
      <c r="AT8" s="39">
        <v>100</v>
      </c>
      <c r="AU8" s="39" t="s">
        <v>95</v>
      </c>
      <c r="AV8" s="49">
        <v>500</v>
      </c>
      <c r="AW8" s="39" t="s">
        <v>96</v>
      </c>
      <c r="AX8" s="39">
        <v>10</v>
      </c>
      <c r="AY8" s="30">
        <v>3948504</v>
      </c>
      <c r="AZ8" s="42" t="s">
        <v>63</v>
      </c>
    </row>
    <row r="9" spans="1:52" ht="78.75" customHeight="1" x14ac:dyDescent="0.25">
      <c r="A9" s="37" t="s">
        <v>104</v>
      </c>
      <c r="B9" s="38">
        <v>44671</v>
      </c>
      <c r="C9" s="39">
        <v>1416</v>
      </c>
      <c r="D9" s="37" t="s">
        <v>105</v>
      </c>
      <c r="E9" s="41" t="s">
        <v>106</v>
      </c>
      <c r="F9" s="38">
        <v>44704</v>
      </c>
      <c r="G9" s="37" t="s">
        <v>107</v>
      </c>
      <c r="H9" s="42" t="s">
        <v>88</v>
      </c>
      <c r="I9" s="42" t="s">
        <v>108</v>
      </c>
      <c r="J9" s="43">
        <v>465000670</v>
      </c>
      <c r="K9" s="43">
        <v>310004570</v>
      </c>
      <c r="L9" s="43">
        <v>154996100</v>
      </c>
      <c r="M9" s="43">
        <v>0</v>
      </c>
      <c r="N9" s="44">
        <v>0</v>
      </c>
      <c r="O9" s="45">
        <v>0</v>
      </c>
      <c r="P9" s="43">
        <v>465000670</v>
      </c>
      <c r="Q9" s="45">
        <v>0</v>
      </c>
      <c r="R9" s="43">
        <v>154996100</v>
      </c>
      <c r="S9" s="30">
        <v>294492590</v>
      </c>
      <c r="T9" s="30">
        <v>604497160</v>
      </c>
      <c r="U9" s="30">
        <v>12.37</v>
      </c>
      <c r="V9" s="43">
        <v>12.37</v>
      </c>
      <c r="W9" s="43">
        <v>12370</v>
      </c>
      <c r="X9" s="43">
        <v>48868000</v>
      </c>
      <c r="Y9" s="43"/>
      <c r="Z9" s="43"/>
      <c r="AA9" s="43">
        <v>23807000</v>
      </c>
      <c r="AB9" s="43">
        <v>0</v>
      </c>
      <c r="AC9" s="43">
        <v>0</v>
      </c>
      <c r="AD9" s="43">
        <v>23807000</v>
      </c>
      <c r="AE9" s="43">
        <v>294492590</v>
      </c>
      <c r="AF9" s="43">
        <v>37591</v>
      </c>
      <c r="AG9" s="43">
        <v>37591</v>
      </c>
      <c r="AH9" s="38">
        <v>44936</v>
      </c>
      <c r="AI9" s="38">
        <v>44986</v>
      </c>
      <c r="AJ9" s="38">
        <v>45352</v>
      </c>
      <c r="AK9" s="38">
        <v>44941</v>
      </c>
      <c r="AL9" s="38">
        <v>45000</v>
      </c>
      <c r="AM9" s="48">
        <v>45383</v>
      </c>
      <c r="AN9" s="42"/>
      <c r="AO9" s="42" t="s">
        <v>91</v>
      </c>
      <c r="AP9" s="42" t="s">
        <v>109</v>
      </c>
      <c r="AQ9" s="42" t="s">
        <v>93</v>
      </c>
      <c r="AR9" s="42" t="s">
        <v>94</v>
      </c>
      <c r="AS9" s="39">
        <v>0</v>
      </c>
      <c r="AT9" s="39">
        <v>100</v>
      </c>
      <c r="AU9" s="39" t="s">
        <v>95</v>
      </c>
      <c r="AV9" s="49">
        <v>1000</v>
      </c>
      <c r="AW9" s="39" t="s">
        <v>62</v>
      </c>
      <c r="AX9" s="39">
        <v>10</v>
      </c>
      <c r="AY9" s="30">
        <v>46500067</v>
      </c>
      <c r="AZ9" s="42" t="s">
        <v>63</v>
      </c>
    </row>
    <row r="10" spans="1:52" ht="78.75" customHeight="1" x14ac:dyDescent="0.25">
      <c r="A10" s="37" t="s">
        <v>110</v>
      </c>
      <c r="B10" s="38">
        <v>44673</v>
      </c>
      <c r="C10" s="39">
        <v>1416</v>
      </c>
      <c r="D10" s="37" t="s">
        <v>111</v>
      </c>
      <c r="E10" s="41" t="s">
        <v>112</v>
      </c>
      <c r="F10" s="38">
        <v>44705</v>
      </c>
      <c r="G10" s="37" t="s">
        <v>113</v>
      </c>
      <c r="H10" s="42" t="s">
        <v>114</v>
      </c>
      <c r="I10" s="42" t="s">
        <v>115</v>
      </c>
      <c r="J10" s="43">
        <v>78920034.480000004</v>
      </c>
      <c r="K10" s="43" t="s">
        <v>116</v>
      </c>
      <c r="L10" s="43" t="s">
        <v>116</v>
      </c>
      <c r="M10" s="43">
        <v>0</v>
      </c>
      <c r="N10" s="44">
        <v>0.49999999695894937</v>
      </c>
      <c r="O10" s="45">
        <v>394600.17000000179</v>
      </c>
      <c r="P10" s="43">
        <v>78525434.310000002</v>
      </c>
      <c r="Q10" s="45">
        <v>-404686.8</v>
      </c>
      <c r="R10" s="43">
        <v>39257673.840000004</v>
      </c>
      <c r="S10" s="30">
        <v>39257673.840000004</v>
      </c>
      <c r="T10" s="30">
        <v>78515347.680000007</v>
      </c>
      <c r="U10" s="30">
        <v>514.1400000000001</v>
      </c>
      <c r="V10" s="43">
        <v>514.1400000000001</v>
      </c>
      <c r="W10" s="43">
        <v>3084.8400000000006</v>
      </c>
      <c r="X10" s="43">
        <v>152712</v>
      </c>
      <c r="Y10" s="43"/>
      <c r="Z10" s="43">
        <v>76356</v>
      </c>
      <c r="AA10" s="43"/>
      <c r="AB10" s="43">
        <v>228</v>
      </c>
      <c r="AC10" s="43">
        <v>117223.92000000003</v>
      </c>
      <c r="AD10" s="43">
        <v>76128</v>
      </c>
      <c r="AE10" s="43">
        <v>39140449.920000009</v>
      </c>
      <c r="AF10" s="43">
        <v>25452</v>
      </c>
      <c r="AG10" s="43">
        <v>25452</v>
      </c>
      <c r="AH10" s="38">
        <v>44958</v>
      </c>
      <c r="AI10" s="38">
        <v>45323</v>
      </c>
      <c r="AJ10" s="38"/>
      <c r="AK10" s="38">
        <v>44986</v>
      </c>
      <c r="AL10" s="38">
        <v>45352</v>
      </c>
      <c r="AM10" s="48"/>
      <c r="AN10" s="42"/>
      <c r="AO10" s="42" t="s">
        <v>117</v>
      </c>
      <c r="AP10" s="42" t="s">
        <v>118</v>
      </c>
      <c r="AQ10" s="42" t="s">
        <v>119</v>
      </c>
      <c r="AR10" s="42" t="s">
        <v>82</v>
      </c>
      <c r="AS10" s="39">
        <v>100</v>
      </c>
      <c r="AT10" s="39">
        <v>0</v>
      </c>
      <c r="AU10" s="39" t="s">
        <v>83</v>
      </c>
      <c r="AV10" s="49">
        <v>6</v>
      </c>
      <c r="AW10" s="39" t="s">
        <v>62</v>
      </c>
      <c r="AX10" s="39">
        <v>10</v>
      </c>
      <c r="AY10" s="30">
        <v>7892003.4480000008</v>
      </c>
      <c r="AZ10" s="42" t="s">
        <v>97</v>
      </c>
    </row>
    <row r="11" spans="1:52" ht="78.75" customHeight="1" x14ac:dyDescent="0.25">
      <c r="A11" s="37" t="s">
        <v>120</v>
      </c>
      <c r="B11" s="38">
        <v>44673</v>
      </c>
      <c r="C11" s="39">
        <v>1416</v>
      </c>
      <c r="D11" s="37" t="s">
        <v>121</v>
      </c>
      <c r="E11" s="41" t="s">
        <v>122</v>
      </c>
      <c r="F11" s="38">
        <v>44711</v>
      </c>
      <c r="G11" s="37" t="s">
        <v>123</v>
      </c>
      <c r="H11" s="42" t="s">
        <v>114</v>
      </c>
      <c r="I11" s="42" t="s">
        <v>124</v>
      </c>
      <c r="J11" s="43">
        <v>2737233000</v>
      </c>
      <c r="K11" s="43">
        <v>1824789645</v>
      </c>
      <c r="L11" s="43">
        <v>912443355</v>
      </c>
      <c r="M11" s="43">
        <v>0</v>
      </c>
      <c r="N11" s="44">
        <v>0</v>
      </c>
      <c r="O11" s="45">
        <v>0</v>
      </c>
      <c r="P11" s="43">
        <v>2737233000</v>
      </c>
      <c r="Q11" s="45">
        <v>0</v>
      </c>
      <c r="R11" s="43">
        <v>912443355</v>
      </c>
      <c r="S11" s="30">
        <v>1733613255</v>
      </c>
      <c r="T11" s="30">
        <v>3558402900</v>
      </c>
      <c r="U11" s="30">
        <v>647.1</v>
      </c>
      <c r="V11" s="43">
        <v>647.1</v>
      </c>
      <c r="W11" s="43" t="e">
        <v>#VALUE!</v>
      </c>
      <c r="X11" s="43">
        <v>5499000</v>
      </c>
      <c r="Y11" s="43"/>
      <c r="Z11" s="43"/>
      <c r="AA11" s="43">
        <v>2679050</v>
      </c>
      <c r="AB11" s="43">
        <v>0</v>
      </c>
      <c r="AC11" s="43">
        <v>0</v>
      </c>
      <c r="AD11" s="43">
        <v>2679050</v>
      </c>
      <c r="AE11" s="43">
        <v>1733613255</v>
      </c>
      <c r="AF11" s="43">
        <v>114013.5</v>
      </c>
      <c r="AG11" s="43">
        <v>114014</v>
      </c>
      <c r="AH11" s="38">
        <v>44936</v>
      </c>
      <c r="AI11" s="38">
        <v>44986</v>
      </c>
      <c r="AJ11" s="38">
        <v>45352</v>
      </c>
      <c r="AK11" s="38">
        <v>44951</v>
      </c>
      <c r="AL11" s="38">
        <v>45000</v>
      </c>
      <c r="AM11" s="48">
        <v>45383</v>
      </c>
      <c r="AN11" s="42"/>
      <c r="AO11" s="42" t="s">
        <v>125</v>
      </c>
      <c r="AP11" s="42" t="s">
        <v>126</v>
      </c>
      <c r="AQ11" s="42" t="s">
        <v>127</v>
      </c>
      <c r="AR11" s="42" t="s">
        <v>82</v>
      </c>
      <c r="AS11" s="39">
        <v>100</v>
      </c>
      <c r="AT11" s="39">
        <v>0</v>
      </c>
      <c r="AU11" s="39" t="s">
        <v>83</v>
      </c>
      <c r="AV11" s="53" t="s">
        <v>128</v>
      </c>
      <c r="AW11" s="39" t="s">
        <v>62</v>
      </c>
      <c r="AX11" s="39">
        <v>10</v>
      </c>
      <c r="AY11" s="30">
        <v>273723300</v>
      </c>
      <c r="AZ11" s="42" t="s">
        <v>63</v>
      </c>
    </row>
    <row r="12" spans="1:52" ht="78.75" customHeight="1" x14ac:dyDescent="0.25">
      <c r="A12" s="37" t="s">
        <v>129</v>
      </c>
      <c r="B12" s="38">
        <v>44673</v>
      </c>
      <c r="C12" s="39">
        <v>1416</v>
      </c>
      <c r="D12" s="37" t="s">
        <v>130</v>
      </c>
      <c r="E12" s="41" t="s">
        <v>131</v>
      </c>
      <c r="F12" s="38">
        <v>44704</v>
      </c>
      <c r="G12" s="37" t="s">
        <v>132</v>
      </c>
      <c r="H12" s="42" t="s">
        <v>114</v>
      </c>
      <c r="I12" s="42" t="s">
        <v>133</v>
      </c>
      <c r="J12" s="43">
        <v>95831540.640000001</v>
      </c>
      <c r="K12" s="43">
        <v>47915770.32</v>
      </c>
      <c r="L12" s="43">
        <v>47915770.32</v>
      </c>
      <c r="M12" s="43">
        <v>0</v>
      </c>
      <c r="N12" s="44">
        <v>0</v>
      </c>
      <c r="O12" s="45">
        <v>0</v>
      </c>
      <c r="P12" s="43">
        <v>95831540.640000001</v>
      </c>
      <c r="Q12" s="45">
        <v>0</v>
      </c>
      <c r="R12" s="43">
        <v>55271866.32</v>
      </c>
      <c r="S12" s="30">
        <v>55271866.32</v>
      </c>
      <c r="T12" s="30">
        <v>103187636.64</v>
      </c>
      <c r="U12" s="30">
        <v>3065.04</v>
      </c>
      <c r="V12" s="43">
        <v>3065.04</v>
      </c>
      <c r="W12" s="43">
        <v>4597.5599999999995</v>
      </c>
      <c r="X12" s="43">
        <v>33666</v>
      </c>
      <c r="Y12" s="43"/>
      <c r="Z12" s="43">
        <v>18033</v>
      </c>
      <c r="AA12" s="43"/>
      <c r="AB12" s="43">
        <v>4732.5</v>
      </c>
      <c r="AC12" s="43">
        <v>14505301.800000001</v>
      </c>
      <c r="AD12" s="43">
        <v>18033</v>
      </c>
      <c r="AE12" s="43">
        <v>55271866.32</v>
      </c>
      <c r="AF12" s="43">
        <v>20844</v>
      </c>
      <c r="AG12" s="43">
        <v>20844</v>
      </c>
      <c r="AH12" s="38">
        <v>44958</v>
      </c>
      <c r="AI12" s="38">
        <v>45352</v>
      </c>
      <c r="AJ12" s="38"/>
      <c r="AK12" s="38">
        <v>44972</v>
      </c>
      <c r="AL12" s="38">
        <v>45383</v>
      </c>
      <c r="AM12" s="48"/>
      <c r="AN12" s="42"/>
      <c r="AO12" s="42" t="s">
        <v>134</v>
      </c>
      <c r="AP12" s="42" t="s">
        <v>135</v>
      </c>
      <c r="AQ12" s="42" t="s">
        <v>136</v>
      </c>
      <c r="AR12" s="42" t="s">
        <v>82</v>
      </c>
      <c r="AS12" s="39">
        <v>100</v>
      </c>
      <c r="AT12" s="39">
        <v>0</v>
      </c>
      <c r="AU12" s="39" t="s">
        <v>83</v>
      </c>
      <c r="AV12" s="54">
        <v>1.5</v>
      </c>
      <c r="AW12" s="39" t="s">
        <v>62</v>
      </c>
      <c r="AX12" s="39">
        <v>10</v>
      </c>
      <c r="AY12" s="30">
        <v>9583154.0639999993</v>
      </c>
      <c r="AZ12" s="42" t="s">
        <v>63</v>
      </c>
    </row>
    <row r="13" spans="1:52" ht="78.75" customHeight="1" x14ac:dyDescent="0.25">
      <c r="A13" s="37" t="s">
        <v>137</v>
      </c>
      <c r="B13" s="38">
        <v>44677</v>
      </c>
      <c r="C13" s="39">
        <v>1416</v>
      </c>
      <c r="D13" s="37" t="s">
        <v>138</v>
      </c>
      <c r="E13" s="41" t="s">
        <v>139</v>
      </c>
      <c r="F13" s="38">
        <v>44712</v>
      </c>
      <c r="G13" s="39" t="s">
        <v>140</v>
      </c>
      <c r="H13" s="42" t="s">
        <v>141</v>
      </c>
      <c r="I13" s="42" t="s">
        <v>142</v>
      </c>
      <c r="J13" s="43">
        <v>2087771400</v>
      </c>
      <c r="K13" s="43" t="s">
        <v>143</v>
      </c>
      <c r="L13" s="43" t="s">
        <v>144</v>
      </c>
      <c r="M13" s="43">
        <v>0</v>
      </c>
      <c r="N13" s="44">
        <v>0</v>
      </c>
      <c r="O13" s="45">
        <v>0</v>
      </c>
      <c r="P13" s="43">
        <v>2087771400</v>
      </c>
      <c r="Q13" s="45">
        <v>0</v>
      </c>
      <c r="R13" s="43">
        <v>717974400</v>
      </c>
      <c r="S13" s="30">
        <v>1344228600</v>
      </c>
      <c r="T13" s="30">
        <v>2714025600</v>
      </c>
      <c r="U13" s="30">
        <v>85800</v>
      </c>
      <c r="V13" s="43">
        <v>85800</v>
      </c>
      <c r="W13" s="43">
        <v>85800</v>
      </c>
      <c r="X13" s="43">
        <v>31632</v>
      </c>
      <c r="Y13" s="43"/>
      <c r="Z13" s="55"/>
      <c r="AA13" s="43">
        <v>15667</v>
      </c>
      <c r="AB13" s="43">
        <v>8</v>
      </c>
      <c r="AC13" s="43">
        <v>686400</v>
      </c>
      <c r="AD13" s="43">
        <v>15659</v>
      </c>
      <c r="AE13" s="43">
        <v>1343542200</v>
      </c>
      <c r="AF13" s="43">
        <v>24333</v>
      </c>
      <c r="AG13" s="43">
        <v>24333</v>
      </c>
      <c r="AH13" s="38">
        <v>44936</v>
      </c>
      <c r="AI13" s="38">
        <v>44986</v>
      </c>
      <c r="AJ13" s="38">
        <v>45323</v>
      </c>
      <c r="AK13" s="38">
        <v>44958</v>
      </c>
      <c r="AL13" s="38">
        <v>45000</v>
      </c>
      <c r="AM13" s="48">
        <v>45352</v>
      </c>
      <c r="AN13" s="42"/>
      <c r="AO13" s="42" t="s">
        <v>145</v>
      </c>
      <c r="AP13" s="42" t="s">
        <v>146</v>
      </c>
      <c r="AQ13" s="42" t="s">
        <v>147</v>
      </c>
      <c r="AR13" s="42" t="s">
        <v>148</v>
      </c>
      <c r="AS13" s="39">
        <v>0</v>
      </c>
      <c r="AT13" s="39">
        <v>100</v>
      </c>
      <c r="AU13" s="39" t="s">
        <v>61</v>
      </c>
      <c r="AV13" s="49">
        <v>1</v>
      </c>
      <c r="AW13" s="39" t="s">
        <v>62</v>
      </c>
      <c r="AX13" s="39">
        <v>10</v>
      </c>
      <c r="AY13" s="30">
        <v>208777140</v>
      </c>
      <c r="AZ13" s="42" t="s">
        <v>63</v>
      </c>
    </row>
    <row r="14" spans="1:52" ht="76.5" customHeight="1" x14ac:dyDescent="0.25">
      <c r="A14" s="37" t="s">
        <v>149</v>
      </c>
      <c r="B14" s="38">
        <v>44677</v>
      </c>
      <c r="C14" s="39">
        <v>1416</v>
      </c>
      <c r="D14" s="37" t="s">
        <v>150</v>
      </c>
      <c r="E14" s="41" t="s">
        <v>151</v>
      </c>
      <c r="F14" s="38">
        <v>44711</v>
      </c>
      <c r="G14" s="37" t="s">
        <v>152</v>
      </c>
      <c r="H14" s="42" t="s">
        <v>54</v>
      </c>
      <c r="I14" s="42" t="s">
        <v>153</v>
      </c>
      <c r="J14" s="43">
        <v>2082265948.3499999</v>
      </c>
      <c r="K14" s="43" t="s">
        <v>154</v>
      </c>
      <c r="L14" s="43" t="s">
        <v>155</v>
      </c>
      <c r="M14" s="43">
        <v>0</v>
      </c>
      <c r="N14" s="44">
        <v>0</v>
      </c>
      <c r="O14" s="45">
        <v>0</v>
      </c>
      <c r="P14" s="43">
        <v>2082265948.3499999</v>
      </c>
      <c r="Q14" s="45">
        <v>0</v>
      </c>
      <c r="R14" s="43">
        <v>694979649</v>
      </c>
      <c r="S14" s="30">
        <v>694979649</v>
      </c>
      <c r="T14" s="30">
        <v>2082265948.3499999</v>
      </c>
      <c r="U14" s="30">
        <v>14142.849999999999</v>
      </c>
      <c r="V14" s="43">
        <v>14142.849999999999</v>
      </c>
      <c r="W14" s="43">
        <v>296999.84999999998</v>
      </c>
      <c r="X14" s="43">
        <v>147231</v>
      </c>
      <c r="Y14" s="43"/>
      <c r="Z14" s="43"/>
      <c r="AA14" s="43">
        <v>49140</v>
      </c>
      <c r="AB14" s="43">
        <v>0</v>
      </c>
      <c r="AC14" s="43">
        <v>0</v>
      </c>
      <c r="AD14" s="43">
        <v>49140</v>
      </c>
      <c r="AE14" s="43">
        <v>694979648.99999988</v>
      </c>
      <c r="AF14" s="43">
        <v>7011</v>
      </c>
      <c r="AG14" s="43">
        <v>7011</v>
      </c>
      <c r="AH14" s="38">
        <v>44936</v>
      </c>
      <c r="AI14" s="38">
        <v>44986</v>
      </c>
      <c r="AJ14" s="38">
        <v>45352</v>
      </c>
      <c r="AK14" s="38">
        <v>44951</v>
      </c>
      <c r="AL14" s="38">
        <v>45000</v>
      </c>
      <c r="AM14" s="48">
        <v>45383</v>
      </c>
      <c r="AN14" s="42"/>
      <c r="AO14" s="42" t="s">
        <v>156</v>
      </c>
      <c r="AP14" s="42" t="s">
        <v>157</v>
      </c>
      <c r="AQ14" s="42" t="s">
        <v>158</v>
      </c>
      <c r="AR14" s="42" t="s">
        <v>82</v>
      </c>
      <c r="AS14" s="39">
        <v>100</v>
      </c>
      <c r="AT14" s="39">
        <v>0</v>
      </c>
      <c r="AU14" s="39" t="s">
        <v>61</v>
      </c>
      <c r="AV14" s="49">
        <v>21</v>
      </c>
      <c r="AW14" s="39" t="s">
        <v>62</v>
      </c>
      <c r="AX14" s="39">
        <v>10</v>
      </c>
      <c r="AY14" s="30">
        <v>208226594.83500001</v>
      </c>
      <c r="AZ14" s="42" t="s">
        <v>63</v>
      </c>
    </row>
    <row r="15" spans="1:52" ht="76.5" customHeight="1" x14ac:dyDescent="0.25">
      <c r="A15" s="37" t="s">
        <v>159</v>
      </c>
      <c r="B15" s="38">
        <v>44678</v>
      </c>
      <c r="C15" s="39">
        <v>1416</v>
      </c>
      <c r="D15" s="37" t="s">
        <v>160</v>
      </c>
      <c r="E15" s="41" t="s">
        <v>161</v>
      </c>
      <c r="F15" s="38">
        <v>44720</v>
      </c>
      <c r="G15" s="37" t="s">
        <v>162</v>
      </c>
      <c r="H15" s="42" t="s">
        <v>114</v>
      </c>
      <c r="I15" s="42" t="s">
        <v>163</v>
      </c>
      <c r="J15" s="43">
        <v>2419113638.4000001</v>
      </c>
      <c r="K15" s="43" t="s">
        <v>164</v>
      </c>
      <c r="L15" s="43" t="s">
        <v>164</v>
      </c>
      <c r="M15" s="43">
        <v>0</v>
      </c>
      <c r="N15" s="44">
        <v>0</v>
      </c>
      <c r="O15" s="45">
        <v>0</v>
      </c>
      <c r="P15" s="43">
        <v>2419113638.4000001</v>
      </c>
      <c r="Q15" s="45">
        <v>0</v>
      </c>
      <c r="R15" s="43">
        <v>1209556819.2</v>
      </c>
      <c r="S15" s="30">
        <v>1209556819.2</v>
      </c>
      <c r="T15" s="30">
        <v>2419113638.4000001</v>
      </c>
      <c r="U15" s="30">
        <v>6006.4000000000005</v>
      </c>
      <c r="V15" s="43">
        <v>6006.4000000000005</v>
      </c>
      <c r="W15" s="43">
        <v>9009.6</v>
      </c>
      <c r="X15" s="43">
        <v>402756</v>
      </c>
      <c r="Y15" s="43"/>
      <c r="Z15" s="43">
        <v>201378</v>
      </c>
      <c r="AA15" s="43"/>
      <c r="AB15" s="43">
        <v>7902</v>
      </c>
      <c r="AC15" s="43">
        <v>47462572.800000004</v>
      </c>
      <c r="AD15" s="43">
        <v>193476</v>
      </c>
      <c r="AE15" s="43">
        <v>1162094246.4000001</v>
      </c>
      <c r="AF15" s="43">
        <v>268504</v>
      </c>
      <c r="AG15" s="43">
        <v>268504</v>
      </c>
      <c r="AH15" s="38">
        <v>44958</v>
      </c>
      <c r="AI15" s="38">
        <v>45352</v>
      </c>
      <c r="AJ15" s="38"/>
      <c r="AK15" s="38">
        <v>44972</v>
      </c>
      <c r="AL15" s="38">
        <v>45383</v>
      </c>
      <c r="AM15" s="48"/>
      <c r="AN15" s="42"/>
      <c r="AO15" s="42" t="s">
        <v>134</v>
      </c>
      <c r="AP15" s="42" t="s">
        <v>165</v>
      </c>
      <c r="AQ15" s="42" t="s">
        <v>136</v>
      </c>
      <c r="AR15" s="42" t="s">
        <v>82</v>
      </c>
      <c r="AS15" s="39">
        <v>100</v>
      </c>
      <c r="AT15" s="39">
        <v>0</v>
      </c>
      <c r="AU15" s="39" t="s">
        <v>83</v>
      </c>
      <c r="AV15" s="49">
        <v>1.5</v>
      </c>
      <c r="AW15" s="39" t="s">
        <v>62</v>
      </c>
      <c r="AX15" s="39">
        <v>10</v>
      </c>
      <c r="AY15" s="30">
        <v>241911363.84</v>
      </c>
      <c r="AZ15" s="42" t="s">
        <v>63</v>
      </c>
    </row>
    <row r="16" spans="1:52" ht="76.5" customHeight="1" x14ac:dyDescent="0.25">
      <c r="A16" s="37" t="s">
        <v>166</v>
      </c>
      <c r="B16" s="38">
        <v>44678</v>
      </c>
      <c r="C16" s="39">
        <v>1416</v>
      </c>
      <c r="D16" s="37" t="s">
        <v>167</v>
      </c>
      <c r="E16" s="41" t="s">
        <v>168</v>
      </c>
      <c r="F16" s="38">
        <v>44711</v>
      </c>
      <c r="G16" s="37" t="s">
        <v>169</v>
      </c>
      <c r="H16" s="42" t="s">
        <v>54</v>
      </c>
      <c r="I16" s="42" t="s">
        <v>170</v>
      </c>
      <c r="J16" s="43">
        <v>11608792.560000001</v>
      </c>
      <c r="K16" s="43" t="s">
        <v>171</v>
      </c>
      <c r="L16" s="43" t="s">
        <v>171</v>
      </c>
      <c r="M16" s="43">
        <v>0</v>
      </c>
      <c r="N16" s="44">
        <v>0</v>
      </c>
      <c r="O16" s="45">
        <v>0</v>
      </c>
      <c r="P16" s="43">
        <v>11608792.560000001</v>
      </c>
      <c r="Q16" s="45">
        <v>0</v>
      </c>
      <c r="R16" s="43">
        <v>5804396.2800000003</v>
      </c>
      <c r="S16" s="30">
        <v>5061973.5</v>
      </c>
      <c r="T16" s="30">
        <v>10866369.779999999</v>
      </c>
      <c r="U16" s="30">
        <v>22497.66</v>
      </c>
      <c r="V16" s="43">
        <v>22497.66</v>
      </c>
      <c r="W16" s="43">
        <v>44995.32</v>
      </c>
      <c r="X16" s="43">
        <v>483</v>
      </c>
      <c r="Y16" s="43"/>
      <c r="Z16" s="43">
        <v>225</v>
      </c>
      <c r="AA16" s="43"/>
      <c r="AB16" s="43">
        <v>0</v>
      </c>
      <c r="AC16" s="43">
        <v>0</v>
      </c>
      <c r="AD16" s="43">
        <v>225</v>
      </c>
      <c r="AE16" s="43">
        <v>5061973.5</v>
      </c>
      <c r="AF16" s="43">
        <v>258</v>
      </c>
      <c r="AG16" s="43">
        <v>258</v>
      </c>
      <c r="AH16" s="38">
        <v>44958</v>
      </c>
      <c r="AI16" s="38">
        <v>45352</v>
      </c>
      <c r="AJ16" s="38"/>
      <c r="AK16" s="38">
        <v>44972</v>
      </c>
      <c r="AL16" s="38">
        <v>45383</v>
      </c>
      <c r="AM16" s="48"/>
      <c r="AN16" s="42"/>
      <c r="AO16" s="42" t="s">
        <v>172</v>
      </c>
      <c r="AP16" s="42" t="s">
        <v>173</v>
      </c>
      <c r="AQ16" s="42" t="s">
        <v>174</v>
      </c>
      <c r="AR16" s="42" t="s">
        <v>94</v>
      </c>
      <c r="AS16" s="39">
        <v>0</v>
      </c>
      <c r="AT16" s="39">
        <v>100</v>
      </c>
      <c r="AU16" s="39" t="s">
        <v>61</v>
      </c>
      <c r="AV16" s="49">
        <v>2</v>
      </c>
      <c r="AW16" s="39" t="s">
        <v>62</v>
      </c>
      <c r="AX16" s="39">
        <v>10</v>
      </c>
      <c r="AY16" s="30">
        <v>1160879.2560000001</v>
      </c>
      <c r="AZ16" s="42" t="s">
        <v>63</v>
      </c>
    </row>
    <row r="17" spans="1:52" ht="76.5" customHeight="1" x14ac:dyDescent="0.25">
      <c r="A17" s="37" t="s">
        <v>175</v>
      </c>
      <c r="B17" s="38">
        <v>44678</v>
      </c>
      <c r="C17" s="39">
        <v>1416</v>
      </c>
      <c r="D17" s="37" t="s">
        <v>176</v>
      </c>
      <c r="E17" s="41" t="s">
        <v>177</v>
      </c>
      <c r="F17" s="38">
        <v>44711</v>
      </c>
      <c r="G17" s="37" t="s">
        <v>178</v>
      </c>
      <c r="H17" s="42" t="s">
        <v>88</v>
      </c>
      <c r="I17" s="42" t="s">
        <v>179</v>
      </c>
      <c r="J17" s="43">
        <v>200319360</v>
      </c>
      <c r="K17" s="43" t="s">
        <v>180</v>
      </c>
      <c r="L17" s="43" t="s">
        <v>181</v>
      </c>
      <c r="M17" s="43">
        <v>0</v>
      </c>
      <c r="N17" s="44">
        <v>0</v>
      </c>
      <c r="O17" s="45">
        <v>0</v>
      </c>
      <c r="P17" s="43">
        <v>200319360</v>
      </c>
      <c r="Q17" s="45">
        <v>0</v>
      </c>
      <c r="R17" s="43">
        <v>67241760</v>
      </c>
      <c r="S17" s="30">
        <v>127332720</v>
      </c>
      <c r="T17" s="30">
        <v>260410320</v>
      </c>
      <c r="U17" s="30">
        <v>12.12</v>
      </c>
      <c r="V17" s="43">
        <v>12.12</v>
      </c>
      <c r="W17" s="43">
        <v>24240</v>
      </c>
      <c r="X17" s="43">
        <v>21486000</v>
      </c>
      <c r="Y17" s="43"/>
      <c r="Z17" s="43"/>
      <c r="AA17" s="43">
        <v>10506000</v>
      </c>
      <c r="AB17" s="43">
        <v>0</v>
      </c>
      <c r="AC17" s="43">
        <v>0</v>
      </c>
      <c r="AD17" s="43">
        <v>10506000</v>
      </c>
      <c r="AE17" s="43">
        <v>127332719.99999999</v>
      </c>
      <c r="AF17" s="43">
        <v>8264</v>
      </c>
      <c r="AG17" s="43">
        <v>8264</v>
      </c>
      <c r="AH17" s="38">
        <v>44967</v>
      </c>
      <c r="AI17" s="38">
        <v>44986</v>
      </c>
      <c r="AJ17" s="38">
        <v>45352</v>
      </c>
      <c r="AK17" s="38">
        <v>44982</v>
      </c>
      <c r="AL17" s="38">
        <v>45000</v>
      </c>
      <c r="AM17" s="48">
        <v>45383</v>
      </c>
      <c r="AN17" s="42"/>
      <c r="AO17" s="42" t="s">
        <v>91</v>
      </c>
      <c r="AP17" s="42" t="s">
        <v>182</v>
      </c>
      <c r="AQ17" s="42" t="s">
        <v>93</v>
      </c>
      <c r="AR17" s="42" t="s">
        <v>94</v>
      </c>
      <c r="AS17" s="39">
        <v>0</v>
      </c>
      <c r="AT17" s="39">
        <v>100</v>
      </c>
      <c r="AU17" s="39" t="s">
        <v>95</v>
      </c>
      <c r="AV17" s="49">
        <v>2000</v>
      </c>
      <c r="AW17" s="39" t="s">
        <v>62</v>
      </c>
      <c r="AX17" s="39">
        <v>10</v>
      </c>
      <c r="AY17" s="30">
        <v>20031936</v>
      </c>
      <c r="AZ17" s="42" t="s">
        <v>63</v>
      </c>
    </row>
    <row r="18" spans="1:52" ht="76.5" customHeight="1" x14ac:dyDescent="0.25">
      <c r="A18" s="37" t="s">
        <v>183</v>
      </c>
      <c r="B18" s="38">
        <v>44678</v>
      </c>
      <c r="C18" s="39">
        <v>1416</v>
      </c>
      <c r="D18" s="37" t="s">
        <v>184</v>
      </c>
      <c r="E18" s="41" t="s">
        <v>185</v>
      </c>
      <c r="F18" s="38">
        <v>44711</v>
      </c>
      <c r="G18" s="37" t="s">
        <v>186</v>
      </c>
      <c r="H18" s="42" t="s">
        <v>54</v>
      </c>
      <c r="I18" s="42" t="s">
        <v>187</v>
      </c>
      <c r="J18" s="43">
        <v>9624025.5999999996</v>
      </c>
      <c r="K18" s="43" t="s">
        <v>188</v>
      </c>
      <c r="L18" s="43" t="s">
        <v>188</v>
      </c>
      <c r="M18" s="43">
        <v>0</v>
      </c>
      <c r="N18" s="44">
        <v>0</v>
      </c>
      <c r="O18" s="45">
        <v>0</v>
      </c>
      <c r="P18" s="43">
        <v>9624025.5999999996</v>
      </c>
      <c r="Q18" s="45">
        <v>0</v>
      </c>
      <c r="R18" s="43">
        <v>4812012.8</v>
      </c>
      <c r="S18" s="30">
        <v>6015016</v>
      </c>
      <c r="T18" s="30">
        <v>10827028.800000001</v>
      </c>
      <c r="U18" s="30">
        <v>8592.880000000001</v>
      </c>
      <c r="V18" s="43">
        <v>8592.880000000001</v>
      </c>
      <c r="W18" s="43">
        <v>34371.520000000004</v>
      </c>
      <c r="X18" s="43">
        <v>1260</v>
      </c>
      <c r="Y18" s="43"/>
      <c r="Z18" s="43">
        <v>700</v>
      </c>
      <c r="AA18" s="43"/>
      <c r="AB18" s="43">
        <v>96</v>
      </c>
      <c r="AC18" s="43">
        <v>824916.4800000001</v>
      </c>
      <c r="AD18" s="43">
        <v>604</v>
      </c>
      <c r="AE18" s="43">
        <v>5190099.5200000005</v>
      </c>
      <c r="AF18" s="43">
        <v>280</v>
      </c>
      <c r="AG18" s="43">
        <v>280</v>
      </c>
      <c r="AH18" s="38">
        <v>44986</v>
      </c>
      <c r="AI18" s="38">
        <v>45352</v>
      </c>
      <c r="AJ18" s="38"/>
      <c r="AK18" s="38">
        <v>45000</v>
      </c>
      <c r="AL18" s="48">
        <v>45383</v>
      </c>
      <c r="AM18" s="48"/>
      <c r="AN18" s="42"/>
      <c r="AO18" s="42" t="s">
        <v>189</v>
      </c>
      <c r="AP18" s="42" t="s">
        <v>190</v>
      </c>
      <c r="AQ18" s="42" t="s">
        <v>191</v>
      </c>
      <c r="AR18" s="42" t="s">
        <v>60</v>
      </c>
      <c r="AS18" s="50">
        <v>0</v>
      </c>
      <c r="AT18" s="39">
        <v>100</v>
      </c>
      <c r="AU18" s="39" t="s">
        <v>83</v>
      </c>
      <c r="AV18" s="49">
        <v>4</v>
      </c>
      <c r="AW18" s="39" t="s">
        <v>62</v>
      </c>
      <c r="AX18" s="39">
        <v>10</v>
      </c>
      <c r="AY18" s="30">
        <v>962402.56</v>
      </c>
      <c r="AZ18" s="42" t="s">
        <v>97</v>
      </c>
    </row>
    <row r="19" spans="1:52" ht="76.5" customHeight="1" x14ac:dyDescent="0.25">
      <c r="A19" s="37" t="s">
        <v>192</v>
      </c>
      <c r="B19" s="38">
        <v>44679</v>
      </c>
      <c r="C19" s="39">
        <v>1416</v>
      </c>
      <c r="D19" s="37" t="s">
        <v>193</v>
      </c>
      <c r="E19" s="41" t="s">
        <v>194</v>
      </c>
      <c r="F19" s="38">
        <v>44711</v>
      </c>
      <c r="G19" s="37" t="s">
        <v>195</v>
      </c>
      <c r="H19" s="42" t="s">
        <v>54</v>
      </c>
      <c r="I19" s="42" t="s">
        <v>196</v>
      </c>
      <c r="J19" s="43">
        <v>44846945.640000001</v>
      </c>
      <c r="K19" s="43" t="s">
        <v>197</v>
      </c>
      <c r="L19" s="43" t="s">
        <v>197</v>
      </c>
      <c r="M19" s="43">
        <v>0</v>
      </c>
      <c r="N19" s="44">
        <v>0</v>
      </c>
      <c r="O19" s="45">
        <v>0</v>
      </c>
      <c r="P19" s="43">
        <v>44846945.640000001</v>
      </c>
      <c r="Q19" s="45">
        <v>0</v>
      </c>
      <c r="R19" s="43">
        <v>22423472.82</v>
      </c>
      <c r="S19" s="30">
        <v>35788456.619999997</v>
      </c>
      <c r="T19" s="30">
        <v>58211929.439999998</v>
      </c>
      <c r="U19" s="30">
        <v>7071.42</v>
      </c>
      <c r="V19" s="43">
        <v>7071.42</v>
      </c>
      <c r="W19" s="43">
        <v>148499.82</v>
      </c>
      <c r="X19" s="43">
        <v>8232</v>
      </c>
      <c r="Y19" s="43"/>
      <c r="Z19" s="43">
        <v>5061</v>
      </c>
      <c r="AA19" s="43"/>
      <c r="AB19" s="43">
        <v>0</v>
      </c>
      <c r="AC19" s="43">
        <v>0</v>
      </c>
      <c r="AD19" s="43">
        <v>5061</v>
      </c>
      <c r="AE19" s="43">
        <v>35788456.619999997</v>
      </c>
      <c r="AF19" s="43">
        <v>302</v>
      </c>
      <c r="AG19" s="43">
        <v>302</v>
      </c>
      <c r="AH19" s="38">
        <v>44986</v>
      </c>
      <c r="AI19" s="38">
        <v>45352</v>
      </c>
      <c r="AJ19" s="38"/>
      <c r="AK19" s="38">
        <v>45000</v>
      </c>
      <c r="AL19" s="48">
        <v>45383</v>
      </c>
      <c r="AM19" s="48"/>
      <c r="AN19" s="42"/>
      <c r="AO19" s="42" t="s">
        <v>198</v>
      </c>
      <c r="AP19" s="42" t="s">
        <v>199</v>
      </c>
      <c r="AQ19" s="42" t="s">
        <v>200</v>
      </c>
      <c r="AR19" s="42" t="s">
        <v>82</v>
      </c>
      <c r="AS19" s="50">
        <v>100</v>
      </c>
      <c r="AT19" s="39">
        <v>0</v>
      </c>
      <c r="AU19" s="39" t="s">
        <v>61</v>
      </c>
      <c r="AV19" s="49">
        <v>21</v>
      </c>
      <c r="AW19" s="39" t="s">
        <v>62</v>
      </c>
      <c r="AX19" s="39">
        <v>10</v>
      </c>
      <c r="AY19" s="30">
        <v>4484694.5639999993</v>
      </c>
      <c r="AZ19" s="42" t="s">
        <v>63</v>
      </c>
    </row>
    <row r="20" spans="1:52" ht="76.5" customHeight="1" x14ac:dyDescent="0.25">
      <c r="A20" s="37" t="s">
        <v>201</v>
      </c>
      <c r="B20" s="38">
        <v>44680</v>
      </c>
      <c r="C20" s="39">
        <v>1416</v>
      </c>
      <c r="D20" s="37" t="s">
        <v>202</v>
      </c>
      <c r="E20" s="41" t="s">
        <v>203</v>
      </c>
      <c r="F20" s="38">
        <v>44713</v>
      </c>
      <c r="G20" s="37" t="s">
        <v>204</v>
      </c>
      <c r="H20" s="42" t="s">
        <v>205</v>
      </c>
      <c r="I20" s="42" t="s">
        <v>206</v>
      </c>
      <c r="J20" s="43">
        <v>761678714.15999997</v>
      </c>
      <c r="K20" s="43" t="s">
        <v>207</v>
      </c>
      <c r="L20" s="43" t="s">
        <v>207</v>
      </c>
      <c r="M20" s="43">
        <v>0</v>
      </c>
      <c r="N20" s="44">
        <v>1.0000000706859646</v>
      </c>
      <c r="O20" s="45">
        <v>7616787.6799999475</v>
      </c>
      <c r="P20" s="43">
        <v>754061926.48000002</v>
      </c>
      <c r="Q20" s="45">
        <v>-7622050.7999999523</v>
      </c>
      <c r="R20" s="43">
        <v>377028331.68000001</v>
      </c>
      <c r="S20" s="30">
        <v>377028331.68000001</v>
      </c>
      <c r="T20" s="30">
        <v>754056663.36000001</v>
      </c>
      <c r="U20" s="30">
        <v>4412.32</v>
      </c>
      <c r="V20" s="43">
        <v>4412.32</v>
      </c>
      <c r="W20" s="43">
        <v>92658.72</v>
      </c>
      <c r="X20" s="43">
        <v>170898</v>
      </c>
      <c r="Y20" s="43"/>
      <c r="Z20" s="43">
        <v>85449</v>
      </c>
      <c r="AA20" s="43"/>
      <c r="AB20" s="43">
        <v>0</v>
      </c>
      <c r="AC20" s="43">
        <v>0</v>
      </c>
      <c r="AD20" s="43">
        <v>85449</v>
      </c>
      <c r="AE20" s="43">
        <v>377028331.67999995</v>
      </c>
      <c r="AF20" s="43">
        <v>8138</v>
      </c>
      <c r="AG20" s="43">
        <v>8138</v>
      </c>
      <c r="AH20" s="38">
        <v>44958</v>
      </c>
      <c r="AI20" s="38">
        <v>45352</v>
      </c>
      <c r="AJ20" s="38"/>
      <c r="AK20" s="38">
        <v>44972</v>
      </c>
      <c r="AL20" s="48">
        <v>45383</v>
      </c>
      <c r="AM20" s="48"/>
      <c r="AN20" s="42"/>
      <c r="AO20" s="42" t="s">
        <v>208</v>
      </c>
      <c r="AP20" s="42" t="s">
        <v>209</v>
      </c>
      <c r="AQ20" s="42" t="s">
        <v>210</v>
      </c>
      <c r="AR20" s="42" t="s">
        <v>82</v>
      </c>
      <c r="AS20" s="39">
        <v>100</v>
      </c>
      <c r="AT20" s="39">
        <v>0</v>
      </c>
      <c r="AU20" s="39" t="s">
        <v>61</v>
      </c>
      <c r="AV20" s="53">
        <v>21</v>
      </c>
      <c r="AW20" s="39" t="s">
        <v>62</v>
      </c>
      <c r="AX20" s="39">
        <v>10</v>
      </c>
      <c r="AY20" s="30">
        <v>76167871.415999994</v>
      </c>
      <c r="AZ20" s="42" t="s">
        <v>63</v>
      </c>
    </row>
    <row r="21" spans="1:52" ht="76.5" customHeight="1" x14ac:dyDescent="0.25">
      <c r="A21" s="37" t="s">
        <v>211</v>
      </c>
      <c r="B21" s="38">
        <v>44680</v>
      </c>
      <c r="C21" s="39">
        <v>1416</v>
      </c>
      <c r="D21" s="37" t="s">
        <v>212</v>
      </c>
      <c r="E21" s="41" t="s">
        <v>213</v>
      </c>
      <c r="F21" s="38">
        <v>44712</v>
      </c>
      <c r="G21" s="37" t="s">
        <v>214</v>
      </c>
      <c r="H21" s="42" t="s">
        <v>215</v>
      </c>
      <c r="I21" s="42" t="s">
        <v>216</v>
      </c>
      <c r="J21" s="43">
        <v>61486783.68</v>
      </c>
      <c r="K21" s="43" t="s">
        <v>217</v>
      </c>
      <c r="L21" s="43" t="s">
        <v>217</v>
      </c>
      <c r="M21" s="43">
        <v>0</v>
      </c>
      <c r="N21" s="44">
        <v>2.5000000130109288</v>
      </c>
      <c r="O21" s="45">
        <v>1537169.6000000015</v>
      </c>
      <c r="P21" s="43">
        <v>59949614.079999998</v>
      </c>
      <c r="Q21" s="45">
        <v>-1537213.4399999976</v>
      </c>
      <c r="R21" s="43">
        <v>29974785.120000001</v>
      </c>
      <c r="S21" s="30">
        <v>29974785.120000001</v>
      </c>
      <c r="T21" s="30">
        <v>59949570.240000002</v>
      </c>
      <c r="U21" s="30">
        <v>3076.23</v>
      </c>
      <c r="V21" s="43">
        <v>3076.23</v>
      </c>
      <c r="W21" s="43">
        <v>64600.83</v>
      </c>
      <c r="X21" s="43">
        <v>19488</v>
      </c>
      <c r="Y21" s="43"/>
      <c r="Z21" s="43">
        <v>9744</v>
      </c>
      <c r="AA21" s="43"/>
      <c r="AB21" s="43">
        <v>0</v>
      </c>
      <c r="AC21" s="43">
        <v>0</v>
      </c>
      <c r="AD21" s="43">
        <v>9744</v>
      </c>
      <c r="AE21" s="43">
        <v>29974785.120000001</v>
      </c>
      <c r="AF21" s="43">
        <v>928</v>
      </c>
      <c r="AG21" s="43">
        <v>928</v>
      </c>
      <c r="AH21" s="38">
        <v>44958</v>
      </c>
      <c r="AI21" s="38">
        <v>45292</v>
      </c>
      <c r="AJ21" s="38"/>
      <c r="AK21" s="38">
        <v>44972</v>
      </c>
      <c r="AL21" s="38">
        <v>45366</v>
      </c>
      <c r="AM21" s="48"/>
      <c r="AN21" s="42"/>
      <c r="AO21" s="42" t="s">
        <v>218</v>
      </c>
      <c r="AP21" s="42" t="s">
        <v>219</v>
      </c>
      <c r="AQ21" s="42" t="s">
        <v>220</v>
      </c>
      <c r="AR21" s="42" t="s">
        <v>82</v>
      </c>
      <c r="AS21" s="39">
        <v>100</v>
      </c>
      <c r="AT21" s="39">
        <v>0</v>
      </c>
      <c r="AU21" s="39" t="s">
        <v>61</v>
      </c>
      <c r="AV21" s="53">
        <v>21</v>
      </c>
      <c r="AW21" s="39" t="s">
        <v>221</v>
      </c>
      <c r="AX21" s="39">
        <v>10</v>
      </c>
      <c r="AY21" s="30">
        <v>6148678.3679999998</v>
      </c>
      <c r="AZ21" s="42" t="s">
        <v>63</v>
      </c>
    </row>
    <row r="22" spans="1:52" ht="76.5" customHeight="1" x14ac:dyDescent="0.25">
      <c r="A22" s="37" t="s">
        <v>222</v>
      </c>
      <c r="B22" s="38">
        <v>44680</v>
      </c>
      <c r="C22" s="39">
        <v>1416</v>
      </c>
      <c r="D22" s="37" t="s">
        <v>223</v>
      </c>
      <c r="E22" s="41" t="s">
        <v>224</v>
      </c>
      <c r="F22" s="38">
        <v>44714</v>
      </c>
      <c r="G22" s="37" t="s">
        <v>225</v>
      </c>
      <c r="H22" s="42" t="s">
        <v>226</v>
      </c>
      <c r="I22" s="42" t="s">
        <v>227</v>
      </c>
      <c r="J22" s="43">
        <v>3291225799.6799998</v>
      </c>
      <c r="K22" s="43" t="s">
        <v>228</v>
      </c>
      <c r="L22" s="43" t="s">
        <v>228</v>
      </c>
      <c r="M22" s="43">
        <v>0</v>
      </c>
      <c r="N22" s="44">
        <v>0.50000001706354957</v>
      </c>
      <c r="O22" s="45">
        <v>16456129.559999943</v>
      </c>
      <c r="P22" s="43">
        <v>3274769670.1199999</v>
      </c>
      <c r="Q22" s="45">
        <v>-16460962.559999943</v>
      </c>
      <c r="R22" s="43">
        <v>1637382418.5599999</v>
      </c>
      <c r="S22" s="30">
        <v>1454542881.1199999</v>
      </c>
      <c r="T22" s="43">
        <v>3091925299.6799998</v>
      </c>
      <c r="U22" s="30">
        <v>4333.33</v>
      </c>
      <c r="V22" s="43">
        <v>4605.6849999999995</v>
      </c>
      <c r="W22" s="43">
        <v>96719.384999999995</v>
      </c>
      <c r="X22" s="43">
        <v>671328</v>
      </c>
      <c r="Y22" s="43"/>
      <c r="Z22" s="43">
        <v>335664</v>
      </c>
      <c r="AA22" s="43"/>
      <c r="AB22" s="43">
        <v>983</v>
      </c>
      <c r="AC22" s="43">
        <v>4527388.3549999995</v>
      </c>
      <c r="AD22" s="43">
        <v>334681</v>
      </c>
      <c r="AE22" s="43">
        <v>1541435261.4849999</v>
      </c>
      <c r="AF22" s="43">
        <v>0</v>
      </c>
      <c r="AG22" s="43">
        <v>0</v>
      </c>
      <c r="AH22" s="38">
        <v>44958</v>
      </c>
      <c r="AI22" s="38">
        <v>45352</v>
      </c>
      <c r="AJ22" s="38"/>
      <c r="AK22" s="38">
        <v>44972</v>
      </c>
      <c r="AL22" s="38">
        <v>45383</v>
      </c>
      <c r="AM22" s="48"/>
      <c r="AN22" s="42"/>
      <c r="AO22" s="42" t="s">
        <v>229</v>
      </c>
      <c r="AP22" s="42" t="s">
        <v>230</v>
      </c>
      <c r="AQ22" s="42" t="s">
        <v>231</v>
      </c>
      <c r="AR22" s="42" t="s">
        <v>82</v>
      </c>
      <c r="AS22" s="39">
        <v>100</v>
      </c>
      <c r="AT22" s="39">
        <v>0</v>
      </c>
      <c r="AU22" s="39" t="s">
        <v>61</v>
      </c>
      <c r="AV22" s="53">
        <v>21</v>
      </c>
      <c r="AW22" s="39" t="s">
        <v>62</v>
      </c>
      <c r="AX22" s="39">
        <v>10</v>
      </c>
      <c r="AY22" s="30">
        <v>329122579.96799999</v>
      </c>
      <c r="AZ22" s="42" t="s">
        <v>97</v>
      </c>
    </row>
    <row r="23" spans="1:52" ht="76.5" customHeight="1" x14ac:dyDescent="0.25">
      <c r="A23" s="37" t="s">
        <v>232</v>
      </c>
      <c r="B23" s="38">
        <v>44680</v>
      </c>
      <c r="C23" s="39">
        <v>1416</v>
      </c>
      <c r="D23" s="37" t="s">
        <v>233</v>
      </c>
      <c r="E23" s="41" t="s">
        <v>234</v>
      </c>
      <c r="F23" s="38">
        <v>44712</v>
      </c>
      <c r="G23" s="37" t="s">
        <v>235</v>
      </c>
      <c r="H23" s="42" t="s">
        <v>215</v>
      </c>
      <c r="I23" s="42" t="s">
        <v>236</v>
      </c>
      <c r="J23" s="43">
        <v>268892744.39999998</v>
      </c>
      <c r="K23" s="43" t="s">
        <v>237</v>
      </c>
      <c r="L23" s="43" t="s">
        <v>237</v>
      </c>
      <c r="M23" s="43">
        <v>0</v>
      </c>
      <c r="N23" s="44">
        <v>1.4999999977686147</v>
      </c>
      <c r="O23" s="45">
        <v>4033391.1599999666</v>
      </c>
      <c r="P23" s="43">
        <v>264859353.24000001</v>
      </c>
      <c r="Q23" s="45">
        <v>4033505.6999999881</v>
      </c>
      <c r="R23" s="43">
        <v>132429619.34999999</v>
      </c>
      <c r="S23" s="30">
        <v>132429619.34999999</v>
      </c>
      <c r="T23" s="30">
        <v>264859238.69999999</v>
      </c>
      <c r="U23" s="30">
        <v>4162.49</v>
      </c>
      <c r="V23" s="43">
        <v>4162.49</v>
      </c>
      <c r="W23" s="43">
        <v>87412.29</v>
      </c>
      <c r="X23" s="43">
        <v>63630</v>
      </c>
      <c r="Y23" s="43"/>
      <c r="Z23" s="43">
        <v>31815</v>
      </c>
      <c r="AA23" s="43"/>
      <c r="AB23" s="43">
        <v>0</v>
      </c>
      <c r="AC23" s="43">
        <v>0</v>
      </c>
      <c r="AD23" s="43">
        <v>31815</v>
      </c>
      <c r="AE23" s="43">
        <v>132429619.34999999</v>
      </c>
      <c r="AF23" s="43">
        <v>3030</v>
      </c>
      <c r="AG23" s="43">
        <v>3030</v>
      </c>
      <c r="AH23" s="38">
        <v>44958</v>
      </c>
      <c r="AI23" s="38">
        <v>45352</v>
      </c>
      <c r="AJ23" s="38"/>
      <c r="AK23" s="38">
        <v>44972</v>
      </c>
      <c r="AL23" s="38">
        <v>45383</v>
      </c>
      <c r="AM23" s="48"/>
      <c r="AN23" s="42"/>
      <c r="AO23" s="42" t="s">
        <v>218</v>
      </c>
      <c r="AP23" s="42" t="s">
        <v>238</v>
      </c>
      <c r="AQ23" s="42" t="s">
        <v>220</v>
      </c>
      <c r="AR23" s="42" t="s">
        <v>82</v>
      </c>
      <c r="AS23" s="50">
        <v>0</v>
      </c>
      <c r="AT23" s="39">
        <v>100</v>
      </c>
      <c r="AU23" s="39" t="s">
        <v>61</v>
      </c>
      <c r="AV23" s="49">
        <v>21</v>
      </c>
      <c r="AW23" s="39" t="s">
        <v>221</v>
      </c>
      <c r="AX23" s="39">
        <v>10</v>
      </c>
      <c r="AY23" s="30">
        <v>26889274.440000001</v>
      </c>
      <c r="AZ23" s="42" t="s">
        <v>63</v>
      </c>
    </row>
    <row r="24" spans="1:52" ht="76.5" customHeight="1" x14ac:dyDescent="0.25">
      <c r="A24" s="37" t="s">
        <v>239</v>
      </c>
      <c r="B24" s="38">
        <v>44685</v>
      </c>
      <c r="C24" s="39">
        <v>1416</v>
      </c>
      <c r="D24" s="37" t="s">
        <v>240</v>
      </c>
      <c r="E24" s="41" t="s">
        <v>241</v>
      </c>
      <c r="F24" s="38">
        <v>44626</v>
      </c>
      <c r="G24" s="37" t="s">
        <v>242</v>
      </c>
      <c r="H24" s="42" t="s">
        <v>114</v>
      </c>
      <c r="I24" s="42" t="s">
        <v>243</v>
      </c>
      <c r="J24" s="43">
        <v>1400150205</v>
      </c>
      <c r="K24" s="43" t="s">
        <v>244</v>
      </c>
      <c r="L24" s="43" t="s">
        <v>244</v>
      </c>
      <c r="M24" s="43">
        <v>0</v>
      </c>
      <c r="N24" s="44">
        <v>99.159763341962304</v>
      </c>
      <c r="O24" s="45">
        <v>1388385629.71</v>
      </c>
      <c r="P24" s="43">
        <v>11764575.289999999</v>
      </c>
      <c r="Q24" s="45">
        <v>1394269544.25</v>
      </c>
      <c r="R24" s="43">
        <v>5880660.75</v>
      </c>
      <c r="S24" s="30">
        <v>5880660.75</v>
      </c>
      <c r="T24" s="43">
        <v>11761321.5</v>
      </c>
      <c r="U24" s="30">
        <v>7.87</v>
      </c>
      <c r="V24" s="43">
        <v>7.87</v>
      </c>
      <c r="W24" s="43">
        <v>220.36</v>
      </c>
      <c r="X24" s="43">
        <v>1494450</v>
      </c>
      <c r="Y24" s="43"/>
      <c r="Z24" s="43">
        <v>747225</v>
      </c>
      <c r="AA24" s="43"/>
      <c r="AB24" s="43">
        <v>2044</v>
      </c>
      <c r="AC24" s="43">
        <v>16086.28</v>
      </c>
      <c r="AD24" s="43">
        <v>745181</v>
      </c>
      <c r="AE24" s="43">
        <v>5864574.4699999997</v>
      </c>
      <c r="AF24" s="43">
        <v>53373.214285714283</v>
      </c>
      <c r="AG24" s="43">
        <v>53374</v>
      </c>
      <c r="AH24" s="38">
        <v>44986</v>
      </c>
      <c r="AI24" s="38">
        <v>45352</v>
      </c>
      <c r="AJ24" s="38"/>
      <c r="AK24" s="38">
        <v>45000</v>
      </c>
      <c r="AL24" s="38">
        <v>45383</v>
      </c>
      <c r="AM24" s="48"/>
      <c r="AN24" s="42"/>
      <c r="AO24" s="42" t="s">
        <v>245</v>
      </c>
      <c r="AP24" s="42" t="s">
        <v>246</v>
      </c>
      <c r="AQ24" s="42" t="s">
        <v>247</v>
      </c>
      <c r="AR24" s="42" t="s">
        <v>82</v>
      </c>
      <c r="AS24" s="50">
        <v>100</v>
      </c>
      <c r="AT24" s="39">
        <v>0</v>
      </c>
      <c r="AU24" s="39" t="s">
        <v>61</v>
      </c>
      <c r="AV24" s="49">
        <v>28</v>
      </c>
      <c r="AW24" s="39" t="s">
        <v>62</v>
      </c>
      <c r="AX24" s="39">
        <v>10</v>
      </c>
      <c r="AY24" s="30">
        <v>140015020.5</v>
      </c>
      <c r="AZ24" s="42" t="s">
        <v>63</v>
      </c>
    </row>
    <row r="25" spans="1:52" ht="76.5" customHeight="1" x14ac:dyDescent="0.25">
      <c r="A25" s="37" t="s">
        <v>248</v>
      </c>
      <c r="B25" s="38">
        <v>44708</v>
      </c>
      <c r="C25" s="39">
        <v>1416</v>
      </c>
      <c r="D25" s="37" t="s">
        <v>249</v>
      </c>
      <c r="E25" s="41" t="s">
        <v>250</v>
      </c>
      <c r="F25" s="38">
        <v>44739</v>
      </c>
      <c r="G25" s="39" t="s">
        <v>251</v>
      </c>
      <c r="H25" s="42" t="s">
        <v>252</v>
      </c>
      <c r="I25" s="42" t="s">
        <v>253</v>
      </c>
      <c r="J25" s="43">
        <v>761721856</v>
      </c>
      <c r="K25" s="43" t="s">
        <v>254</v>
      </c>
      <c r="L25" s="43" t="s">
        <v>254</v>
      </c>
      <c r="M25" s="43">
        <v>0</v>
      </c>
      <c r="N25" s="44">
        <v>0</v>
      </c>
      <c r="O25" s="45">
        <v>0</v>
      </c>
      <c r="P25" s="43">
        <v>761721856</v>
      </c>
      <c r="Q25" s="45">
        <v>0</v>
      </c>
      <c r="R25" s="43">
        <v>380860928</v>
      </c>
      <c r="S25" s="30">
        <v>380860928</v>
      </c>
      <c r="T25" s="30">
        <v>761721856</v>
      </c>
      <c r="U25" s="30">
        <v>258.39999999999998</v>
      </c>
      <c r="V25" s="43">
        <v>258.39999999999998</v>
      </c>
      <c r="W25" s="43">
        <v>7235.1999999999989</v>
      </c>
      <c r="X25" s="43">
        <v>2947840</v>
      </c>
      <c r="Y25" s="43"/>
      <c r="Z25" s="43">
        <v>1473920</v>
      </c>
      <c r="AA25" s="43"/>
      <c r="AB25" s="43">
        <v>1820</v>
      </c>
      <c r="AC25" s="43">
        <v>470287.99999999994</v>
      </c>
      <c r="AD25" s="43">
        <v>1472100</v>
      </c>
      <c r="AE25" s="43">
        <v>380390639.99999994</v>
      </c>
      <c r="AF25" s="43">
        <v>105280</v>
      </c>
      <c r="AG25" s="43">
        <v>105280</v>
      </c>
      <c r="AH25" s="38">
        <v>44958</v>
      </c>
      <c r="AI25" s="38">
        <v>45323</v>
      </c>
      <c r="AJ25" s="38"/>
      <c r="AK25" s="38">
        <v>44972</v>
      </c>
      <c r="AL25" s="38">
        <v>45352</v>
      </c>
      <c r="AM25" s="48"/>
      <c r="AN25" s="42"/>
      <c r="AO25" s="42" t="s">
        <v>117</v>
      </c>
      <c r="AP25" s="42" t="s">
        <v>255</v>
      </c>
      <c r="AQ25" s="42" t="s">
        <v>256</v>
      </c>
      <c r="AR25" s="42" t="s">
        <v>82</v>
      </c>
      <c r="AS25" s="39">
        <v>100</v>
      </c>
      <c r="AT25" s="39">
        <v>0</v>
      </c>
      <c r="AU25" s="39" t="s">
        <v>83</v>
      </c>
      <c r="AV25" s="49">
        <v>28</v>
      </c>
      <c r="AW25" s="39" t="s">
        <v>62</v>
      </c>
      <c r="AX25" s="39">
        <v>10</v>
      </c>
      <c r="AY25" s="30">
        <v>76172185.599999994</v>
      </c>
      <c r="AZ25" s="42" t="s">
        <v>63</v>
      </c>
    </row>
    <row r="26" spans="1:52" ht="78.75" x14ac:dyDescent="0.25">
      <c r="A26" s="37" t="s">
        <v>257</v>
      </c>
      <c r="B26" s="38">
        <v>44706</v>
      </c>
      <c r="C26" s="39">
        <v>1416</v>
      </c>
      <c r="D26" s="37" t="s">
        <v>258</v>
      </c>
      <c r="E26" s="41" t="s">
        <v>259</v>
      </c>
      <c r="F26" s="38">
        <v>44729</v>
      </c>
      <c r="G26" s="39" t="s">
        <v>260</v>
      </c>
      <c r="H26" s="42" t="s">
        <v>141</v>
      </c>
      <c r="I26" s="42" t="s">
        <v>261</v>
      </c>
      <c r="J26" s="43">
        <v>274032460.80000001</v>
      </c>
      <c r="K26" s="43" t="s">
        <v>262</v>
      </c>
      <c r="L26" s="43" t="s">
        <v>262</v>
      </c>
      <c r="M26" s="43">
        <v>0</v>
      </c>
      <c r="N26" s="44">
        <v>0</v>
      </c>
      <c r="O26" s="45">
        <v>0</v>
      </c>
      <c r="P26" s="30">
        <v>274032460.80000001</v>
      </c>
      <c r="Q26" s="45">
        <v>0</v>
      </c>
      <c r="R26" s="43">
        <v>137016230.40000001</v>
      </c>
      <c r="S26" s="30">
        <v>136875267.19999999</v>
      </c>
      <c r="T26" s="30">
        <v>273891497.60000002</v>
      </c>
      <c r="U26" s="30">
        <v>2013.7600000000002</v>
      </c>
      <c r="V26" s="43">
        <v>2013.7600000000002</v>
      </c>
      <c r="W26" s="43">
        <v>20137.600000000002</v>
      </c>
      <c r="X26" s="43">
        <v>136010</v>
      </c>
      <c r="Y26" s="43"/>
      <c r="Z26" s="43">
        <v>67970</v>
      </c>
      <c r="AA26" s="43"/>
      <c r="AB26" s="43">
        <v>51570</v>
      </c>
      <c r="AC26" s="43">
        <v>103849603.20000002</v>
      </c>
      <c r="AD26" s="43">
        <v>16400</v>
      </c>
      <c r="AE26" s="43">
        <v>33025664.000000004</v>
      </c>
      <c r="AF26" s="43">
        <v>13601</v>
      </c>
      <c r="AG26" s="43">
        <v>13601</v>
      </c>
      <c r="AH26" s="38">
        <v>45031</v>
      </c>
      <c r="AI26" s="38">
        <v>45397</v>
      </c>
      <c r="AJ26" s="38"/>
      <c r="AK26" s="38">
        <v>45061</v>
      </c>
      <c r="AL26" s="38">
        <v>45427</v>
      </c>
      <c r="AM26" s="48"/>
      <c r="AN26" s="42"/>
      <c r="AO26" s="42" t="s">
        <v>263</v>
      </c>
      <c r="AP26" s="42" t="s">
        <v>264</v>
      </c>
      <c r="AQ26" s="42" t="s">
        <v>265</v>
      </c>
      <c r="AR26" s="42" t="s">
        <v>266</v>
      </c>
      <c r="AS26" s="50">
        <v>0</v>
      </c>
      <c r="AT26" s="39">
        <v>100</v>
      </c>
      <c r="AU26" s="39" t="s">
        <v>83</v>
      </c>
      <c r="AV26" s="49">
        <v>10</v>
      </c>
      <c r="AW26" s="39" t="s">
        <v>62</v>
      </c>
      <c r="AX26" s="39">
        <v>10</v>
      </c>
      <c r="AY26" s="30">
        <v>27403246.079999998</v>
      </c>
      <c r="AZ26" s="42" t="s">
        <v>63</v>
      </c>
    </row>
    <row r="27" spans="1:52" ht="76.5" customHeight="1" x14ac:dyDescent="0.25">
      <c r="A27" s="37" t="s">
        <v>267</v>
      </c>
      <c r="B27" s="38">
        <v>44715</v>
      </c>
      <c r="C27" s="39">
        <v>1416</v>
      </c>
      <c r="D27" s="37" t="s">
        <v>268</v>
      </c>
      <c r="E27" s="41" t="s">
        <v>269</v>
      </c>
      <c r="F27" s="38">
        <v>44746</v>
      </c>
      <c r="G27" s="39" t="s">
        <v>270</v>
      </c>
      <c r="H27" s="42" t="s">
        <v>271</v>
      </c>
      <c r="I27" s="42" t="s">
        <v>272</v>
      </c>
      <c r="J27" s="43">
        <v>1240064812.8</v>
      </c>
      <c r="K27" s="43" t="s">
        <v>273</v>
      </c>
      <c r="L27" s="43" t="s">
        <v>273</v>
      </c>
      <c r="M27" s="43">
        <v>0</v>
      </c>
      <c r="N27" s="44">
        <v>0</v>
      </c>
      <c r="O27" s="45">
        <v>0</v>
      </c>
      <c r="P27" s="43">
        <v>1240064812.8</v>
      </c>
      <c r="Q27" s="45">
        <v>620032406.39999998</v>
      </c>
      <c r="R27" s="43">
        <v>620032406.39999998</v>
      </c>
      <c r="S27" s="30">
        <v>992041578</v>
      </c>
      <c r="T27" s="30">
        <v>1612073984.4000001</v>
      </c>
      <c r="U27" s="30">
        <v>142.67000000000002</v>
      </c>
      <c r="V27" s="43">
        <v>142.67000000000002</v>
      </c>
      <c r="W27" s="43">
        <v>17120.400000000001</v>
      </c>
      <c r="X27" s="43">
        <v>11299320</v>
      </c>
      <c r="Y27" s="43"/>
      <c r="Z27" s="43">
        <v>6953400</v>
      </c>
      <c r="AA27" s="43"/>
      <c r="AB27" s="43">
        <v>47880</v>
      </c>
      <c r="AC27" s="43">
        <v>6831039.6000000006</v>
      </c>
      <c r="AD27" s="43">
        <v>6905520</v>
      </c>
      <c r="AE27" s="43">
        <v>985210538.4000001</v>
      </c>
      <c r="AF27" s="43">
        <v>72432</v>
      </c>
      <c r="AG27" s="43">
        <v>72432</v>
      </c>
      <c r="AH27" s="38">
        <v>44986</v>
      </c>
      <c r="AI27" s="38">
        <v>45352</v>
      </c>
      <c r="AJ27" s="38"/>
      <c r="AK27" s="38">
        <v>45000</v>
      </c>
      <c r="AL27" s="38">
        <v>45383</v>
      </c>
      <c r="AM27" s="48"/>
      <c r="AN27" s="42"/>
      <c r="AO27" s="42" t="s">
        <v>274</v>
      </c>
      <c r="AP27" s="42" t="s">
        <v>275</v>
      </c>
      <c r="AQ27" s="42" t="s">
        <v>276</v>
      </c>
      <c r="AR27" s="42" t="s">
        <v>277</v>
      </c>
      <c r="AS27" s="50">
        <v>0</v>
      </c>
      <c r="AT27" s="39">
        <v>100</v>
      </c>
      <c r="AU27" s="39" t="s">
        <v>278</v>
      </c>
      <c r="AV27" s="49">
        <v>120</v>
      </c>
      <c r="AW27" s="39" t="s">
        <v>62</v>
      </c>
      <c r="AX27" s="39">
        <v>10</v>
      </c>
      <c r="AY27" s="30">
        <v>124006481.28</v>
      </c>
      <c r="AZ27" s="42" t="s">
        <v>63</v>
      </c>
    </row>
    <row r="28" spans="1:52" ht="76.5" customHeight="1" x14ac:dyDescent="0.25">
      <c r="A28" s="37" t="s">
        <v>279</v>
      </c>
      <c r="B28" s="38">
        <v>44719</v>
      </c>
      <c r="C28" s="39">
        <v>1416</v>
      </c>
      <c r="D28" s="37" t="s">
        <v>280</v>
      </c>
      <c r="E28" s="41" t="s">
        <v>281</v>
      </c>
      <c r="F28" s="38">
        <v>44746</v>
      </c>
      <c r="G28" s="37" t="s">
        <v>282</v>
      </c>
      <c r="H28" s="42" t="s">
        <v>88</v>
      </c>
      <c r="I28" s="42" t="s">
        <v>283</v>
      </c>
      <c r="J28" s="43">
        <v>117119160</v>
      </c>
      <c r="K28" s="43" t="s">
        <v>284</v>
      </c>
      <c r="L28" s="43" t="s">
        <v>284</v>
      </c>
      <c r="M28" s="43">
        <v>0</v>
      </c>
      <c r="N28" s="44">
        <v>0</v>
      </c>
      <c r="O28" s="45">
        <v>0</v>
      </c>
      <c r="P28" s="43">
        <v>117119160</v>
      </c>
      <c r="Q28" s="45">
        <v>0</v>
      </c>
      <c r="R28" s="43">
        <v>58559580</v>
      </c>
      <c r="S28" s="30">
        <v>93665640</v>
      </c>
      <c r="T28" s="30">
        <v>152225220</v>
      </c>
      <c r="U28" s="30">
        <v>12.37</v>
      </c>
      <c r="V28" s="43">
        <v>12.37</v>
      </c>
      <c r="W28" s="43">
        <v>37110</v>
      </c>
      <c r="X28" s="43">
        <v>12306000</v>
      </c>
      <c r="Y28" s="43"/>
      <c r="Z28" s="43">
        <v>7572000</v>
      </c>
      <c r="AA28" s="43"/>
      <c r="AB28" s="43"/>
      <c r="AC28" s="43">
        <v>0</v>
      </c>
      <c r="AD28" s="43"/>
      <c r="AE28" s="43">
        <v>0</v>
      </c>
      <c r="AF28" s="43">
        <v>3156</v>
      </c>
      <c r="AG28" s="43">
        <v>3156</v>
      </c>
      <c r="AH28" s="38">
        <v>44986</v>
      </c>
      <c r="AI28" s="38">
        <v>45352</v>
      </c>
      <c r="AJ28" s="38"/>
      <c r="AK28" s="38">
        <v>45000</v>
      </c>
      <c r="AL28" s="38">
        <v>45383</v>
      </c>
      <c r="AM28" s="48"/>
      <c r="AN28" s="42"/>
      <c r="AO28" s="42" t="s">
        <v>91</v>
      </c>
      <c r="AP28" s="42" t="s">
        <v>285</v>
      </c>
      <c r="AQ28" s="42" t="s">
        <v>93</v>
      </c>
      <c r="AR28" s="42" t="s">
        <v>94</v>
      </c>
      <c r="AS28" s="50">
        <v>0</v>
      </c>
      <c r="AT28" s="39">
        <v>100</v>
      </c>
      <c r="AU28" s="39" t="s">
        <v>95</v>
      </c>
      <c r="AV28" s="49">
        <v>3000</v>
      </c>
      <c r="AW28" s="39" t="s">
        <v>62</v>
      </c>
      <c r="AX28" s="39">
        <v>10</v>
      </c>
      <c r="AY28" s="30">
        <v>11711916</v>
      </c>
      <c r="AZ28" s="42" t="s">
        <v>63</v>
      </c>
    </row>
    <row r="29" spans="1:52" ht="86.25" customHeight="1" x14ac:dyDescent="0.25">
      <c r="A29" s="37" t="s">
        <v>286</v>
      </c>
      <c r="B29" s="38">
        <v>44719</v>
      </c>
      <c r="C29" s="39">
        <v>1416</v>
      </c>
      <c r="D29" s="37" t="s">
        <v>287</v>
      </c>
      <c r="E29" s="41" t="s">
        <v>288</v>
      </c>
      <c r="F29" s="38">
        <v>44750</v>
      </c>
      <c r="G29" s="37" t="s">
        <v>289</v>
      </c>
      <c r="H29" s="42" t="s">
        <v>88</v>
      </c>
      <c r="I29" s="42" t="s">
        <v>290</v>
      </c>
      <c r="J29" s="43">
        <v>1322673000</v>
      </c>
      <c r="K29" s="43" t="s">
        <v>291</v>
      </c>
      <c r="L29" s="43" t="s">
        <v>291</v>
      </c>
      <c r="M29" s="43">
        <v>0</v>
      </c>
      <c r="N29" s="44">
        <v>0</v>
      </c>
      <c r="O29" s="45">
        <v>0</v>
      </c>
      <c r="P29" s="43">
        <v>1322673000</v>
      </c>
      <c r="Q29" s="45">
        <v>0</v>
      </c>
      <c r="R29" s="43">
        <v>661336500</v>
      </c>
      <c r="S29" s="30">
        <v>1058027437.5</v>
      </c>
      <c r="T29" s="43">
        <v>1719363937.5</v>
      </c>
      <c r="U29" s="30">
        <v>3698.75</v>
      </c>
      <c r="V29" s="43">
        <v>3698.75</v>
      </c>
      <c r="W29" s="43">
        <v>3698.75</v>
      </c>
      <c r="X29" s="43">
        <v>464850</v>
      </c>
      <c r="Y29" s="43"/>
      <c r="Z29" s="43">
        <v>286050</v>
      </c>
      <c r="AA29" s="43"/>
      <c r="AB29" s="43">
        <v>219300</v>
      </c>
      <c r="AC29" s="43">
        <v>811135875</v>
      </c>
      <c r="AD29" s="43">
        <v>66750</v>
      </c>
      <c r="AE29" s="43">
        <v>246891562.5</v>
      </c>
      <c r="AF29" s="43">
        <v>357600</v>
      </c>
      <c r="AG29" s="43">
        <v>357600</v>
      </c>
      <c r="AH29" s="38">
        <v>44986</v>
      </c>
      <c r="AI29" s="38">
        <v>45352</v>
      </c>
      <c r="AJ29" s="38"/>
      <c r="AK29" s="38">
        <v>45000</v>
      </c>
      <c r="AL29" s="38">
        <v>45383</v>
      </c>
      <c r="AM29" s="48"/>
      <c r="AN29" s="51"/>
      <c r="AO29" s="42" t="s">
        <v>292</v>
      </c>
      <c r="AP29" s="42" t="s">
        <v>293</v>
      </c>
      <c r="AQ29" s="42" t="s">
        <v>294</v>
      </c>
      <c r="AR29" s="42" t="s">
        <v>295</v>
      </c>
      <c r="AS29" s="50">
        <v>0</v>
      </c>
      <c r="AT29" s="39">
        <v>100</v>
      </c>
      <c r="AU29" s="42" t="s">
        <v>296</v>
      </c>
      <c r="AV29" s="52">
        <v>1</v>
      </c>
      <c r="AW29" s="39" t="s">
        <v>62</v>
      </c>
      <c r="AX29" s="39">
        <v>10</v>
      </c>
      <c r="AY29" s="30">
        <v>132267300</v>
      </c>
      <c r="AZ29" s="42" t="s">
        <v>97</v>
      </c>
    </row>
    <row r="30" spans="1:52" ht="76.5" customHeight="1" x14ac:dyDescent="0.25">
      <c r="A30" s="37" t="s">
        <v>297</v>
      </c>
      <c r="B30" s="38">
        <v>44721</v>
      </c>
      <c r="C30" s="39">
        <v>1416</v>
      </c>
      <c r="D30" s="37" t="s">
        <v>298</v>
      </c>
      <c r="E30" s="41" t="s">
        <v>299</v>
      </c>
      <c r="F30" s="38">
        <v>44746</v>
      </c>
      <c r="G30" s="39" t="s">
        <v>300</v>
      </c>
      <c r="H30" s="42" t="s">
        <v>141</v>
      </c>
      <c r="I30" s="42" t="s">
        <v>301</v>
      </c>
      <c r="J30" s="43">
        <v>132241909.8</v>
      </c>
      <c r="K30" s="43" t="s">
        <v>302</v>
      </c>
      <c r="L30" s="43" t="s">
        <v>303</v>
      </c>
      <c r="M30" s="43">
        <v>0</v>
      </c>
      <c r="N30" s="44">
        <v>0</v>
      </c>
      <c r="O30" s="45">
        <v>0</v>
      </c>
      <c r="P30" s="43">
        <v>132241909.8</v>
      </c>
      <c r="Q30" s="45">
        <v>0</v>
      </c>
      <c r="R30" s="43">
        <v>48848723</v>
      </c>
      <c r="S30" s="30">
        <v>63519448.299999997</v>
      </c>
      <c r="T30" s="30">
        <v>146912635.09999999</v>
      </c>
      <c r="U30" s="30">
        <v>2013.55</v>
      </c>
      <c r="V30" s="43">
        <v>2013.55</v>
      </c>
      <c r="W30" s="43">
        <v>8054.2</v>
      </c>
      <c r="X30" s="43">
        <v>72962</v>
      </c>
      <c r="Y30" s="43"/>
      <c r="Z30" s="43">
        <v>31546</v>
      </c>
      <c r="AA30" s="43"/>
      <c r="AB30" s="43">
        <v>26078</v>
      </c>
      <c r="AC30" s="43">
        <v>52509356.899999999</v>
      </c>
      <c r="AD30" s="43">
        <v>5468</v>
      </c>
      <c r="AE30" s="43">
        <v>11010091.4</v>
      </c>
      <c r="AF30" s="43">
        <v>16419</v>
      </c>
      <c r="AG30" s="43">
        <v>16419</v>
      </c>
      <c r="AH30" s="38">
        <v>44986</v>
      </c>
      <c r="AI30" s="38">
        <v>45352</v>
      </c>
      <c r="AJ30" s="38"/>
      <c r="AK30" s="38">
        <v>45000</v>
      </c>
      <c r="AL30" s="38">
        <v>45383</v>
      </c>
      <c r="AM30" s="48"/>
      <c r="AN30" s="42"/>
      <c r="AO30" s="42" t="s">
        <v>263</v>
      </c>
      <c r="AP30" s="42" t="s">
        <v>304</v>
      </c>
      <c r="AQ30" s="42" t="s">
        <v>265</v>
      </c>
      <c r="AR30" s="42" t="s">
        <v>266</v>
      </c>
      <c r="AS30" s="50">
        <v>0</v>
      </c>
      <c r="AT30" s="39">
        <v>100</v>
      </c>
      <c r="AU30" s="39" t="s">
        <v>83</v>
      </c>
      <c r="AV30" s="49">
        <v>4</v>
      </c>
      <c r="AW30" s="39" t="s">
        <v>62</v>
      </c>
      <c r="AX30" s="39">
        <v>10</v>
      </c>
      <c r="AY30" s="30">
        <v>13224190.98</v>
      </c>
      <c r="AZ30" s="42" t="s">
        <v>63</v>
      </c>
    </row>
    <row r="31" spans="1:52" ht="157.5" x14ac:dyDescent="0.25">
      <c r="A31" s="46" t="s">
        <v>607</v>
      </c>
      <c r="B31" s="38">
        <v>45230</v>
      </c>
      <c r="C31" s="39">
        <v>1416</v>
      </c>
      <c r="D31" s="37" t="s">
        <v>608</v>
      </c>
      <c r="E31" s="41" t="s">
        <v>609</v>
      </c>
      <c r="F31" s="38">
        <v>45250</v>
      </c>
      <c r="G31" s="39" t="s">
        <v>610</v>
      </c>
      <c r="H31" s="42" t="s">
        <v>54</v>
      </c>
      <c r="I31" s="42" t="s">
        <v>611</v>
      </c>
      <c r="J31" s="43">
        <v>265649669</v>
      </c>
      <c r="K31" s="43">
        <v>265649669</v>
      </c>
      <c r="L31" s="43">
        <v>0</v>
      </c>
      <c r="M31" s="43">
        <v>0</v>
      </c>
      <c r="N31" s="44">
        <v>0</v>
      </c>
      <c r="O31" s="45">
        <v>0</v>
      </c>
      <c r="P31" s="43">
        <v>265649669</v>
      </c>
      <c r="Q31" s="45">
        <v>0</v>
      </c>
      <c r="R31" s="43">
        <v>265649669</v>
      </c>
      <c r="S31" s="30">
        <v>265649669</v>
      </c>
      <c r="T31" s="30">
        <v>265649669</v>
      </c>
      <c r="U31" s="30">
        <v>25791.23</v>
      </c>
      <c r="V31" s="43">
        <v>25791.23</v>
      </c>
      <c r="W31" s="43">
        <v>257912.3</v>
      </c>
      <c r="X31" s="43">
        <v>10300</v>
      </c>
      <c r="Y31" s="43">
        <v>10300</v>
      </c>
      <c r="Z31" s="43">
        <v>0</v>
      </c>
      <c r="AA31" s="43">
        <v>0</v>
      </c>
      <c r="AB31" s="43">
        <v>0</v>
      </c>
      <c r="AC31" s="43">
        <v>0</v>
      </c>
      <c r="AD31" s="43">
        <v>10300</v>
      </c>
      <c r="AE31" s="43">
        <v>265649669</v>
      </c>
      <c r="AF31" s="43">
        <v>1030</v>
      </c>
      <c r="AG31" s="43">
        <v>1030</v>
      </c>
      <c r="AH31" s="38">
        <v>45301</v>
      </c>
      <c r="AI31" s="38"/>
      <c r="AJ31" s="38"/>
      <c r="AK31" s="38">
        <v>45332</v>
      </c>
      <c r="AL31" s="38"/>
      <c r="AM31" s="48"/>
      <c r="AN31" s="42" t="s">
        <v>612</v>
      </c>
      <c r="AO31" s="42" t="s">
        <v>613</v>
      </c>
      <c r="AP31" s="42" t="s">
        <v>614</v>
      </c>
      <c r="AQ31" s="42" t="s">
        <v>615</v>
      </c>
      <c r="AR31" s="42" t="s">
        <v>94</v>
      </c>
      <c r="AS31" s="50">
        <v>0</v>
      </c>
      <c r="AT31" s="39">
        <v>100</v>
      </c>
      <c r="AU31" s="39" t="s">
        <v>83</v>
      </c>
      <c r="AV31" s="49">
        <v>10</v>
      </c>
      <c r="AW31" s="39" t="s">
        <v>62</v>
      </c>
      <c r="AX31" s="39">
        <v>10</v>
      </c>
      <c r="AY31" s="30">
        <v>26564966.899999999</v>
      </c>
      <c r="AZ31" s="42" t="s">
        <v>97</v>
      </c>
    </row>
    <row r="32" spans="1:52" ht="78.75" x14ac:dyDescent="0.25">
      <c r="A32" s="46" t="s">
        <v>616</v>
      </c>
      <c r="B32" s="38">
        <v>45230</v>
      </c>
      <c r="C32" s="39">
        <v>1416</v>
      </c>
      <c r="D32" s="37" t="s">
        <v>617</v>
      </c>
      <c r="E32" s="41" t="s">
        <v>618</v>
      </c>
      <c r="F32" s="38">
        <v>45250</v>
      </c>
      <c r="G32" s="39" t="s">
        <v>619</v>
      </c>
      <c r="H32" s="42" t="s">
        <v>54</v>
      </c>
      <c r="I32" s="42" t="s">
        <v>611</v>
      </c>
      <c r="J32" s="43">
        <v>299436180.30000001</v>
      </c>
      <c r="K32" s="43">
        <v>299436180.30000001</v>
      </c>
      <c r="L32" s="43">
        <v>0</v>
      </c>
      <c r="M32" s="43">
        <v>0</v>
      </c>
      <c r="N32" s="44">
        <v>0</v>
      </c>
      <c r="O32" s="45">
        <v>0</v>
      </c>
      <c r="P32" s="43">
        <v>299436180.30000001</v>
      </c>
      <c r="Q32" s="45">
        <v>0</v>
      </c>
      <c r="R32" s="43">
        <v>299436180.30000001</v>
      </c>
      <c r="S32" s="30">
        <v>299436180.30000001</v>
      </c>
      <c r="T32" s="30">
        <v>299436180.30000001</v>
      </c>
      <c r="U32" s="30">
        <v>25791.23</v>
      </c>
      <c r="V32" s="43">
        <v>25791.23</v>
      </c>
      <c r="W32" s="43">
        <v>257912.3</v>
      </c>
      <c r="X32" s="43">
        <v>11610</v>
      </c>
      <c r="Y32" s="43">
        <v>11610</v>
      </c>
      <c r="Z32" s="43">
        <v>0</v>
      </c>
      <c r="AA32" s="43">
        <v>0</v>
      </c>
      <c r="AB32" s="43">
        <v>0</v>
      </c>
      <c r="AC32" s="43">
        <v>0</v>
      </c>
      <c r="AD32" s="43">
        <v>11610</v>
      </c>
      <c r="AE32" s="43">
        <v>299436180.30000001</v>
      </c>
      <c r="AF32" s="43">
        <v>1161</v>
      </c>
      <c r="AG32" s="43">
        <v>1161</v>
      </c>
      <c r="AH32" s="38">
        <v>45301</v>
      </c>
      <c r="AI32" s="38"/>
      <c r="AJ32" s="38"/>
      <c r="AK32" s="38">
        <v>45332</v>
      </c>
      <c r="AL32" s="38"/>
      <c r="AM32" s="48"/>
      <c r="AN32" s="42" t="s">
        <v>620</v>
      </c>
      <c r="AO32" s="42" t="s">
        <v>613</v>
      </c>
      <c r="AP32" s="42" t="s">
        <v>614</v>
      </c>
      <c r="AQ32" s="42" t="s">
        <v>615</v>
      </c>
      <c r="AR32" s="42" t="s">
        <v>94</v>
      </c>
      <c r="AS32" s="50">
        <v>0</v>
      </c>
      <c r="AT32" s="39">
        <v>100</v>
      </c>
      <c r="AU32" s="39" t="s">
        <v>83</v>
      </c>
      <c r="AV32" s="49">
        <v>10</v>
      </c>
      <c r="AW32" s="39" t="s">
        <v>62</v>
      </c>
      <c r="AX32" s="39">
        <v>10</v>
      </c>
      <c r="AY32" s="30">
        <v>29943618.030000001</v>
      </c>
      <c r="AZ32" s="42" t="s">
        <v>97</v>
      </c>
    </row>
    <row r="33" spans="1:52" ht="220.5" x14ac:dyDescent="0.25">
      <c r="A33" s="46" t="s">
        <v>621</v>
      </c>
      <c r="B33" s="38">
        <v>45230</v>
      </c>
      <c r="C33" s="39">
        <v>1416</v>
      </c>
      <c r="D33" s="37" t="s">
        <v>622</v>
      </c>
      <c r="E33" s="41" t="s">
        <v>623</v>
      </c>
      <c r="F33" s="38">
        <v>45250</v>
      </c>
      <c r="G33" s="39" t="s">
        <v>624</v>
      </c>
      <c r="H33" s="42" t="s">
        <v>54</v>
      </c>
      <c r="I33" s="42" t="s">
        <v>611</v>
      </c>
      <c r="J33" s="43">
        <v>296857057.30000001</v>
      </c>
      <c r="K33" s="43">
        <v>296857057.30000001</v>
      </c>
      <c r="L33" s="43">
        <v>0</v>
      </c>
      <c r="M33" s="43">
        <v>0</v>
      </c>
      <c r="N33" s="44">
        <v>0</v>
      </c>
      <c r="O33" s="45">
        <v>0</v>
      </c>
      <c r="P33" s="43">
        <v>296857057.30000001</v>
      </c>
      <c r="Q33" s="45">
        <v>0</v>
      </c>
      <c r="R33" s="43">
        <v>296857057.30000001</v>
      </c>
      <c r="S33" s="30">
        <v>296857057.30000001</v>
      </c>
      <c r="T33" s="30">
        <v>296857057.30000001</v>
      </c>
      <c r="U33" s="30">
        <v>25791.23</v>
      </c>
      <c r="V33" s="43">
        <v>25791.23</v>
      </c>
      <c r="W33" s="43">
        <v>257912.3</v>
      </c>
      <c r="X33" s="43">
        <v>11510</v>
      </c>
      <c r="Y33" s="43">
        <v>11510</v>
      </c>
      <c r="Z33" s="43">
        <v>0</v>
      </c>
      <c r="AA33" s="43">
        <v>0</v>
      </c>
      <c r="AB33" s="43">
        <v>0</v>
      </c>
      <c r="AC33" s="43">
        <v>0</v>
      </c>
      <c r="AD33" s="43">
        <v>11510</v>
      </c>
      <c r="AE33" s="43">
        <v>296857057.30000001</v>
      </c>
      <c r="AF33" s="43">
        <v>1151</v>
      </c>
      <c r="AG33" s="43">
        <v>1151</v>
      </c>
      <c r="AH33" s="38">
        <v>45301</v>
      </c>
      <c r="AI33" s="38"/>
      <c r="AJ33" s="38"/>
      <c r="AK33" s="38">
        <v>45332</v>
      </c>
      <c r="AL33" s="38"/>
      <c r="AM33" s="48"/>
      <c r="AN33" s="42" t="s">
        <v>625</v>
      </c>
      <c r="AO33" s="42" t="s">
        <v>613</v>
      </c>
      <c r="AP33" s="42" t="s">
        <v>614</v>
      </c>
      <c r="AQ33" s="42" t="s">
        <v>615</v>
      </c>
      <c r="AR33" s="42" t="s">
        <v>94</v>
      </c>
      <c r="AS33" s="50">
        <v>0</v>
      </c>
      <c r="AT33" s="39">
        <v>100</v>
      </c>
      <c r="AU33" s="39" t="s">
        <v>83</v>
      </c>
      <c r="AV33" s="49">
        <v>10</v>
      </c>
      <c r="AW33" s="39" t="s">
        <v>62</v>
      </c>
      <c r="AX33" s="39">
        <v>10</v>
      </c>
      <c r="AY33" s="30">
        <v>29685705.73</v>
      </c>
      <c r="AZ33" s="42" t="s">
        <v>97</v>
      </c>
    </row>
    <row r="34" spans="1:52" ht="204.75" x14ac:dyDescent="0.25">
      <c r="A34" s="46" t="s">
        <v>626</v>
      </c>
      <c r="B34" s="38">
        <v>45230</v>
      </c>
      <c r="C34" s="39">
        <v>1416</v>
      </c>
      <c r="D34" s="37" t="s">
        <v>627</v>
      </c>
      <c r="E34" s="41" t="s">
        <v>628</v>
      </c>
      <c r="F34" s="38">
        <v>45250</v>
      </c>
      <c r="G34" s="39" t="s">
        <v>629</v>
      </c>
      <c r="H34" s="42" t="s">
        <v>54</v>
      </c>
      <c r="I34" s="42" t="s">
        <v>611</v>
      </c>
      <c r="J34" s="43">
        <v>296341232.69999999</v>
      </c>
      <c r="K34" s="43">
        <v>296341232.69999999</v>
      </c>
      <c r="L34" s="43">
        <v>0</v>
      </c>
      <c r="M34" s="43">
        <v>0</v>
      </c>
      <c r="N34" s="44">
        <v>0</v>
      </c>
      <c r="O34" s="45">
        <v>0</v>
      </c>
      <c r="P34" s="43">
        <v>296341232.69999999</v>
      </c>
      <c r="Q34" s="45">
        <v>0</v>
      </c>
      <c r="R34" s="43">
        <v>296341232.69999999</v>
      </c>
      <c r="S34" s="30">
        <v>296341232.69999999</v>
      </c>
      <c r="T34" s="30">
        <v>296341232.69999999</v>
      </c>
      <c r="U34" s="30">
        <v>25791.23</v>
      </c>
      <c r="V34" s="43">
        <v>25791.23</v>
      </c>
      <c r="W34" s="43">
        <v>257912.3</v>
      </c>
      <c r="X34" s="43">
        <v>11490</v>
      </c>
      <c r="Y34" s="43">
        <v>11490</v>
      </c>
      <c r="Z34" s="43">
        <v>0</v>
      </c>
      <c r="AA34" s="43">
        <v>0</v>
      </c>
      <c r="AB34" s="43">
        <v>0</v>
      </c>
      <c r="AC34" s="43">
        <v>0</v>
      </c>
      <c r="AD34" s="43">
        <v>11490</v>
      </c>
      <c r="AE34" s="43">
        <v>296341232.69999999</v>
      </c>
      <c r="AF34" s="43">
        <v>1149</v>
      </c>
      <c r="AG34" s="43">
        <v>1149</v>
      </c>
      <c r="AH34" s="38">
        <v>45301</v>
      </c>
      <c r="AI34" s="38"/>
      <c r="AJ34" s="38"/>
      <c r="AK34" s="38">
        <v>45332</v>
      </c>
      <c r="AL34" s="38"/>
      <c r="AM34" s="48"/>
      <c r="AN34" s="42" t="s">
        <v>630</v>
      </c>
      <c r="AO34" s="42" t="s">
        <v>613</v>
      </c>
      <c r="AP34" s="42" t="s">
        <v>614</v>
      </c>
      <c r="AQ34" s="42" t="s">
        <v>615</v>
      </c>
      <c r="AR34" s="42" t="s">
        <v>94</v>
      </c>
      <c r="AS34" s="50">
        <v>0</v>
      </c>
      <c r="AT34" s="39">
        <v>100</v>
      </c>
      <c r="AU34" s="39" t="s">
        <v>83</v>
      </c>
      <c r="AV34" s="49">
        <v>10</v>
      </c>
      <c r="AW34" s="39" t="s">
        <v>62</v>
      </c>
      <c r="AX34" s="39">
        <v>10</v>
      </c>
      <c r="AY34" s="30">
        <v>29634123.27</v>
      </c>
      <c r="AZ34" s="42" t="s">
        <v>97</v>
      </c>
    </row>
    <row r="35" spans="1:52" ht="78.75" x14ac:dyDescent="0.25">
      <c r="A35" s="46" t="s">
        <v>631</v>
      </c>
      <c r="B35" s="38">
        <v>45230</v>
      </c>
      <c r="C35" s="39">
        <v>1416</v>
      </c>
      <c r="D35" s="37" t="s">
        <v>632</v>
      </c>
      <c r="E35" s="41" t="s">
        <v>633</v>
      </c>
      <c r="F35" s="38">
        <v>45250</v>
      </c>
      <c r="G35" s="39" t="s">
        <v>634</v>
      </c>
      <c r="H35" s="42" t="s">
        <v>54</v>
      </c>
      <c r="I35" s="42" t="s">
        <v>611</v>
      </c>
      <c r="J35" s="43">
        <v>291698811.30000001</v>
      </c>
      <c r="K35" s="43">
        <v>291698811.30000001</v>
      </c>
      <c r="L35" s="43">
        <v>0</v>
      </c>
      <c r="M35" s="43">
        <v>0</v>
      </c>
      <c r="N35" s="44">
        <v>0</v>
      </c>
      <c r="O35" s="45">
        <v>0</v>
      </c>
      <c r="P35" s="43">
        <v>291698811.30000001</v>
      </c>
      <c r="Q35" s="45">
        <v>0</v>
      </c>
      <c r="R35" s="43">
        <v>291698811.30000001</v>
      </c>
      <c r="S35" s="30">
        <v>291698811.30000001</v>
      </c>
      <c r="T35" s="30">
        <v>291698811.30000001</v>
      </c>
      <c r="U35" s="30">
        <v>25791.23</v>
      </c>
      <c r="V35" s="43">
        <v>25791.23</v>
      </c>
      <c r="W35" s="43">
        <v>257912.3</v>
      </c>
      <c r="X35" s="43">
        <v>11310</v>
      </c>
      <c r="Y35" s="43">
        <v>11310</v>
      </c>
      <c r="Z35" s="43">
        <v>0</v>
      </c>
      <c r="AA35" s="43">
        <v>0</v>
      </c>
      <c r="AB35" s="43">
        <v>0</v>
      </c>
      <c r="AC35" s="43">
        <v>0</v>
      </c>
      <c r="AD35" s="43">
        <v>11310</v>
      </c>
      <c r="AE35" s="43">
        <v>291698811.30000001</v>
      </c>
      <c r="AF35" s="43">
        <v>1131</v>
      </c>
      <c r="AG35" s="43">
        <v>1131</v>
      </c>
      <c r="AH35" s="38">
        <v>45301</v>
      </c>
      <c r="AI35" s="38"/>
      <c r="AJ35" s="38"/>
      <c r="AK35" s="38">
        <v>45332</v>
      </c>
      <c r="AL35" s="38"/>
      <c r="AM35" s="48"/>
      <c r="AN35" s="42" t="s">
        <v>635</v>
      </c>
      <c r="AO35" s="42" t="s">
        <v>613</v>
      </c>
      <c r="AP35" s="42" t="s">
        <v>614</v>
      </c>
      <c r="AQ35" s="42" t="s">
        <v>615</v>
      </c>
      <c r="AR35" s="42" t="s">
        <v>94</v>
      </c>
      <c r="AS35" s="50">
        <v>0</v>
      </c>
      <c r="AT35" s="39">
        <v>100</v>
      </c>
      <c r="AU35" s="39" t="s">
        <v>83</v>
      </c>
      <c r="AV35" s="49">
        <v>10</v>
      </c>
      <c r="AW35" s="39" t="s">
        <v>62</v>
      </c>
      <c r="AX35" s="39">
        <v>10</v>
      </c>
      <c r="AY35" s="30">
        <v>29169881.129999999</v>
      </c>
      <c r="AZ35" s="42" t="s">
        <v>636</v>
      </c>
    </row>
    <row r="36" spans="1:52" ht="173.25" x14ac:dyDescent="0.25">
      <c r="A36" s="46" t="s">
        <v>637</v>
      </c>
      <c r="B36" s="38">
        <v>45230</v>
      </c>
      <c r="C36" s="39">
        <v>1416</v>
      </c>
      <c r="D36" s="37" t="s">
        <v>638</v>
      </c>
      <c r="E36" s="41" t="s">
        <v>639</v>
      </c>
      <c r="F36" s="38">
        <v>45250</v>
      </c>
      <c r="G36" s="39" t="s">
        <v>640</v>
      </c>
      <c r="H36" s="42" t="s">
        <v>54</v>
      </c>
      <c r="I36" s="42" t="s">
        <v>611</v>
      </c>
      <c r="J36" s="43">
        <v>291440899</v>
      </c>
      <c r="K36" s="43">
        <v>291440899</v>
      </c>
      <c r="L36" s="43">
        <v>0</v>
      </c>
      <c r="M36" s="43">
        <v>0</v>
      </c>
      <c r="N36" s="44">
        <v>0</v>
      </c>
      <c r="O36" s="45">
        <v>0</v>
      </c>
      <c r="P36" s="43">
        <v>291440899</v>
      </c>
      <c r="Q36" s="45">
        <v>0</v>
      </c>
      <c r="R36" s="43">
        <v>291440899</v>
      </c>
      <c r="S36" s="30">
        <v>291440899</v>
      </c>
      <c r="T36" s="30">
        <v>291440899</v>
      </c>
      <c r="U36" s="30">
        <v>25791.23</v>
      </c>
      <c r="V36" s="43">
        <v>25791.23</v>
      </c>
      <c r="W36" s="43">
        <v>257912.3</v>
      </c>
      <c r="X36" s="43">
        <v>11300</v>
      </c>
      <c r="Y36" s="43">
        <v>11300</v>
      </c>
      <c r="Z36" s="43">
        <v>0</v>
      </c>
      <c r="AA36" s="43">
        <v>0</v>
      </c>
      <c r="AB36" s="43">
        <v>0</v>
      </c>
      <c r="AC36" s="43">
        <v>0</v>
      </c>
      <c r="AD36" s="43">
        <v>11300</v>
      </c>
      <c r="AE36" s="43">
        <v>291440899</v>
      </c>
      <c r="AF36" s="43">
        <v>1130</v>
      </c>
      <c r="AG36" s="43">
        <v>1130</v>
      </c>
      <c r="AH36" s="38">
        <v>45301</v>
      </c>
      <c r="AI36" s="38"/>
      <c r="AJ36" s="38"/>
      <c r="AK36" s="38">
        <v>45332</v>
      </c>
      <c r="AL36" s="38"/>
      <c r="AM36" s="48"/>
      <c r="AN36" s="42" t="s">
        <v>641</v>
      </c>
      <c r="AO36" s="42" t="s">
        <v>613</v>
      </c>
      <c r="AP36" s="42" t="s">
        <v>614</v>
      </c>
      <c r="AQ36" s="42" t="s">
        <v>615</v>
      </c>
      <c r="AR36" s="42" t="s">
        <v>94</v>
      </c>
      <c r="AS36" s="50">
        <v>0</v>
      </c>
      <c r="AT36" s="39">
        <v>100</v>
      </c>
      <c r="AU36" s="39" t="s">
        <v>83</v>
      </c>
      <c r="AV36" s="49">
        <v>10</v>
      </c>
      <c r="AW36" s="39" t="s">
        <v>62</v>
      </c>
      <c r="AX36" s="39">
        <v>10</v>
      </c>
      <c r="AY36" s="30">
        <v>29144089.899999999</v>
      </c>
      <c r="AZ36" s="42" t="s">
        <v>636</v>
      </c>
    </row>
    <row r="37" spans="1:52" ht="78.75" x14ac:dyDescent="0.25">
      <c r="A37" s="46" t="s">
        <v>642</v>
      </c>
      <c r="B37" s="38">
        <v>45230</v>
      </c>
      <c r="C37" s="39">
        <v>1416</v>
      </c>
      <c r="D37" s="37" t="s">
        <v>643</v>
      </c>
      <c r="E37" s="41" t="s">
        <v>644</v>
      </c>
      <c r="F37" s="38">
        <v>45250</v>
      </c>
      <c r="G37" s="39" t="s">
        <v>645</v>
      </c>
      <c r="H37" s="42" t="s">
        <v>54</v>
      </c>
      <c r="I37" s="42" t="s">
        <v>611</v>
      </c>
      <c r="J37" s="43">
        <v>295051671.19999999</v>
      </c>
      <c r="K37" s="43">
        <v>295051671.19999999</v>
      </c>
      <c r="L37" s="43">
        <v>0</v>
      </c>
      <c r="M37" s="43">
        <v>0</v>
      </c>
      <c r="N37" s="44">
        <v>0</v>
      </c>
      <c r="O37" s="45">
        <v>0</v>
      </c>
      <c r="P37" s="43">
        <v>295051671.19999999</v>
      </c>
      <c r="Q37" s="45">
        <v>0</v>
      </c>
      <c r="R37" s="43">
        <v>295051671.19999999</v>
      </c>
      <c r="S37" s="30">
        <v>295051671.19999999</v>
      </c>
      <c r="T37" s="30">
        <v>295051671.19999999</v>
      </c>
      <c r="U37" s="30">
        <v>25791.23</v>
      </c>
      <c r="V37" s="43">
        <v>25791.23</v>
      </c>
      <c r="W37" s="43">
        <v>257912.3</v>
      </c>
      <c r="X37" s="43">
        <v>11440</v>
      </c>
      <c r="Y37" s="43">
        <v>11440</v>
      </c>
      <c r="Z37" s="43">
        <v>0</v>
      </c>
      <c r="AA37" s="43">
        <v>0</v>
      </c>
      <c r="AB37" s="43">
        <v>0</v>
      </c>
      <c r="AC37" s="43">
        <v>0</v>
      </c>
      <c r="AD37" s="43">
        <v>11440</v>
      </c>
      <c r="AE37" s="43">
        <v>295051671.19999999</v>
      </c>
      <c r="AF37" s="43">
        <v>1144</v>
      </c>
      <c r="AG37" s="43">
        <v>1144</v>
      </c>
      <c r="AH37" s="38">
        <v>45301</v>
      </c>
      <c r="AI37" s="38"/>
      <c r="AJ37" s="38"/>
      <c r="AK37" s="38">
        <v>45332</v>
      </c>
      <c r="AL37" s="38"/>
      <c r="AM37" s="48"/>
      <c r="AN37" s="42" t="s">
        <v>646</v>
      </c>
      <c r="AO37" s="42" t="s">
        <v>613</v>
      </c>
      <c r="AP37" s="42" t="s">
        <v>614</v>
      </c>
      <c r="AQ37" s="42" t="s">
        <v>615</v>
      </c>
      <c r="AR37" s="42" t="s">
        <v>94</v>
      </c>
      <c r="AS37" s="50">
        <v>0</v>
      </c>
      <c r="AT37" s="39">
        <v>100</v>
      </c>
      <c r="AU37" s="39" t="s">
        <v>83</v>
      </c>
      <c r="AV37" s="49">
        <v>10</v>
      </c>
      <c r="AW37" s="39" t="s">
        <v>62</v>
      </c>
      <c r="AX37" s="39">
        <v>10</v>
      </c>
      <c r="AY37" s="30">
        <v>29505167.120000001</v>
      </c>
      <c r="AZ37" s="42" t="s">
        <v>636</v>
      </c>
    </row>
    <row r="38" spans="1:52" ht="252" x14ac:dyDescent="0.25">
      <c r="A38" s="46" t="s">
        <v>647</v>
      </c>
      <c r="B38" s="38">
        <v>45230</v>
      </c>
      <c r="C38" s="39">
        <v>1416</v>
      </c>
      <c r="D38" s="37" t="s">
        <v>648</v>
      </c>
      <c r="E38" s="41" t="s">
        <v>649</v>
      </c>
      <c r="F38" s="38">
        <v>45250</v>
      </c>
      <c r="G38" s="39" t="s">
        <v>650</v>
      </c>
      <c r="H38" s="42" t="s">
        <v>54</v>
      </c>
      <c r="I38" s="42" t="s">
        <v>611</v>
      </c>
      <c r="J38" s="43">
        <v>195755435.69999999</v>
      </c>
      <c r="K38" s="43">
        <v>195755435.69999999</v>
      </c>
      <c r="L38" s="43">
        <v>0</v>
      </c>
      <c r="M38" s="43">
        <v>0</v>
      </c>
      <c r="N38" s="44">
        <v>0</v>
      </c>
      <c r="O38" s="45">
        <v>0</v>
      </c>
      <c r="P38" s="43">
        <v>195755435.69999999</v>
      </c>
      <c r="Q38" s="45">
        <v>0</v>
      </c>
      <c r="R38" s="43">
        <v>195755435.69999999</v>
      </c>
      <c r="S38" s="30">
        <v>195755435.69999999</v>
      </c>
      <c r="T38" s="30">
        <v>195755435.69999999</v>
      </c>
      <c r="U38" s="30">
        <v>25791.23</v>
      </c>
      <c r="V38" s="43">
        <v>25791.23</v>
      </c>
      <c r="W38" s="43">
        <v>257912.3</v>
      </c>
      <c r="X38" s="43">
        <v>7590</v>
      </c>
      <c r="Y38" s="43">
        <v>7590</v>
      </c>
      <c r="Z38" s="43">
        <v>0</v>
      </c>
      <c r="AA38" s="43">
        <v>0</v>
      </c>
      <c r="AB38" s="43">
        <v>0</v>
      </c>
      <c r="AC38" s="43">
        <v>0</v>
      </c>
      <c r="AD38" s="43">
        <v>7590</v>
      </c>
      <c r="AE38" s="43">
        <v>195755435.69999999</v>
      </c>
      <c r="AF38" s="43">
        <v>759</v>
      </c>
      <c r="AG38" s="43">
        <v>759</v>
      </c>
      <c r="AH38" s="38">
        <v>45301</v>
      </c>
      <c r="AI38" s="38"/>
      <c r="AJ38" s="38"/>
      <c r="AK38" s="38">
        <v>45332</v>
      </c>
      <c r="AL38" s="38"/>
      <c r="AM38" s="48"/>
      <c r="AN38" s="42" t="s">
        <v>651</v>
      </c>
      <c r="AO38" s="42" t="s">
        <v>613</v>
      </c>
      <c r="AP38" s="42" t="s">
        <v>614</v>
      </c>
      <c r="AQ38" s="42" t="s">
        <v>615</v>
      </c>
      <c r="AR38" s="42" t="s">
        <v>94</v>
      </c>
      <c r="AS38" s="50">
        <v>0</v>
      </c>
      <c r="AT38" s="39">
        <v>100</v>
      </c>
      <c r="AU38" s="39" t="s">
        <v>83</v>
      </c>
      <c r="AV38" s="49">
        <v>10</v>
      </c>
      <c r="AW38" s="39" t="s">
        <v>62</v>
      </c>
      <c r="AX38" s="39">
        <v>10</v>
      </c>
      <c r="AY38" s="30">
        <v>19575543.57</v>
      </c>
      <c r="AZ38" s="42" t="s">
        <v>636</v>
      </c>
    </row>
    <row r="39" spans="1:52" ht="69" customHeight="1" x14ac:dyDescent="0.25">
      <c r="A39" s="46" t="s">
        <v>652</v>
      </c>
      <c r="B39" s="38">
        <v>45230</v>
      </c>
      <c r="C39" s="39">
        <v>1416</v>
      </c>
      <c r="D39" s="37" t="s">
        <v>653</v>
      </c>
      <c r="E39" s="41" t="s">
        <v>654</v>
      </c>
      <c r="F39" s="38">
        <v>45250</v>
      </c>
      <c r="G39" s="39" t="s">
        <v>655</v>
      </c>
      <c r="H39" s="42" t="s">
        <v>54</v>
      </c>
      <c r="I39" s="42" t="s">
        <v>611</v>
      </c>
      <c r="J39" s="43">
        <v>279576933.19999999</v>
      </c>
      <c r="K39" s="43">
        <v>279576933.19999999</v>
      </c>
      <c r="L39" s="43">
        <v>0</v>
      </c>
      <c r="M39" s="43">
        <v>0</v>
      </c>
      <c r="N39" s="44">
        <v>0</v>
      </c>
      <c r="O39" s="45">
        <v>0</v>
      </c>
      <c r="P39" s="43">
        <v>279576933.19999999</v>
      </c>
      <c r="Q39" s="45">
        <v>0</v>
      </c>
      <c r="R39" s="43">
        <v>279576933.19999999</v>
      </c>
      <c r="S39" s="30">
        <v>279576933.19999999</v>
      </c>
      <c r="T39" s="30">
        <v>279576933.19999999</v>
      </c>
      <c r="U39" s="30">
        <v>25791.23</v>
      </c>
      <c r="V39" s="43">
        <v>25791.23</v>
      </c>
      <c r="W39" s="43">
        <v>257912.3</v>
      </c>
      <c r="X39" s="43">
        <v>10840</v>
      </c>
      <c r="Y39" s="43">
        <v>10840</v>
      </c>
      <c r="Z39" s="43">
        <v>0</v>
      </c>
      <c r="AA39" s="43">
        <v>0</v>
      </c>
      <c r="AB39" s="43">
        <v>0</v>
      </c>
      <c r="AC39" s="43">
        <v>0</v>
      </c>
      <c r="AD39" s="43">
        <v>10840</v>
      </c>
      <c r="AE39" s="43">
        <v>279576933.19999999</v>
      </c>
      <c r="AF39" s="43">
        <v>1084</v>
      </c>
      <c r="AG39" s="43">
        <v>1084</v>
      </c>
      <c r="AH39" s="38">
        <v>45301</v>
      </c>
      <c r="AI39" s="38"/>
      <c r="AJ39" s="38"/>
      <c r="AK39" s="38">
        <v>45332</v>
      </c>
      <c r="AL39" s="38"/>
      <c r="AM39" s="48"/>
      <c r="AN39" s="42" t="s">
        <v>656</v>
      </c>
      <c r="AO39" s="42" t="s">
        <v>613</v>
      </c>
      <c r="AP39" s="42" t="s">
        <v>614</v>
      </c>
      <c r="AQ39" s="42" t="s">
        <v>615</v>
      </c>
      <c r="AR39" s="42" t="s">
        <v>94</v>
      </c>
      <c r="AS39" s="50">
        <v>0</v>
      </c>
      <c r="AT39" s="39">
        <v>100</v>
      </c>
      <c r="AU39" s="39" t="s">
        <v>83</v>
      </c>
      <c r="AV39" s="49">
        <v>10</v>
      </c>
      <c r="AW39" s="39" t="s">
        <v>62</v>
      </c>
      <c r="AX39" s="39">
        <v>10</v>
      </c>
      <c r="AY39" s="30">
        <v>27957693.32</v>
      </c>
      <c r="AZ39" s="42" t="s">
        <v>636</v>
      </c>
    </row>
    <row r="40" spans="1:52" ht="69" customHeight="1" x14ac:dyDescent="0.25">
      <c r="A40" s="46" t="s">
        <v>666</v>
      </c>
      <c r="B40" s="48">
        <v>45243</v>
      </c>
      <c r="C40" s="42">
        <v>1416</v>
      </c>
      <c r="D40" s="37" t="s">
        <v>667</v>
      </c>
      <c r="E40" s="41" t="s">
        <v>668</v>
      </c>
      <c r="F40" s="38">
        <v>45264</v>
      </c>
      <c r="G40" s="39" t="s">
        <v>669</v>
      </c>
      <c r="H40" s="42" t="s">
        <v>670</v>
      </c>
      <c r="I40" s="42" t="s">
        <v>671</v>
      </c>
      <c r="J40" s="56">
        <v>5403201.5</v>
      </c>
      <c r="K40" s="56">
        <v>5403201.5</v>
      </c>
      <c r="L40" s="56">
        <v>0</v>
      </c>
      <c r="M40" s="56">
        <v>0</v>
      </c>
      <c r="N40" s="44">
        <v>13.501400974959019</v>
      </c>
      <c r="O40" s="45">
        <v>729507.90000000037</v>
      </c>
      <c r="P40" s="43">
        <v>4673693.5999999996</v>
      </c>
      <c r="Q40" s="45">
        <v>729507.90000000037</v>
      </c>
      <c r="R40" s="43">
        <v>4673693.5999999996</v>
      </c>
      <c r="S40" s="30">
        <v>4673693.5999999996</v>
      </c>
      <c r="T40" s="30">
        <v>4673693.5999999996</v>
      </c>
      <c r="U40" s="30">
        <v>557.71999999999991</v>
      </c>
      <c r="V40" s="43">
        <v>557.71999999999991</v>
      </c>
      <c r="W40" s="43">
        <v>11154.399999999998</v>
      </c>
      <c r="X40" s="43">
        <v>8380</v>
      </c>
      <c r="Y40" s="43">
        <v>8380</v>
      </c>
      <c r="Z40" s="43">
        <v>0</v>
      </c>
      <c r="AA40" s="43">
        <v>0</v>
      </c>
      <c r="AB40" s="43">
        <v>0</v>
      </c>
      <c r="AC40" s="43">
        <v>0</v>
      </c>
      <c r="AD40" s="43">
        <v>8380</v>
      </c>
      <c r="AE40" s="43">
        <v>4673693.5999999996</v>
      </c>
      <c r="AF40" s="43">
        <v>419</v>
      </c>
      <c r="AG40" s="43">
        <v>419</v>
      </c>
      <c r="AH40" s="38">
        <v>45301</v>
      </c>
      <c r="AI40" s="38"/>
      <c r="AJ40" s="38"/>
      <c r="AK40" s="38">
        <v>45332</v>
      </c>
      <c r="AL40" s="38"/>
      <c r="AM40" s="48"/>
      <c r="AN40" s="42"/>
      <c r="AO40" s="42" t="s">
        <v>672</v>
      </c>
      <c r="AP40" s="42" t="s">
        <v>673</v>
      </c>
      <c r="AQ40" s="42" t="s">
        <v>674</v>
      </c>
      <c r="AR40" s="42" t="s">
        <v>82</v>
      </c>
      <c r="AS40" s="50">
        <v>100</v>
      </c>
      <c r="AT40" s="39">
        <v>0</v>
      </c>
      <c r="AU40" s="39" t="s">
        <v>83</v>
      </c>
      <c r="AV40" s="49">
        <v>20</v>
      </c>
      <c r="AW40" s="39" t="s">
        <v>62</v>
      </c>
      <c r="AX40" s="39">
        <v>10</v>
      </c>
      <c r="AY40" s="30">
        <v>540320.15</v>
      </c>
      <c r="AZ40" s="42" t="s">
        <v>97</v>
      </c>
    </row>
    <row r="41" spans="1:52" ht="69" customHeight="1" x14ac:dyDescent="0.25">
      <c r="A41" s="46" t="s">
        <v>675</v>
      </c>
      <c r="B41" s="48">
        <v>45243</v>
      </c>
      <c r="C41" s="42">
        <v>1416</v>
      </c>
      <c r="D41" s="37" t="s">
        <v>676</v>
      </c>
      <c r="E41" s="41" t="s">
        <v>677</v>
      </c>
      <c r="F41" s="38">
        <v>45264</v>
      </c>
      <c r="G41" s="39" t="s">
        <v>678</v>
      </c>
      <c r="H41" s="42" t="s">
        <v>679</v>
      </c>
      <c r="I41" s="42" t="s">
        <v>680</v>
      </c>
      <c r="J41" s="56">
        <v>4459520</v>
      </c>
      <c r="K41" s="56">
        <v>4459520</v>
      </c>
      <c r="L41" s="56">
        <v>0</v>
      </c>
      <c r="M41" s="56">
        <v>0</v>
      </c>
      <c r="N41" s="44">
        <v>0</v>
      </c>
      <c r="O41" s="45">
        <v>0</v>
      </c>
      <c r="P41" s="43">
        <v>4459520</v>
      </c>
      <c r="Q41" s="45">
        <v>0</v>
      </c>
      <c r="R41" s="43">
        <v>4459520</v>
      </c>
      <c r="S41" s="30">
        <v>4459520</v>
      </c>
      <c r="T41" s="30">
        <v>4459520</v>
      </c>
      <c r="U41" s="30">
        <v>10.72</v>
      </c>
      <c r="V41" s="43">
        <v>10.72</v>
      </c>
      <c r="W41" s="43" t="e">
        <v>#VALUE!</v>
      </c>
      <c r="X41" s="43">
        <v>416000</v>
      </c>
      <c r="Y41" s="43">
        <v>416000</v>
      </c>
      <c r="Z41" s="43">
        <v>0</v>
      </c>
      <c r="AA41" s="43">
        <v>0</v>
      </c>
      <c r="AB41" s="43">
        <v>0</v>
      </c>
      <c r="AC41" s="43">
        <v>0</v>
      </c>
      <c r="AD41" s="43">
        <v>416000</v>
      </c>
      <c r="AE41" s="43">
        <v>4459520</v>
      </c>
      <c r="AF41" s="43" t="e">
        <v>#VALUE!</v>
      </c>
      <c r="AG41" s="43" t="e">
        <v>#VALUE!</v>
      </c>
      <c r="AH41" s="38">
        <v>45301</v>
      </c>
      <c r="AI41" s="38"/>
      <c r="AJ41" s="38"/>
      <c r="AK41" s="38">
        <v>45332</v>
      </c>
      <c r="AL41" s="38"/>
      <c r="AM41" s="48"/>
      <c r="AN41" s="42"/>
      <c r="AO41" s="42" t="s">
        <v>681</v>
      </c>
      <c r="AP41" s="42" t="s">
        <v>682</v>
      </c>
      <c r="AQ41" s="42" t="s">
        <v>683</v>
      </c>
      <c r="AR41" s="42" t="s">
        <v>684</v>
      </c>
      <c r="AS41" s="50">
        <v>0</v>
      </c>
      <c r="AT41" s="39">
        <v>100</v>
      </c>
      <c r="AU41" s="39" t="s">
        <v>95</v>
      </c>
      <c r="AV41" s="53" t="s">
        <v>685</v>
      </c>
      <c r="AW41" s="39" t="s">
        <v>62</v>
      </c>
      <c r="AX41" s="39">
        <v>10</v>
      </c>
      <c r="AY41" s="30">
        <v>445952</v>
      </c>
      <c r="AZ41" s="42" t="s">
        <v>97</v>
      </c>
    </row>
    <row r="42" spans="1:52" ht="69" customHeight="1" x14ac:dyDescent="0.25">
      <c r="A42" s="46" t="s">
        <v>686</v>
      </c>
      <c r="B42" s="48">
        <v>45243</v>
      </c>
      <c r="C42" s="42">
        <v>1416</v>
      </c>
      <c r="D42" s="37" t="s">
        <v>687</v>
      </c>
      <c r="E42" s="41" t="s">
        <v>688</v>
      </c>
      <c r="F42" s="38">
        <v>45264</v>
      </c>
      <c r="G42" s="39" t="s">
        <v>689</v>
      </c>
      <c r="H42" s="42" t="s">
        <v>679</v>
      </c>
      <c r="I42" s="42" t="s">
        <v>690</v>
      </c>
      <c r="J42" s="56">
        <v>3530112</v>
      </c>
      <c r="K42" s="56">
        <v>3530112</v>
      </c>
      <c r="L42" s="56">
        <v>0</v>
      </c>
      <c r="M42" s="56">
        <v>0</v>
      </c>
      <c r="N42" s="44">
        <v>0</v>
      </c>
      <c r="O42" s="45">
        <v>0</v>
      </c>
      <c r="P42" s="43">
        <v>3530112</v>
      </c>
      <c r="Q42" s="45">
        <v>0</v>
      </c>
      <c r="R42" s="43">
        <v>3530112</v>
      </c>
      <c r="S42" s="30">
        <v>3530112</v>
      </c>
      <c r="T42" s="30">
        <v>3530112</v>
      </c>
      <c r="U42" s="30">
        <v>12.68</v>
      </c>
      <c r="V42" s="43">
        <v>12.68</v>
      </c>
      <c r="W42" s="43">
        <v>15216</v>
      </c>
      <c r="X42" s="43">
        <v>278400</v>
      </c>
      <c r="Y42" s="43">
        <v>278400</v>
      </c>
      <c r="Z42" s="43">
        <v>0</v>
      </c>
      <c r="AA42" s="43">
        <v>0</v>
      </c>
      <c r="AB42" s="43">
        <v>0</v>
      </c>
      <c r="AC42" s="43">
        <v>0</v>
      </c>
      <c r="AD42" s="43">
        <v>278400</v>
      </c>
      <c r="AE42" s="43">
        <v>3530112</v>
      </c>
      <c r="AF42" s="43">
        <v>232</v>
      </c>
      <c r="AG42" s="43">
        <v>232</v>
      </c>
      <c r="AH42" s="38">
        <v>45301</v>
      </c>
      <c r="AI42" s="38"/>
      <c r="AJ42" s="38"/>
      <c r="AK42" s="38">
        <v>45332</v>
      </c>
      <c r="AL42" s="38"/>
      <c r="AM42" s="48"/>
      <c r="AN42" s="42"/>
      <c r="AO42" s="42" t="s">
        <v>691</v>
      </c>
      <c r="AP42" s="42" t="s">
        <v>692</v>
      </c>
      <c r="AQ42" s="42" t="s">
        <v>693</v>
      </c>
      <c r="AR42" s="42" t="s">
        <v>94</v>
      </c>
      <c r="AS42" s="50">
        <v>0</v>
      </c>
      <c r="AT42" s="39">
        <v>100</v>
      </c>
      <c r="AU42" s="39" t="s">
        <v>95</v>
      </c>
      <c r="AV42" s="49">
        <v>1200</v>
      </c>
      <c r="AW42" s="39" t="s">
        <v>62</v>
      </c>
      <c r="AX42" s="39">
        <v>10</v>
      </c>
      <c r="AY42" s="30">
        <v>353011.20000000001</v>
      </c>
      <c r="AZ42" s="42" t="s">
        <v>97</v>
      </c>
    </row>
    <row r="43" spans="1:52" ht="69" customHeight="1" x14ac:dyDescent="0.25">
      <c r="A43" s="46" t="s">
        <v>694</v>
      </c>
      <c r="B43" s="48">
        <v>45243</v>
      </c>
      <c r="C43" s="42">
        <v>1416</v>
      </c>
      <c r="D43" s="37" t="s">
        <v>695</v>
      </c>
      <c r="E43" s="41" t="s">
        <v>696</v>
      </c>
      <c r="F43" s="38">
        <v>45264</v>
      </c>
      <c r="G43" s="39" t="s">
        <v>697</v>
      </c>
      <c r="H43" s="42" t="s">
        <v>679</v>
      </c>
      <c r="I43" s="42" t="s">
        <v>698</v>
      </c>
      <c r="J43" s="56">
        <v>20764800</v>
      </c>
      <c r="K43" s="56">
        <v>20764800</v>
      </c>
      <c r="L43" s="56">
        <v>0</v>
      </c>
      <c r="M43" s="56">
        <v>0</v>
      </c>
      <c r="N43" s="44">
        <v>0</v>
      </c>
      <c r="O43" s="45">
        <v>0</v>
      </c>
      <c r="P43" s="43">
        <v>20764800</v>
      </c>
      <c r="Q43" s="45">
        <v>0</v>
      </c>
      <c r="R43" s="43">
        <v>20764800</v>
      </c>
      <c r="S43" s="30">
        <v>20764800</v>
      </c>
      <c r="T43" s="30">
        <v>20764800</v>
      </c>
      <c r="U43" s="30">
        <v>12.36</v>
      </c>
      <c r="V43" s="43">
        <v>12.36</v>
      </c>
      <c r="W43" s="43">
        <v>6180</v>
      </c>
      <c r="X43" s="43">
        <v>1680000</v>
      </c>
      <c r="Y43" s="43">
        <v>1680000</v>
      </c>
      <c r="Z43" s="43">
        <v>0</v>
      </c>
      <c r="AA43" s="43">
        <v>0</v>
      </c>
      <c r="AB43" s="43">
        <v>0</v>
      </c>
      <c r="AC43" s="43">
        <v>0</v>
      </c>
      <c r="AD43" s="43">
        <v>1680000</v>
      </c>
      <c r="AE43" s="43">
        <v>20764800</v>
      </c>
      <c r="AF43" s="43">
        <v>3360</v>
      </c>
      <c r="AG43" s="43">
        <v>3360</v>
      </c>
      <c r="AH43" s="38">
        <v>45301</v>
      </c>
      <c r="AI43" s="38"/>
      <c r="AJ43" s="38"/>
      <c r="AK43" s="38">
        <v>45332</v>
      </c>
      <c r="AL43" s="38"/>
      <c r="AM43" s="48"/>
      <c r="AN43" s="42"/>
      <c r="AO43" s="42" t="s">
        <v>91</v>
      </c>
      <c r="AP43" s="42" t="s">
        <v>699</v>
      </c>
      <c r="AQ43" s="42" t="s">
        <v>93</v>
      </c>
      <c r="AR43" s="42" t="s">
        <v>148</v>
      </c>
      <c r="AS43" s="50">
        <v>0</v>
      </c>
      <c r="AT43" s="39">
        <v>100</v>
      </c>
      <c r="AU43" s="39" t="s">
        <v>95</v>
      </c>
      <c r="AV43" s="49">
        <v>500</v>
      </c>
      <c r="AW43" s="39" t="s">
        <v>62</v>
      </c>
      <c r="AX43" s="39">
        <v>10</v>
      </c>
      <c r="AY43" s="30">
        <v>2076480</v>
      </c>
      <c r="AZ43" s="42" t="s">
        <v>405</v>
      </c>
    </row>
    <row r="44" spans="1:52" ht="66" customHeight="1" x14ac:dyDescent="0.25">
      <c r="A44" s="46" t="s">
        <v>700</v>
      </c>
      <c r="B44" s="48">
        <v>45243</v>
      </c>
      <c r="C44" s="42">
        <v>1416</v>
      </c>
      <c r="D44" s="37" t="s">
        <v>701</v>
      </c>
      <c r="E44" s="41" t="s">
        <v>702</v>
      </c>
      <c r="F44" s="38">
        <v>45264</v>
      </c>
      <c r="G44" s="39" t="s">
        <v>703</v>
      </c>
      <c r="H44" s="42" t="s">
        <v>679</v>
      </c>
      <c r="I44" s="42" t="s">
        <v>704</v>
      </c>
      <c r="J44" s="56">
        <v>5343840</v>
      </c>
      <c r="K44" s="56">
        <v>5343840</v>
      </c>
      <c r="L44" s="56">
        <v>0</v>
      </c>
      <c r="M44" s="56">
        <v>0</v>
      </c>
      <c r="N44" s="44">
        <v>0</v>
      </c>
      <c r="O44" s="45">
        <v>0</v>
      </c>
      <c r="P44" s="43">
        <v>5343840</v>
      </c>
      <c r="Q44" s="45">
        <v>0</v>
      </c>
      <c r="R44" s="43">
        <v>5343840</v>
      </c>
      <c r="S44" s="30">
        <v>5343840</v>
      </c>
      <c r="T44" s="30">
        <v>5343840</v>
      </c>
      <c r="U44" s="30">
        <v>12.37</v>
      </c>
      <c r="V44" s="43">
        <v>12.37</v>
      </c>
      <c r="W44" s="43">
        <v>37110</v>
      </c>
      <c r="X44" s="43">
        <v>432000</v>
      </c>
      <c r="Y44" s="43">
        <v>432000</v>
      </c>
      <c r="Z44" s="43">
        <v>0</v>
      </c>
      <c r="AA44" s="43">
        <v>0</v>
      </c>
      <c r="AB44" s="43">
        <v>0</v>
      </c>
      <c r="AC44" s="43">
        <v>0</v>
      </c>
      <c r="AD44" s="43">
        <v>432000</v>
      </c>
      <c r="AE44" s="43">
        <v>5343840</v>
      </c>
      <c r="AF44" s="43">
        <v>144</v>
      </c>
      <c r="AG44" s="43">
        <v>144</v>
      </c>
      <c r="AH44" s="38">
        <v>45301</v>
      </c>
      <c r="AI44" s="38"/>
      <c r="AJ44" s="38"/>
      <c r="AK44" s="38">
        <v>45332</v>
      </c>
      <c r="AL44" s="38"/>
      <c r="AM44" s="48"/>
      <c r="AN44" s="42"/>
      <c r="AO44" s="42" t="s">
        <v>91</v>
      </c>
      <c r="AP44" s="42" t="s">
        <v>705</v>
      </c>
      <c r="AQ44" s="42" t="s">
        <v>93</v>
      </c>
      <c r="AR44" s="42" t="s">
        <v>148</v>
      </c>
      <c r="AS44" s="50">
        <v>0</v>
      </c>
      <c r="AT44" s="39">
        <v>100</v>
      </c>
      <c r="AU44" s="39" t="s">
        <v>95</v>
      </c>
      <c r="AV44" s="49">
        <v>3000</v>
      </c>
      <c r="AW44" s="39" t="s">
        <v>62</v>
      </c>
      <c r="AX44" s="39">
        <v>10</v>
      </c>
      <c r="AY44" s="30">
        <v>534384</v>
      </c>
      <c r="AZ44" s="42" t="s">
        <v>97</v>
      </c>
    </row>
    <row r="45" spans="1:52" ht="66" customHeight="1" x14ac:dyDescent="0.25">
      <c r="A45" s="46" t="s">
        <v>706</v>
      </c>
      <c r="B45" s="48">
        <v>45245</v>
      </c>
      <c r="C45" s="42">
        <v>1416</v>
      </c>
      <c r="D45" s="37" t="s">
        <v>707</v>
      </c>
      <c r="E45" s="41" t="s">
        <v>708</v>
      </c>
      <c r="F45" s="38">
        <v>45265</v>
      </c>
      <c r="G45" s="39" t="s">
        <v>709</v>
      </c>
      <c r="H45" s="42" t="s">
        <v>679</v>
      </c>
      <c r="I45" s="42" t="s">
        <v>710</v>
      </c>
      <c r="J45" s="56">
        <v>54898060</v>
      </c>
      <c r="K45" s="56">
        <v>54898060</v>
      </c>
      <c r="L45" s="56">
        <v>0</v>
      </c>
      <c r="M45" s="56">
        <v>0</v>
      </c>
      <c r="N45" s="44">
        <v>0</v>
      </c>
      <c r="O45" s="45">
        <v>0</v>
      </c>
      <c r="P45" s="43">
        <v>54898060</v>
      </c>
      <c r="Q45" s="45">
        <v>0</v>
      </c>
      <c r="R45" s="43">
        <v>54898060</v>
      </c>
      <c r="S45" s="30">
        <v>54898060</v>
      </c>
      <c r="T45" s="30">
        <v>54898060</v>
      </c>
      <c r="U45" s="30">
        <v>12.37</v>
      </c>
      <c r="V45" s="43">
        <v>12.37</v>
      </c>
      <c r="W45" s="43">
        <v>12370</v>
      </c>
      <c r="X45" s="43">
        <v>4438000</v>
      </c>
      <c r="Y45" s="43">
        <v>4438000</v>
      </c>
      <c r="Z45" s="43">
        <v>0</v>
      </c>
      <c r="AA45" s="43">
        <v>0</v>
      </c>
      <c r="AB45" s="43">
        <v>0</v>
      </c>
      <c r="AC45" s="43">
        <v>0</v>
      </c>
      <c r="AD45" s="43">
        <v>4438000</v>
      </c>
      <c r="AE45" s="43">
        <v>54898060</v>
      </c>
      <c r="AF45" s="43">
        <v>4438</v>
      </c>
      <c r="AG45" s="43">
        <v>4438</v>
      </c>
      <c r="AH45" s="38">
        <v>45301</v>
      </c>
      <c r="AI45" s="38"/>
      <c r="AJ45" s="38"/>
      <c r="AK45" s="38">
        <v>45332</v>
      </c>
      <c r="AL45" s="38"/>
      <c r="AM45" s="48"/>
      <c r="AN45" s="42"/>
      <c r="AO45" s="42" t="s">
        <v>91</v>
      </c>
      <c r="AP45" s="42" t="s">
        <v>109</v>
      </c>
      <c r="AQ45" s="42" t="s">
        <v>93</v>
      </c>
      <c r="AR45" s="42" t="s">
        <v>711</v>
      </c>
      <c r="AS45" s="50">
        <v>0</v>
      </c>
      <c r="AT45" s="39">
        <v>100</v>
      </c>
      <c r="AU45" s="39" t="s">
        <v>95</v>
      </c>
      <c r="AV45" s="49">
        <v>1000</v>
      </c>
      <c r="AW45" s="39" t="s">
        <v>62</v>
      </c>
      <c r="AX45" s="39">
        <v>10</v>
      </c>
      <c r="AY45" s="30">
        <v>5489806</v>
      </c>
      <c r="AZ45" s="42" t="s">
        <v>97</v>
      </c>
    </row>
    <row r="46" spans="1:52" ht="66" customHeight="1" x14ac:dyDescent="0.25">
      <c r="A46" s="46" t="s">
        <v>712</v>
      </c>
      <c r="B46" s="48">
        <v>45246</v>
      </c>
      <c r="C46" s="42">
        <v>1416</v>
      </c>
      <c r="D46" s="37" t="s">
        <v>713</v>
      </c>
      <c r="E46" s="41" t="s">
        <v>714</v>
      </c>
      <c r="F46" s="38">
        <v>45265</v>
      </c>
      <c r="G46" s="39" t="s">
        <v>715</v>
      </c>
      <c r="H46" s="42" t="s">
        <v>679</v>
      </c>
      <c r="I46" s="42" t="s">
        <v>716</v>
      </c>
      <c r="J46" s="56">
        <v>2674640</v>
      </c>
      <c r="K46" s="56">
        <v>2674640</v>
      </c>
      <c r="L46" s="56">
        <v>0</v>
      </c>
      <c r="M46" s="56">
        <v>0</v>
      </c>
      <c r="N46" s="44">
        <v>0</v>
      </c>
      <c r="O46" s="45">
        <v>0</v>
      </c>
      <c r="P46" s="43">
        <v>2674640</v>
      </c>
      <c r="Q46" s="45">
        <v>0</v>
      </c>
      <c r="R46" s="43">
        <v>2674640</v>
      </c>
      <c r="S46" s="30">
        <v>2674640</v>
      </c>
      <c r="T46" s="30">
        <v>2674640</v>
      </c>
      <c r="U46" s="30">
        <v>10.72</v>
      </c>
      <c r="V46" s="43">
        <v>10.72</v>
      </c>
      <c r="W46" s="43">
        <v>5360</v>
      </c>
      <c r="X46" s="43">
        <v>249500</v>
      </c>
      <c r="Y46" s="43">
        <v>249500</v>
      </c>
      <c r="Z46" s="43">
        <v>0</v>
      </c>
      <c r="AA46" s="43">
        <v>0</v>
      </c>
      <c r="AB46" s="43">
        <v>0</v>
      </c>
      <c r="AC46" s="43">
        <v>0</v>
      </c>
      <c r="AD46" s="43">
        <v>249500</v>
      </c>
      <c r="AE46" s="43">
        <v>2674640</v>
      </c>
      <c r="AF46" s="43">
        <v>499</v>
      </c>
      <c r="AG46" s="43">
        <v>499</v>
      </c>
      <c r="AH46" s="38">
        <v>45301</v>
      </c>
      <c r="AI46" s="38"/>
      <c r="AJ46" s="38"/>
      <c r="AK46" s="38">
        <v>45332</v>
      </c>
      <c r="AL46" s="38"/>
      <c r="AM46" s="48"/>
      <c r="AN46" s="42"/>
      <c r="AO46" s="42" t="s">
        <v>717</v>
      </c>
      <c r="AP46" s="42" t="s">
        <v>718</v>
      </c>
      <c r="AQ46" s="42" t="s">
        <v>719</v>
      </c>
      <c r="AR46" s="42" t="s">
        <v>684</v>
      </c>
      <c r="AS46" s="50">
        <v>0</v>
      </c>
      <c r="AT46" s="39">
        <v>100</v>
      </c>
      <c r="AU46" s="39" t="s">
        <v>95</v>
      </c>
      <c r="AV46" s="49">
        <v>500</v>
      </c>
      <c r="AW46" s="39" t="s">
        <v>62</v>
      </c>
      <c r="AX46" s="39">
        <v>10</v>
      </c>
      <c r="AY46" s="30">
        <v>267464</v>
      </c>
      <c r="AZ46" s="42" t="s">
        <v>97</v>
      </c>
    </row>
    <row r="47" spans="1:52" ht="66" customHeight="1" x14ac:dyDescent="0.25">
      <c r="A47" s="46" t="s">
        <v>720</v>
      </c>
      <c r="B47" s="48">
        <v>45246</v>
      </c>
      <c r="C47" s="42">
        <v>1416</v>
      </c>
      <c r="D47" s="37" t="s">
        <v>721</v>
      </c>
      <c r="E47" s="41" t="s">
        <v>722</v>
      </c>
      <c r="F47" s="38">
        <v>45265</v>
      </c>
      <c r="G47" s="39" t="s">
        <v>723</v>
      </c>
      <c r="H47" s="42" t="s">
        <v>679</v>
      </c>
      <c r="I47" s="42" t="s">
        <v>724</v>
      </c>
      <c r="J47" s="56">
        <v>10963680</v>
      </c>
      <c r="K47" s="56">
        <v>10963680</v>
      </c>
      <c r="L47" s="56">
        <v>0</v>
      </c>
      <c r="M47" s="56">
        <v>0</v>
      </c>
      <c r="N47" s="44">
        <v>0</v>
      </c>
      <c r="O47" s="45">
        <v>0</v>
      </c>
      <c r="P47" s="43">
        <v>10963680</v>
      </c>
      <c r="Q47" s="45">
        <v>0</v>
      </c>
      <c r="R47" s="43">
        <v>10963680</v>
      </c>
      <c r="S47" s="30">
        <v>10963680</v>
      </c>
      <c r="T47" s="30">
        <v>10963680</v>
      </c>
      <c r="U47" s="30">
        <v>7.28</v>
      </c>
      <c r="V47" s="43">
        <v>7.28</v>
      </c>
      <c r="W47" s="43">
        <v>7280</v>
      </c>
      <c r="X47" s="43">
        <v>1506000</v>
      </c>
      <c r="Y47" s="43">
        <v>1506000</v>
      </c>
      <c r="Z47" s="43">
        <v>0</v>
      </c>
      <c r="AA47" s="43">
        <v>0</v>
      </c>
      <c r="AB47" s="43">
        <v>0</v>
      </c>
      <c r="AC47" s="43">
        <v>0</v>
      </c>
      <c r="AD47" s="43">
        <v>1506000</v>
      </c>
      <c r="AE47" s="43">
        <v>10963680</v>
      </c>
      <c r="AF47" s="43">
        <v>1506</v>
      </c>
      <c r="AG47" s="43">
        <v>1506</v>
      </c>
      <c r="AH47" s="38">
        <v>45301</v>
      </c>
      <c r="AI47" s="38"/>
      <c r="AJ47" s="38"/>
      <c r="AK47" s="38">
        <v>45332</v>
      </c>
      <c r="AL47" s="38"/>
      <c r="AM47" s="48"/>
      <c r="AN47" s="42"/>
      <c r="AO47" s="42" t="s">
        <v>725</v>
      </c>
      <c r="AP47" s="42" t="s">
        <v>726</v>
      </c>
      <c r="AQ47" s="42" t="s">
        <v>727</v>
      </c>
      <c r="AR47" s="42" t="s">
        <v>728</v>
      </c>
      <c r="AS47" s="50">
        <v>0</v>
      </c>
      <c r="AT47" s="39">
        <v>100</v>
      </c>
      <c r="AU47" s="39" t="s">
        <v>95</v>
      </c>
      <c r="AV47" s="49">
        <v>1000</v>
      </c>
      <c r="AW47" s="39" t="s">
        <v>62</v>
      </c>
      <c r="AX47" s="39">
        <v>10</v>
      </c>
      <c r="AY47" s="30">
        <v>1096368</v>
      </c>
      <c r="AZ47" s="42" t="s">
        <v>97</v>
      </c>
    </row>
    <row r="48" spans="1:52" ht="66" customHeight="1" x14ac:dyDescent="0.25">
      <c r="A48" s="46" t="s">
        <v>729</v>
      </c>
      <c r="B48" s="48">
        <v>45246</v>
      </c>
      <c r="C48" s="42">
        <v>1416</v>
      </c>
      <c r="D48" s="37" t="s">
        <v>730</v>
      </c>
      <c r="E48" s="41" t="s">
        <v>731</v>
      </c>
      <c r="F48" s="38">
        <v>45265</v>
      </c>
      <c r="G48" s="39" t="s">
        <v>732</v>
      </c>
      <c r="H48" s="42" t="s">
        <v>670</v>
      </c>
      <c r="I48" s="42" t="s">
        <v>733</v>
      </c>
      <c r="J48" s="56">
        <v>20917831.34</v>
      </c>
      <c r="K48" s="56">
        <v>20917831.34</v>
      </c>
      <c r="L48" s="56">
        <v>0</v>
      </c>
      <c r="M48" s="56">
        <v>0</v>
      </c>
      <c r="N48" s="44">
        <v>10.000010546026324</v>
      </c>
      <c r="O48" s="45">
        <v>2091785.3399999999</v>
      </c>
      <c r="P48" s="43">
        <v>18826046</v>
      </c>
      <c r="Q48" s="45">
        <v>2092072.3399999999</v>
      </c>
      <c r="R48" s="43">
        <v>18825759</v>
      </c>
      <c r="S48" s="30">
        <v>18825759</v>
      </c>
      <c r="T48" s="30">
        <v>18825759</v>
      </c>
      <c r="U48" s="30">
        <v>581.94000000000005</v>
      </c>
      <c r="V48" s="43">
        <v>581.94000000000005</v>
      </c>
      <c r="W48" s="43">
        <v>29097.000000000004</v>
      </c>
      <c r="X48" s="43">
        <v>32350</v>
      </c>
      <c r="Y48" s="43">
        <v>32350</v>
      </c>
      <c r="Z48" s="43">
        <v>0</v>
      </c>
      <c r="AA48" s="43">
        <v>0</v>
      </c>
      <c r="AB48" s="43">
        <v>0</v>
      </c>
      <c r="AC48" s="43">
        <v>0</v>
      </c>
      <c r="AD48" s="43">
        <v>32350</v>
      </c>
      <c r="AE48" s="43">
        <v>18825759</v>
      </c>
      <c r="AF48" s="43">
        <v>647</v>
      </c>
      <c r="AG48" s="43">
        <v>647</v>
      </c>
      <c r="AH48" s="38">
        <v>45301</v>
      </c>
      <c r="AI48" s="38"/>
      <c r="AJ48" s="38"/>
      <c r="AK48" s="38">
        <v>45332</v>
      </c>
      <c r="AL48" s="38"/>
      <c r="AM48" s="48"/>
      <c r="AN48" s="42"/>
      <c r="AO48" s="42" t="s">
        <v>672</v>
      </c>
      <c r="AP48" s="42" t="s">
        <v>734</v>
      </c>
      <c r="AQ48" s="42" t="s">
        <v>674</v>
      </c>
      <c r="AR48" s="42" t="s">
        <v>82</v>
      </c>
      <c r="AS48" s="50">
        <v>100</v>
      </c>
      <c r="AT48" s="39">
        <v>0</v>
      </c>
      <c r="AU48" s="39" t="s">
        <v>83</v>
      </c>
      <c r="AV48" s="49">
        <v>50</v>
      </c>
      <c r="AW48" s="39" t="s">
        <v>62</v>
      </c>
      <c r="AX48" s="39">
        <v>10</v>
      </c>
      <c r="AY48" s="30">
        <v>2091783.1340000001</v>
      </c>
      <c r="AZ48" s="42" t="s">
        <v>97</v>
      </c>
    </row>
    <row r="49" spans="1:52" ht="66" customHeight="1" x14ac:dyDescent="0.25">
      <c r="A49" s="46" t="s">
        <v>735</v>
      </c>
      <c r="B49" s="48">
        <v>45246</v>
      </c>
      <c r="C49" s="42">
        <v>1416</v>
      </c>
      <c r="D49" s="37" t="s">
        <v>736</v>
      </c>
      <c r="E49" s="41" t="s">
        <v>737</v>
      </c>
      <c r="F49" s="38">
        <v>45273</v>
      </c>
      <c r="G49" s="39" t="s">
        <v>738</v>
      </c>
      <c r="H49" s="42" t="s">
        <v>679</v>
      </c>
      <c r="I49" s="42" t="s">
        <v>739</v>
      </c>
      <c r="J49" s="56">
        <v>20509500</v>
      </c>
      <c r="K49" s="56">
        <v>20509500</v>
      </c>
      <c r="L49" s="56">
        <v>0</v>
      </c>
      <c r="M49" s="56">
        <v>0</v>
      </c>
      <c r="N49" s="44">
        <v>0</v>
      </c>
      <c r="O49" s="45">
        <v>0</v>
      </c>
      <c r="P49" s="43">
        <v>20509500</v>
      </c>
      <c r="Q49" s="45">
        <v>0</v>
      </c>
      <c r="R49" s="43">
        <v>20509500</v>
      </c>
      <c r="S49" s="30">
        <v>20509500</v>
      </c>
      <c r="T49" s="30">
        <v>20509500</v>
      </c>
      <c r="U49" s="30">
        <v>7.26</v>
      </c>
      <c r="V49" s="43">
        <v>7.26</v>
      </c>
      <c r="W49" s="43">
        <v>3630</v>
      </c>
      <c r="X49" s="43">
        <v>2825000</v>
      </c>
      <c r="Y49" s="43">
        <v>2825000</v>
      </c>
      <c r="Z49" s="43">
        <v>0</v>
      </c>
      <c r="AA49" s="43">
        <v>0</v>
      </c>
      <c r="AB49" s="43">
        <v>0</v>
      </c>
      <c r="AC49" s="43">
        <v>0</v>
      </c>
      <c r="AD49" s="43">
        <v>2825000</v>
      </c>
      <c r="AE49" s="43">
        <v>20509500</v>
      </c>
      <c r="AF49" s="43">
        <v>5650</v>
      </c>
      <c r="AG49" s="43">
        <v>5650</v>
      </c>
      <c r="AH49" s="38">
        <v>45301</v>
      </c>
      <c r="AI49" s="38"/>
      <c r="AJ49" s="38"/>
      <c r="AK49" s="38">
        <v>45332</v>
      </c>
      <c r="AL49" s="38"/>
      <c r="AM49" s="48"/>
      <c r="AN49" s="42"/>
      <c r="AO49" s="42" t="s">
        <v>725</v>
      </c>
      <c r="AP49" s="42" t="s">
        <v>726</v>
      </c>
      <c r="AQ49" s="42" t="s">
        <v>727</v>
      </c>
      <c r="AR49" s="42" t="s">
        <v>315</v>
      </c>
      <c r="AS49" s="50">
        <v>0</v>
      </c>
      <c r="AT49" s="39">
        <v>100</v>
      </c>
      <c r="AU49" s="39" t="s">
        <v>95</v>
      </c>
      <c r="AV49" s="49">
        <v>500</v>
      </c>
      <c r="AW49" s="39"/>
      <c r="AX49" s="39">
        <v>10</v>
      </c>
      <c r="AY49" s="30">
        <v>2050950</v>
      </c>
      <c r="AZ49" s="42" t="s">
        <v>405</v>
      </c>
    </row>
    <row r="50" spans="1:52" ht="60.75" customHeight="1" x14ac:dyDescent="0.25">
      <c r="A50" s="46" t="s">
        <v>740</v>
      </c>
      <c r="B50" s="48">
        <v>45252</v>
      </c>
      <c r="C50" s="42">
        <v>1416</v>
      </c>
      <c r="D50" s="37" t="s">
        <v>741</v>
      </c>
      <c r="E50" s="41" t="s">
        <v>742</v>
      </c>
      <c r="F50" s="38">
        <v>45272</v>
      </c>
      <c r="G50" s="39" t="s">
        <v>743</v>
      </c>
      <c r="H50" s="42" t="s">
        <v>744</v>
      </c>
      <c r="I50" s="42" t="s">
        <v>745</v>
      </c>
      <c r="J50" s="56">
        <v>120813651.86</v>
      </c>
      <c r="K50" s="56">
        <v>120813651.86</v>
      </c>
      <c r="L50" s="56">
        <v>0</v>
      </c>
      <c r="M50" s="56">
        <v>0</v>
      </c>
      <c r="N50" s="44">
        <v>0</v>
      </c>
      <c r="O50" s="45">
        <v>0</v>
      </c>
      <c r="P50" s="43">
        <v>120813651.86</v>
      </c>
      <c r="Q50" s="45">
        <v>0</v>
      </c>
      <c r="R50" s="43">
        <v>120813651.86</v>
      </c>
      <c r="S50" s="30">
        <v>120813651.86</v>
      </c>
      <c r="T50" s="30">
        <v>120813651.86</v>
      </c>
      <c r="U50" s="30">
        <v>250650.73</v>
      </c>
      <c r="V50" s="43">
        <v>250650.73</v>
      </c>
      <c r="W50" s="43">
        <v>250650.73</v>
      </c>
      <c r="X50" s="43">
        <v>482</v>
      </c>
      <c r="Y50" s="43">
        <v>482</v>
      </c>
      <c r="Z50" s="43">
        <v>0</v>
      </c>
      <c r="AA50" s="43">
        <v>0</v>
      </c>
      <c r="AB50" s="43">
        <v>0</v>
      </c>
      <c r="AC50" s="43">
        <v>0</v>
      </c>
      <c r="AD50" s="43">
        <v>482</v>
      </c>
      <c r="AE50" s="43">
        <v>120813651.86</v>
      </c>
      <c r="AF50" s="43">
        <v>482</v>
      </c>
      <c r="AG50" s="43">
        <v>482</v>
      </c>
      <c r="AH50" s="38">
        <v>45301</v>
      </c>
      <c r="AI50" s="38"/>
      <c r="AJ50" s="38"/>
      <c r="AK50" s="38">
        <v>45332</v>
      </c>
      <c r="AL50" s="38"/>
      <c r="AM50" s="48"/>
      <c r="AN50" s="42"/>
      <c r="AO50" s="42" t="s">
        <v>746</v>
      </c>
      <c r="AP50" s="42" t="s">
        <v>747</v>
      </c>
      <c r="AQ50" s="42" t="s">
        <v>748</v>
      </c>
      <c r="AR50" s="42" t="s">
        <v>266</v>
      </c>
      <c r="AS50" s="50">
        <v>0</v>
      </c>
      <c r="AT50" s="39">
        <v>100</v>
      </c>
      <c r="AU50" s="39" t="s">
        <v>83</v>
      </c>
      <c r="AV50" s="49">
        <v>1</v>
      </c>
      <c r="AW50" s="39" t="s">
        <v>62</v>
      </c>
      <c r="AX50" s="39">
        <v>10</v>
      </c>
      <c r="AY50" s="30">
        <v>12081365.185999999</v>
      </c>
      <c r="AZ50" s="42" t="s">
        <v>97</v>
      </c>
    </row>
    <row r="51" spans="1:52" ht="60.75" customHeight="1" x14ac:dyDescent="0.25">
      <c r="A51" s="46" t="s">
        <v>749</v>
      </c>
      <c r="B51" s="48">
        <v>45252</v>
      </c>
      <c r="C51" s="42">
        <v>1416</v>
      </c>
      <c r="D51" s="37" t="s">
        <v>750</v>
      </c>
      <c r="E51" s="41" t="s">
        <v>751</v>
      </c>
      <c r="F51" s="38">
        <v>45272</v>
      </c>
      <c r="G51" s="39" t="s">
        <v>752</v>
      </c>
      <c r="H51" s="42" t="s">
        <v>309</v>
      </c>
      <c r="I51" s="42" t="s">
        <v>753</v>
      </c>
      <c r="J51" s="56">
        <v>112543483.09999999</v>
      </c>
      <c r="K51" s="56">
        <v>112543483.09999999</v>
      </c>
      <c r="L51" s="56">
        <v>0</v>
      </c>
      <c r="M51" s="56">
        <v>0</v>
      </c>
      <c r="N51" s="44">
        <v>0</v>
      </c>
      <c r="O51" s="45">
        <v>0</v>
      </c>
      <c r="P51" s="43">
        <v>112543483.09999999</v>
      </c>
      <c r="Q51" s="45">
        <v>0</v>
      </c>
      <c r="R51" s="43">
        <v>112543483.09999999</v>
      </c>
      <c r="S51" s="30">
        <v>112543483.09999999</v>
      </c>
      <c r="T51" s="30">
        <v>112543483.09999999</v>
      </c>
      <c r="U51" s="30">
        <v>200397.93999287748</v>
      </c>
      <c r="V51" s="43">
        <v>200397.93999287748</v>
      </c>
      <c r="W51" s="43">
        <v>240477.52799145295</v>
      </c>
      <c r="X51" s="43">
        <v>561.6</v>
      </c>
      <c r="Y51" s="43">
        <v>561.6</v>
      </c>
      <c r="Z51" s="43">
        <v>0</v>
      </c>
      <c r="AA51" s="43">
        <v>0</v>
      </c>
      <c r="AB51" s="43">
        <v>0</v>
      </c>
      <c r="AC51" s="43">
        <v>0</v>
      </c>
      <c r="AD51" s="43">
        <v>561.6</v>
      </c>
      <c r="AE51" s="43">
        <v>112543483.09999999</v>
      </c>
      <c r="AF51" s="43">
        <v>468.00000000000006</v>
      </c>
      <c r="AG51" s="43">
        <v>468</v>
      </c>
      <c r="AH51" s="38">
        <v>45323</v>
      </c>
      <c r="AI51" s="38"/>
      <c r="AJ51" s="38"/>
      <c r="AK51" s="38">
        <v>45352</v>
      </c>
      <c r="AL51" s="38"/>
      <c r="AM51" s="48"/>
      <c r="AN51" s="42"/>
      <c r="AO51" s="42" t="s">
        <v>754</v>
      </c>
      <c r="AP51" s="42" t="s">
        <v>755</v>
      </c>
      <c r="AQ51" s="42" t="s">
        <v>756</v>
      </c>
      <c r="AR51" s="42" t="s">
        <v>94</v>
      </c>
      <c r="AS51" s="50">
        <v>0</v>
      </c>
      <c r="AT51" s="39">
        <v>100</v>
      </c>
      <c r="AU51" s="39" t="s">
        <v>83</v>
      </c>
      <c r="AV51" s="54">
        <v>1.2</v>
      </c>
      <c r="AW51" s="39" t="s">
        <v>62</v>
      </c>
      <c r="AX51" s="39">
        <v>10</v>
      </c>
      <c r="AY51" s="30">
        <v>11254348.310000001</v>
      </c>
      <c r="AZ51" s="42" t="s">
        <v>97</v>
      </c>
    </row>
    <row r="52" spans="1:52" ht="60.75" customHeight="1" x14ac:dyDescent="0.25">
      <c r="A52" s="46" t="s">
        <v>765</v>
      </c>
      <c r="B52" s="48">
        <v>45254</v>
      </c>
      <c r="C52" s="42">
        <v>1416</v>
      </c>
      <c r="D52" s="37" t="s">
        <v>766</v>
      </c>
      <c r="E52" s="41" t="s">
        <v>767</v>
      </c>
      <c r="F52" s="38">
        <v>45275</v>
      </c>
      <c r="G52" s="39" t="s">
        <v>768</v>
      </c>
      <c r="H52" s="42" t="s">
        <v>88</v>
      </c>
      <c r="I52" s="42" t="s">
        <v>769</v>
      </c>
      <c r="J52" s="56">
        <v>197227280</v>
      </c>
      <c r="K52" s="56">
        <v>197227280</v>
      </c>
      <c r="L52" s="56">
        <v>0</v>
      </c>
      <c r="M52" s="56">
        <v>0</v>
      </c>
      <c r="N52" s="44">
        <v>0</v>
      </c>
      <c r="O52" s="45">
        <v>0</v>
      </c>
      <c r="P52" s="43">
        <v>197227280</v>
      </c>
      <c r="Q52" s="45">
        <v>0</v>
      </c>
      <c r="R52" s="43">
        <v>197227280</v>
      </c>
      <c r="S52" s="30">
        <v>197227280</v>
      </c>
      <c r="T52" s="30">
        <v>197227280</v>
      </c>
      <c r="U52" s="30">
        <v>12.37</v>
      </c>
      <c r="V52" s="43">
        <v>12.37</v>
      </c>
      <c r="W52" s="43">
        <v>24740</v>
      </c>
      <c r="X52" s="43">
        <v>15944000</v>
      </c>
      <c r="Y52" s="43">
        <v>15944000</v>
      </c>
      <c r="Z52" s="43">
        <v>0</v>
      </c>
      <c r="AA52" s="43">
        <v>0</v>
      </c>
      <c r="AB52" s="43">
        <v>0</v>
      </c>
      <c r="AC52" s="43">
        <v>0</v>
      </c>
      <c r="AD52" s="43">
        <v>15944000</v>
      </c>
      <c r="AE52" s="43">
        <v>197227280</v>
      </c>
      <c r="AF52" s="43">
        <v>7972</v>
      </c>
      <c r="AG52" s="43">
        <v>7972</v>
      </c>
      <c r="AH52" s="38">
        <v>45323</v>
      </c>
      <c r="AI52" s="38"/>
      <c r="AJ52" s="38"/>
      <c r="AK52" s="38">
        <v>44986</v>
      </c>
      <c r="AL52" s="38"/>
      <c r="AM52" s="48"/>
      <c r="AN52" s="42"/>
      <c r="AO52" s="42" t="s">
        <v>770</v>
      </c>
      <c r="AP52" s="42" t="s">
        <v>771</v>
      </c>
      <c r="AQ52" s="42" t="s">
        <v>772</v>
      </c>
      <c r="AR52" s="42" t="s">
        <v>773</v>
      </c>
      <c r="AS52" s="50">
        <v>0</v>
      </c>
      <c r="AT52" s="39">
        <v>100</v>
      </c>
      <c r="AU52" s="39" t="s">
        <v>95</v>
      </c>
      <c r="AV52" s="49">
        <v>2000</v>
      </c>
      <c r="AW52" s="39" t="s">
        <v>62</v>
      </c>
      <c r="AX52" s="39">
        <v>10</v>
      </c>
      <c r="AY52" s="30">
        <v>19722728</v>
      </c>
      <c r="AZ52" s="42" t="s">
        <v>405</v>
      </c>
    </row>
    <row r="53" spans="1:52" ht="60.75" customHeight="1" x14ac:dyDescent="0.25">
      <c r="A53" s="46" t="s">
        <v>774</v>
      </c>
      <c r="B53" s="48">
        <v>45254</v>
      </c>
      <c r="C53" s="42">
        <v>1416</v>
      </c>
      <c r="D53" s="37" t="s">
        <v>775</v>
      </c>
      <c r="E53" s="41" t="s">
        <v>776</v>
      </c>
      <c r="F53" s="38">
        <v>45282</v>
      </c>
      <c r="G53" s="39" t="s">
        <v>777</v>
      </c>
      <c r="H53" s="42" t="s">
        <v>744</v>
      </c>
      <c r="I53" s="42" t="s">
        <v>778</v>
      </c>
      <c r="J53" s="56">
        <v>968144403.38</v>
      </c>
      <c r="K53" s="56">
        <v>968144403.38</v>
      </c>
      <c r="L53" s="56">
        <v>0</v>
      </c>
      <c r="M53" s="56">
        <v>0</v>
      </c>
      <c r="N53" s="44">
        <v>0</v>
      </c>
      <c r="O53" s="45">
        <v>0</v>
      </c>
      <c r="P53" s="43">
        <v>968144403.38</v>
      </c>
      <c r="Q53" s="45">
        <v>0</v>
      </c>
      <c r="R53" s="43">
        <v>968144403.38</v>
      </c>
      <c r="S53" s="30">
        <v>968144403.38</v>
      </c>
      <c r="T53" s="30">
        <v>968144403.38</v>
      </c>
      <c r="U53" s="30">
        <v>263842.7</v>
      </c>
      <c r="V53" s="43">
        <v>263842.7</v>
      </c>
      <c r="W53" s="43">
        <v>184689.88999999998</v>
      </c>
      <c r="X53" s="43">
        <v>3669.4</v>
      </c>
      <c r="Y53" s="43">
        <v>606.9</v>
      </c>
      <c r="Z53" s="43">
        <v>3062.5</v>
      </c>
      <c r="AA53" s="43">
        <v>0</v>
      </c>
      <c r="AB53" s="43">
        <v>0</v>
      </c>
      <c r="AC53" s="43">
        <v>0</v>
      </c>
      <c r="AD53" s="43">
        <v>3669.4</v>
      </c>
      <c r="AE53" s="43">
        <v>968144403.38000011</v>
      </c>
      <c r="AF53" s="43">
        <v>5242.0000000000009</v>
      </c>
      <c r="AG53" s="43">
        <v>5242</v>
      </c>
      <c r="AH53" s="38">
        <v>45306</v>
      </c>
      <c r="AI53" s="38">
        <v>45413</v>
      </c>
      <c r="AJ53" s="38"/>
      <c r="AK53" s="38">
        <v>45337</v>
      </c>
      <c r="AL53" s="38">
        <v>45444</v>
      </c>
      <c r="AM53" s="48"/>
      <c r="AN53" s="42"/>
      <c r="AO53" s="42" t="s">
        <v>746</v>
      </c>
      <c r="AP53" s="42" t="s">
        <v>779</v>
      </c>
      <c r="AQ53" s="42" t="s">
        <v>748</v>
      </c>
      <c r="AR53" s="42" t="s">
        <v>266</v>
      </c>
      <c r="AS53" s="50">
        <v>0</v>
      </c>
      <c r="AT53" s="39">
        <v>100</v>
      </c>
      <c r="AU53" s="39" t="s">
        <v>83</v>
      </c>
      <c r="AV53" s="54">
        <v>0.7</v>
      </c>
      <c r="AW53" s="39" t="s">
        <v>62</v>
      </c>
      <c r="AX53" s="39">
        <v>10</v>
      </c>
      <c r="AY53" s="30">
        <v>96814440.338</v>
      </c>
      <c r="AZ53" s="42" t="s">
        <v>328</v>
      </c>
    </row>
    <row r="54" spans="1:52" ht="60.75" customHeight="1" x14ac:dyDescent="0.25">
      <c r="A54" s="46" t="s">
        <v>780</v>
      </c>
      <c r="B54" s="48">
        <v>45254</v>
      </c>
      <c r="C54" s="42">
        <v>1416</v>
      </c>
      <c r="D54" s="37" t="s">
        <v>781</v>
      </c>
      <c r="E54" s="41" t="s">
        <v>782</v>
      </c>
      <c r="F54" s="38">
        <v>45275</v>
      </c>
      <c r="G54" s="39" t="s">
        <v>783</v>
      </c>
      <c r="H54" s="42" t="s">
        <v>88</v>
      </c>
      <c r="I54" s="42" t="s">
        <v>784</v>
      </c>
      <c r="J54" s="56">
        <v>58205312</v>
      </c>
      <c r="K54" s="56">
        <v>58205312</v>
      </c>
      <c r="L54" s="56">
        <v>0</v>
      </c>
      <c r="M54" s="56">
        <v>0</v>
      </c>
      <c r="N54" s="44">
        <v>0</v>
      </c>
      <c r="O54" s="45">
        <v>0</v>
      </c>
      <c r="P54" s="43">
        <v>58205312</v>
      </c>
      <c r="Q54" s="45">
        <v>0</v>
      </c>
      <c r="R54" s="43">
        <v>58205312</v>
      </c>
      <c r="S54" s="30">
        <v>58205312</v>
      </c>
      <c r="T54" s="30">
        <v>58205312</v>
      </c>
      <c r="U54" s="30">
        <v>29.48</v>
      </c>
      <c r="V54" s="43">
        <v>29.48</v>
      </c>
      <c r="W54" s="43">
        <v>11792</v>
      </c>
      <c r="X54" s="43">
        <v>1974400</v>
      </c>
      <c r="Y54" s="43">
        <v>1974400</v>
      </c>
      <c r="Z54" s="43">
        <v>0</v>
      </c>
      <c r="AA54" s="43">
        <v>0</v>
      </c>
      <c r="AB54" s="43">
        <v>0</v>
      </c>
      <c r="AC54" s="43">
        <v>0</v>
      </c>
      <c r="AD54" s="43">
        <v>1974400</v>
      </c>
      <c r="AE54" s="43">
        <v>58205312</v>
      </c>
      <c r="AF54" s="43">
        <v>4936</v>
      </c>
      <c r="AG54" s="43">
        <v>4936</v>
      </c>
      <c r="AH54" s="38">
        <v>45323</v>
      </c>
      <c r="AI54" s="38"/>
      <c r="AJ54" s="38"/>
      <c r="AK54" s="38">
        <v>45352</v>
      </c>
      <c r="AL54" s="38"/>
      <c r="AM54" s="48"/>
      <c r="AN54" s="42"/>
      <c r="AO54" s="42" t="s">
        <v>785</v>
      </c>
      <c r="AP54" s="42" t="s">
        <v>786</v>
      </c>
      <c r="AQ54" s="42" t="s">
        <v>787</v>
      </c>
      <c r="AR54" s="42" t="s">
        <v>788</v>
      </c>
      <c r="AS54" s="50">
        <v>0</v>
      </c>
      <c r="AT54" s="39">
        <v>100</v>
      </c>
      <c r="AU54" s="39" t="s">
        <v>95</v>
      </c>
      <c r="AV54" s="49">
        <v>400</v>
      </c>
      <c r="AW54" s="39" t="s">
        <v>62</v>
      </c>
      <c r="AX54" s="39">
        <v>10</v>
      </c>
      <c r="AY54" s="30">
        <v>5820531.2000000002</v>
      </c>
      <c r="AZ54" s="42" t="s">
        <v>97</v>
      </c>
    </row>
    <row r="55" spans="1:52" ht="60.75" customHeight="1" x14ac:dyDescent="0.25">
      <c r="A55" s="46" t="s">
        <v>789</v>
      </c>
      <c r="B55" s="48">
        <v>45254</v>
      </c>
      <c r="C55" s="42">
        <v>1416</v>
      </c>
      <c r="D55" s="37" t="s">
        <v>790</v>
      </c>
      <c r="E55" s="41" t="s">
        <v>791</v>
      </c>
      <c r="F55" s="38">
        <v>45275</v>
      </c>
      <c r="G55" s="39" t="s">
        <v>792</v>
      </c>
      <c r="H55" s="42" t="s">
        <v>88</v>
      </c>
      <c r="I55" s="42" t="s">
        <v>793</v>
      </c>
      <c r="J55" s="56">
        <v>46219245</v>
      </c>
      <c r="K55" s="56">
        <v>46219245</v>
      </c>
      <c r="L55" s="56">
        <v>0</v>
      </c>
      <c r="M55" s="56">
        <v>0</v>
      </c>
      <c r="N55" s="44">
        <v>0</v>
      </c>
      <c r="O55" s="45">
        <v>0</v>
      </c>
      <c r="P55" s="43">
        <v>46219245</v>
      </c>
      <c r="Q55" s="45">
        <v>0</v>
      </c>
      <c r="R55" s="43">
        <v>46219245</v>
      </c>
      <c r="S55" s="30">
        <v>46219245</v>
      </c>
      <c r="T55" s="30">
        <v>46219245</v>
      </c>
      <c r="U55" s="30">
        <v>12.49</v>
      </c>
      <c r="V55" s="43">
        <v>12.49</v>
      </c>
      <c r="W55" s="43">
        <v>6245</v>
      </c>
      <c r="X55" s="43">
        <v>3700500</v>
      </c>
      <c r="Y55" s="43">
        <v>3700500</v>
      </c>
      <c r="Z55" s="43">
        <v>0</v>
      </c>
      <c r="AA55" s="43">
        <v>0</v>
      </c>
      <c r="AB55" s="43">
        <v>0</v>
      </c>
      <c r="AC55" s="43">
        <v>0</v>
      </c>
      <c r="AD55" s="43">
        <v>3700500</v>
      </c>
      <c r="AE55" s="43">
        <v>46219245</v>
      </c>
      <c r="AF55" s="43">
        <v>7401</v>
      </c>
      <c r="AG55" s="43">
        <v>7401</v>
      </c>
      <c r="AH55" s="38">
        <v>45301</v>
      </c>
      <c r="AI55" s="38"/>
      <c r="AJ55" s="38"/>
      <c r="AK55" s="38">
        <v>45332</v>
      </c>
      <c r="AL55" s="38"/>
      <c r="AM55" s="48"/>
      <c r="AN55" s="42"/>
      <c r="AO55" s="42" t="s">
        <v>794</v>
      </c>
      <c r="AP55" s="42" t="s">
        <v>795</v>
      </c>
      <c r="AQ55" s="42" t="s">
        <v>796</v>
      </c>
      <c r="AR55" s="42" t="s">
        <v>773</v>
      </c>
      <c r="AS55" s="50">
        <v>0</v>
      </c>
      <c r="AT55" s="39">
        <v>100</v>
      </c>
      <c r="AU55" s="39" t="s">
        <v>95</v>
      </c>
      <c r="AV55" s="49">
        <v>500</v>
      </c>
      <c r="AW55" s="39" t="s">
        <v>62</v>
      </c>
      <c r="AX55" s="39">
        <v>10</v>
      </c>
      <c r="AY55" s="30">
        <v>4621924.5</v>
      </c>
      <c r="AZ55" s="42" t="s">
        <v>97</v>
      </c>
    </row>
    <row r="56" spans="1:52" ht="60.75" customHeight="1" x14ac:dyDescent="0.25">
      <c r="A56" s="46" t="s">
        <v>797</v>
      </c>
      <c r="B56" s="48">
        <v>45254</v>
      </c>
      <c r="C56" s="42">
        <v>1416</v>
      </c>
      <c r="D56" s="37" t="s">
        <v>798</v>
      </c>
      <c r="E56" s="41" t="s">
        <v>799</v>
      </c>
      <c r="F56" s="38">
        <v>45282</v>
      </c>
      <c r="G56" s="39" t="s">
        <v>800</v>
      </c>
      <c r="H56" s="42" t="s">
        <v>88</v>
      </c>
      <c r="I56" s="42" t="s">
        <v>801</v>
      </c>
      <c r="J56" s="56">
        <v>332011680</v>
      </c>
      <c r="K56" s="56">
        <v>332011680</v>
      </c>
      <c r="L56" s="56">
        <v>0</v>
      </c>
      <c r="M56" s="56">
        <v>0</v>
      </c>
      <c r="N56" s="44">
        <v>0</v>
      </c>
      <c r="O56" s="45">
        <v>0</v>
      </c>
      <c r="P56" s="43">
        <v>332011680</v>
      </c>
      <c r="Q56" s="45">
        <v>0</v>
      </c>
      <c r="R56" s="43">
        <v>332011680</v>
      </c>
      <c r="S56" s="30">
        <v>332011680</v>
      </c>
      <c r="T56" s="30">
        <v>332011680</v>
      </c>
      <c r="U56" s="30">
        <v>12.32</v>
      </c>
      <c r="V56" s="43">
        <v>12.32</v>
      </c>
      <c r="W56" s="43">
        <v>12320</v>
      </c>
      <c r="X56" s="43">
        <v>26949000</v>
      </c>
      <c r="Y56" s="43">
        <v>26949000</v>
      </c>
      <c r="Z56" s="43">
        <v>0</v>
      </c>
      <c r="AA56" s="43">
        <v>0</v>
      </c>
      <c r="AB56" s="43">
        <v>0</v>
      </c>
      <c r="AC56" s="43">
        <v>0</v>
      </c>
      <c r="AD56" s="43">
        <v>26949000</v>
      </c>
      <c r="AE56" s="43">
        <v>332011680</v>
      </c>
      <c r="AF56" s="43">
        <v>26949</v>
      </c>
      <c r="AG56" s="43">
        <v>26949</v>
      </c>
      <c r="AH56" s="38">
        <v>45301</v>
      </c>
      <c r="AI56" s="38"/>
      <c r="AJ56" s="38"/>
      <c r="AK56" s="38">
        <v>45332</v>
      </c>
      <c r="AL56" s="38"/>
      <c r="AM56" s="48"/>
      <c r="AN56" s="42"/>
      <c r="AO56" s="42" t="s">
        <v>794</v>
      </c>
      <c r="AP56" s="42" t="s">
        <v>802</v>
      </c>
      <c r="AQ56" s="42" t="s">
        <v>796</v>
      </c>
      <c r="AR56" s="42" t="s">
        <v>773</v>
      </c>
      <c r="AS56" s="50">
        <v>0</v>
      </c>
      <c r="AT56" s="39">
        <v>100</v>
      </c>
      <c r="AU56" s="39" t="s">
        <v>95</v>
      </c>
      <c r="AV56" s="49">
        <v>1000</v>
      </c>
      <c r="AW56" s="39" t="s">
        <v>62</v>
      </c>
      <c r="AX56" s="39">
        <v>10</v>
      </c>
      <c r="AY56" s="30">
        <v>33201168</v>
      </c>
      <c r="AZ56" s="42" t="s">
        <v>97</v>
      </c>
    </row>
    <row r="57" spans="1:52" ht="42.6" customHeight="1" x14ac:dyDescent="0.25">
      <c r="A57" s="46" t="s">
        <v>812</v>
      </c>
      <c r="B57" s="48">
        <v>45259</v>
      </c>
      <c r="C57" s="42">
        <v>1416</v>
      </c>
      <c r="D57" s="37" t="s">
        <v>813</v>
      </c>
      <c r="E57" s="41" t="s">
        <v>814</v>
      </c>
      <c r="F57" s="38">
        <v>45279</v>
      </c>
      <c r="G57" s="39" t="s">
        <v>815</v>
      </c>
      <c r="H57" s="42" t="s">
        <v>88</v>
      </c>
      <c r="I57" s="42" t="s">
        <v>816</v>
      </c>
      <c r="J57" s="56">
        <v>225303312</v>
      </c>
      <c r="K57" s="56">
        <v>225303312</v>
      </c>
      <c r="L57" s="56">
        <v>0</v>
      </c>
      <c r="M57" s="56">
        <v>0</v>
      </c>
      <c r="N57" s="44">
        <v>0</v>
      </c>
      <c r="O57" s="45">
        <v>0</v>
      </c>
      <c r="P57" s="43">
        <v>225303312</v>
      </c>
      <c r="Q57" s="45">
        <v>0</v>
      </c>
      <c r="R57" s="43">
        <v>225303312</v>
      </c>
      <c r="S57" s="30">
        <v>225303312</v>
      </c>
      <c r="T57" s="30">
        <v>225303312</v>
      </c>
      <c r="U57" s="30">
        <v>12.68</v>
      </c>
      <c r="V57" s="43">
        <v>12.68</v>
      </c>
      <c r="W57" s="43">
        <v>15216</v>
      </c>
      <c r="X57" s="43">
        <v>17768400</v>
      </c>
      <c r="Y57" s="43">
        <v>9120000</v>
      </c>
      <c r="Z57" s="43">
        <v>8648400</v>
      </c>
      <c r="AA57" s="43">
        <v>0</v>
      </c>
      <c r="AB57" s="43">
        <v>0</v>
      </c>
      <c r="AC57" s="43">
        <v>0</v>
      </c>
      <c r="AD57" s="43">
        <v>17768400</v>
      </c>
      <c r="AE57" s="43">
        <v>225303312</v>
      </c>
      <c r="AF57" s="43">
        <v>14807</v>
      </c>
      <c r="AG57" s="43">
        <v>14807</v>
      </c>
      <c r="AH57" s="38">
        <v>45352</v>
      </c>
      <c r="AI57" s="38">
        <v>45443</v>
      </c>
      <c r="AJ57" s="38"/>
      <c r="AK57" s="38">
        <v>45383</v>
      </c>
      <c r="AL57" s="38">
        <v>45474</v>
      </c>
      <c r="AM57" s="48"/>
      <c r="AN57" s="42"/>
      <c r="AO57" s="42" t="s">
        <v>691</v>
      </c>
      <c r="AP57" s="42" t="s">
        <v>692</v>
      </c>
      <c r="AQ57" s="42" t="s">
        <v>693</v>
      </c>
      <c r="AR57" s="42" t="s">
        <v>94</v>
      </c>
      <c r="AS57" s="50">
        <v>0</v>
      </c>
      <c r="AT57" s="39">
        <v>100</v>
      </c>
      <c r="AU57" s="39" t="s">
        <v>95</v>
      </c>
      <c r="AV57" s="49">
        <v>1200</v>
      </c>
      <c r="AW57" s="39" t="s">
        <v>62</v>
      </c>
      <c r="AX57" s="39">
        <v>10</v>
      </c>
      <c r="AY57" s="30">
        <v>22530331.199999999</v>
      </c>
      <c r="AZ57" s="42" t="s">
        <v>328</v>
      </c>
    </row>
    <row r="58" spans="1:52" ht="41.45" customHeight="1" x14ac:dyDescent="0.25">
      <c r="A58" s="46" t="s">
        <v>817</v>
      </c>
      <c r="B58" s="48">
        <v>45259</v>
      </c>
      <c r="C58" s="42">
        <v>1416</v>
      </c>
      <c r="D58" s="37" t="s">
        <v>434</v>
      </c>
      <c r="E58" s="41" t="s">
        <v>818</v>
      </c>
      <c r="F58" s="38" t="s">
        <v>434</v>
      </c>
      <c r="G58" s="39" t="s">
        <v>434</v>
      </c>
      <c r="H58" s="42" t="s">
        <v>434</v>
      </c>
      <c r="I58" s="42" t="s">
        <v>819</v>
      </c>
      <c r="J58" s="56">
        <v>11989016.76</v>
      </c>
      <c r="K58" s="56">
        <v>11989016.76</v>
      </c>
      <c r="L58" s="56"/>
      <c r="M58" s="56"/>
      <c r="N58" s="44">
        <v>100</v>
      </c>
      <c r="O58" s="45">
        <v>11989016.76</v>
      </c>
      <c r="P58" s="43"/>
      <c r="Q58" s="45">
        <v>11989016.76</v>
      </c>
      <c r="R58" s="43">
        <v>0</v>
      </c>
      <c r="S58" s="30">
        <v>0</v>
      </c>
      <c r="T58" s="30">
        <v>0</v>
      </c>
      <c r="U58" s="30" t="e">
        <v>#DIV/0!</v>
      </c>
      <c r="V58" s="43" t="e">
        <v>#DIV/0!</v>
      </c>
      <c r="W58" s="43" t="e">
        <v>#DIV/0!</v>
      </c>
      <c r="X58" s="43">
        <v>0</v>
      </c>
      <c r="Y58" s="43">
        <v>0</v>
      </c>
      <c r="Z58" s="43">
        <v>0</v>
      </c>
      <c r="AA58" s="43">
        <v>0</v>
      </c>
      <c r="AB58" s="43"/>
      <c r="AC58" s="43" t="e">
        <v>#DIV/0!</v>
      </c>
      <c r="AD58" s="43"/>
      <c r="AE58" s="43" t="e">
        <v>#DIV/0!</v>
      </c>
      <c r="AF58" s="43" t="e">
        <v>#DIV/0!</v>
      </c>
      <c r="AG58" s="43" t="e">
        <v>#DIV/0!</v>
      </c>
      <c r="AH58" s="38">
        <v>45413</v>
      </c>
      <c r="AI58" s="38"/>
      <c r="AJ58" s="38"/>
      <c r="AK58" s="38"/>
      <c r="AL58" s="38"/>
      <c r="AM58" s="48"/>
      <c r="AN58" s="42"/>
      <c r="AO58" s="42"/>
      <c r="AP58" s="42"/>
      <c r="AQ58" s="42"/>
      <c r="AR58" s="42"/>
      <c r="AS58" s="50"/>
      <c r="AT58" s="39"/>
      <c r="AU58" s="39"/>
      <c r="AV58" s="49"/>
      <c r="AW58" s="39"/>
      <c r="AX58" s="39">
        <v>10</v>
      </c>
      <c r="AY58" s="30">
        <v>1198901.676</v>
      </c>
      <c r="AZ58" s="42" t="s">
        <v>434</v>
      </c>
    </row>
    <row r="59" spans="1:52" ht="42" customHeight="1" x14ac:dyDescent="0.25">
      <c r="A59" s="46" t="s">
        <v>833</v>
      </c>
      <c r="B59" s="48">
        <v>45264</v>
      </c>
      <c r="C59" s="42">
        <v>1416</v>
      </c>
      <c r="D59" s="37" t="s">
        <v>834</v>
      </c>
      <c r="E59" s="41" t="s">
        <v>835</v>
      </c>
      <c r="F59" s="38">
        <v>45285</v>
      </c>
      <c r="G59" s="39" t="s">
        <v>836</v>
      </c>
      <c r="H59" s="42" t="s">
        <v>226</v>
      </c>
      <c r="I59" s="42" t="s">
        <v>837</v>
      </c>
      <c r="J59" s="56">
        <v>10021808.16</v>
      </c>
      <c r="K59" s="56">
        <v>10021808.16</v>
      </c>
      <c r="L59" s="56">
        <v>0</v>
      </c>
      <c r="M59" s="56">
        <v>0</v>
      </c>
      <c r="N59" s="44">
        <v>87.736469303958415</v>
      </c>
      <c r="O59" s="45">
        <v>8792780.6400000006</v>
      </c>
      <c r="P59" s="43">
        <v>1229027.52</v>
      </c>
      <c r="Q59" s="45">
        <v>8792780.6400000006</v>
      </c>
      <c r="R59" s="43">
        <v>1229027.52</v>
      </c>
      <c r="S59" s="30">
        <v>1229027.52</v>
      </c>
      <c r="T59" s="30">
        <v>1229027.52</v>
      </c>
      <c r="U59" s="30">
        <v>98.86</v>
      </c>
      <c r="V59" s="43">
        <v>98.86</v>
      </c>
      <c r="W59" s="43">
        <v>2076.06</v>
      </c>
      <c r="X59" s="43">
        <v>12432</v>
      </c>
      <c r="Y59" s="43">
        <v>12432</v>
      </c>
      <c r="Z59" s="43">
        <v>0</v>
      </c>
      <c r="AA59" s="43">
        <v>0</v>
      </c>
      <c r="AB59" s="43">
        <v>0</v>
      </c>
      <c r="AC59" s="43">
        <v>0</v>
      </c>
      <c r="AD59" s="43">
        <v>12432</v>
      </c>
      <c r="AE59" s="43">
        <v>1229027.52</v>
      </c>
      <c r="AF59" s="43">
        <v>592</v>
      </c>
      <c r="AG59" s="43">
        <v>592</v>
      </c>
      <c r="AH59" s="38">
        <v>45352</v>
      </c>
      <c r="AI59" s="38"/>
      <c r="AJ59" s="38"/>
      <c r="AK59" s="38">
        <v>45383</v>
      </c>
      <c r="AL59" s="38"/>
      <c r="AM59" s="48"/>
      <c r="AN59" s="42"/>
      <c r="AO59" s="42" t="s">
        <v>838</v>
      </c>
      <c r="AP59" s="42" t="s">
        <v>839</v>
      </c>
      <c r="AQ59" s="42" t="s">
        <v>840</v>
      </c>
      <c r="AR59" s="42" t="s">
        <v>82</v>
      </c>
      <c r="AS59" s="50">
        <v>100</v>
      </c>
      <c r="AT59" s="39">
        <v>0</v>
      </c>
      <c r="AU59" s="39" t="s">
        <v>389</v>
      </c>
      <c r="AV59" s="49">
        <v>21</v>
      </c>
      <c r="AW59" s="39" t="s">
        <v>62</v>
      </c>
      <c r="AX59" s="39">
        <v>10</v>
      </c>
      <c r="AY59" s="30">
        <v>1002180.816</v>
      </c>
      <c r="AZ59" s="42" t="s">
        <v>405</v>
      </c>
    </row>
    <row r="60" spans="1:52" ht="42" customHeight="1" x14ac:dyDescent="0.25">
      <c r="A60" s="46" t="s">
        <v>849</v>
      </c>
      <c r="B60" s="48">
        <v>45264</v>
      </c>
      <c r="C60" s="42">
        <v>1416</v>
      </c>
      <c r="D60" s="37" t="s">
        <v>850</v>
      </c>
      <c r="E60" s="41" t="s">
        <v>851</v>
      </c>
      <c r="F60" s="38">
        <v>45285</v>
      </c>
      <c r="G60" s="39" t="s">
        <v>852</v>
      </c>
      <c r="H60" s="42" t="s">
        <v>54</v>
      </c>
      <c r="I60" s="42" t="s">
        <v>853</v>
      </c>
      <c r="J60" s="56">
        <v>24725220.030000001</v>
      </c>
      <c r="K60" s="56">
        <v>24725220.030000001</v>
      </c>
      <c r="L60" s="56">
        <v>0</v>
      </c>
      <c r="M60" s="56">
        <v>0</v>
      </c>
      <c r="N60" s="44">
        <v>0.499999999393338</v>
      </c>
      <c r="O60" s="45">
        <v>123626.10000000149</v>
      </c>
      <c r="P60" s="43">
        <v>24601593.93</v>
      </c>
      <c r="Q60" s="45">
        <v>123626.10000000149</v>
      </c>
      <c r="R60" s="43">
        <v>24601593.93</v>
      </c>
      <c r="S60" s="30">
        <v>24601583.789999999</v>
      </c>
      <c r="T60" s="30">
        <v>24601583.789999999</v>
      </c>
      <c r="U60" s="30">
        <v>10554.09</v>
      </c>
      <c r="V60" s="43">
        <v>10554.09</v>
      </c>
      <c r="W60" s="43">
        <v>221635.89</v>
      </c>
      <c r="X60" s="43">
        <v>2331</v>
      </c>
      <c r="Y60" s="43">
        <v>2331</v>
      </c>
      <c r="Z60" s="43">
        <v>0</v>
      </c>
      <c r="AA60" s="43">
        <v>0</v>
      </c>
      <c r="AB60" s="43">
        <v>0</v>
      </c>
      <c r="AC60" s="43">
        <v>0</v>
      </c>
      <c r="AD60" s="43">
        <v>2331</v>
      </c>
      <c r="AE60" s="43">
        <v>24601583.789999999</v>
      </c>
      <c r="AF60" s="43">
        <v>111</v>
      </c>
      <c r="AG60" s="43">
        <v>111</v>
      </c>
      <c r="AH60" s="38">
        <v>45352</v>
      </c>
      <c r="AI60" s="38"/>
      <c r="AJ60" s="38"/>
      <c r="AK60" s="38">
        <v>45017</v>
      </c>
      <c r="AL60" s="38"/>
      <c r="AM60" s="48"/>
      <c r="AN60" s="42"/>
      <c r="AO60" s="42" t="s">
        <v>854</v>
      </c>
      <c r="AP60" s="42" t="s">
        <v>855</v>
      </c>
      <c r="AQ60" s="42" t="s">
        <v>856</v>
      </c>
      <c r="AR60" s="42" t="s">
        <v>82</v>
      </c>
      <c r="AS60" s="50">
        <v>100</v>
      </c>
      <c r="AT60" s="39">
        <v>0</v>
      </c>
      <c r="AU60" s="39" t="s">
        <v>389</v>
      </c>
      <c r="AV60" s="49">
        <v>21</v>
      </c>
      <c r="AW60" s="39" t="s">
        <v>62</v>
      </c>
      <c r="AX60" s="39">
        <v>10</v>
      </c>
      <c r="AY60" s="30">
        <v>2472522.003</v>
      </c>
      <c r="AZ60" s="42" t="s">
        <v>405</v>
      </c>
    </row>
    <row r="61" spans="1:52" ht="75" x14ac:dyDescent="0.25">
      <c r="A61" s="46" t="s">
        <v>857</v>
      </c>
      <c r="B61" s="48">
        <v>45264</v>
      </c>
      <c r="C61" s="42">
        <v>1416</v>
      </c>
      <c r="D61" s="37" t="s">
        <v>434</v>
      </c>
      <c r="E61" s="41" t="s">
        <v>858</v>
      </c>
      <c r="F61" s="38" t="s">
        <v>434</v>
      </c>
      <c r="G61" s="39" t="s">
        <v>434</v>
      </c>
      <c r="H61" s="42" t="s">
        <v>434</v>
      </c>
      <c r="I61" s="42" t="s">
        <v>859</v>
      </c>
      <c r="J61" s="56">
        <v>1009470</v>
      </c>
      <c r="K61" s="56">
        <v>1009470</v>
      </c>
      <c r="L61" s="56"/>
      <c r="M61" s="56"/>
      <c r="N61" s="44">
        <v>100</v>
      </c>
      <c r="O61" s="45">
        <v>1009470</v>
      </c>
      <c r="P61" s="43"/>
      <c r="Q61" s="45">
        <v>1009470</v>
      </c>
      <c r="R61" s="43">
        <v>0</v>
      </c>
      <c r="S61" s="30">
        <v>0</v>
      </c>
      <c r="T61" s="30">
        <v>0</v>
      </c>
      <c r="U61" s="30" t="e">
        <v>#DIV/0!</v>
      </c>
      <c r="V61" s="43" t="e">
        <v>#DIV/0!</v>
      </c>
      <c r="W61" s="43" t="e">
        <v>#DIV/0!</v>
      </c>
      <c r="X61" s="43">
        <v>0</v>
      </c>
      <c r="Y61" s="43">
        <v>0</v>
      </c>
      <c r="Z61" s="43">
        <v>0</v>
      </c>
      <c r="AA61" s="43">
        <v>0</v>
      </c>
      <c r="AB61" s="43"/>
      <c r="AC61" s="43" t="e">
        <v>#DIV/0!</v>
      </c>
      <c r="AD61" s="43"/>
      <c r="AE61" s="43" t="e">
        <v>#DIV/0!</v>
      </c>
      <c r="AF61" s="43" t="e">
        <v>#DIV/0!</v>
      </c>
      <c r="AG61" s="43" t="e">
        <v>#DIV/0!</v>
      </c>
      <c r="AH61" s="38">
        <v>45352</v>
      </c>
      <c r="AI61" s="38"/>
      <c r="AJ61" s="38"/>
      <c r="AK61" s="38"/>
      <c r="AL61" s="38"/>
      <c r="AM61" s="48"/>
      <c r="AN61" s="42"/>
      <c r="AO61" s="42"/>
      <c r="AP61" s="42"/>
      <c r="AQ61" s="42"/>
      <c r="AR61" s="42"/>
      <c r="AS61" s="50"/>
      <c r="AT61" s="39"/>
      <c r="AU61" s="39"/>
      <c r="AV61" s="49"/>
      <c r="AW61" s="39"/>
      <c r="AX61" s="39">
        <v>10</v>
      </c>
      <c r="AY61" s="30">
        <v>100947</v>
      </c>
      <c r="AZ61" s="42" t="s">
        <v>434</v>
      </c>
    </row>
    <row r="62" spans="1:52" ht="87" customHeight="1" x14ac:dyDescent="0.25">
      <c r="A62" s="46" t="s">
        <v>860</v>
      </c>
      <c r="B62" s="48">
        <v>45268</v>
      </c>
      <c r="C62" s="42">
        <v>1416</v>
      </c>
      <c r="D62" s="37" t="s">
        <v>861</v>
      </c>
      <c r="E62" s="41" t="s">
        <v>862</v>
      </c>
      <c r="F62" s="38">
        <v>45289</v>
      </c>
      <c r="G62" s="39" t="s">
        <v>863</v>
      </c>
      <c r="H62" s="42" t="s">
        <v>141</v>
      </c>
      <c r="I62" s="42" t="s">
        <v>864</v>
      </c>
      <c r="J62" s="56">
        <v>14412600</v>
      </c>
      <c r="K62" s="56">
        <v>14412600</v>
      </c>
      <c r="L62" s="56">
        <v>0</v>
      </c>
      <c r="M62" s="56">
        <v>0</v>
      </c>
      <c r="N62" s="44">
        <v>0</v>
      </c>
      <c r="O62" s="45">
        <v>0</v>
      </c>
      <c r="P62" s="43">
        <v>14412600</v>
      </c>
      <c r="Q62" s="45">
        <v>0</v>
      </c>
      <c r="R62" s="43">
        <v>14412600</v>
      </c>
      <c r="S62" s="30">
        <v>14412600</v>
      </c>
      <c r="T62" s="30">
        <v>14412600</v>
      </c>
      <c r="U62" s="30">
        <v>7.85</v>
      </c>
      <c r="V62" s="43">
        <v>7.85</v>
      </c>
      <c r="W62" s="43">
        <v>3925</v>
      </c>
      <c r="X62" s="43">
        <v>1836000</v>
      </c>
      <c r="Y62" s="43">
        <v>1836000</v>
      </c>
      <c r="Z62" s="43">
        <v>0</v>
      </c>
      <c r="AA62" s="43">
        <v>0</v>
      </c>
      <c r="AB62" s="43">
        <v>613000</v>
      </c>
      <c r="AC62" s="43">
        <v>4812050</v>
      </c>
      <c r="AD62" s="43">
        <v>1223000</v>
      </c>
      <c r="AE62" s="43">
        <v>9600550</v>
      </c>
      <c r="AF62" s="43">
        <v>3672</v>
      </c>
      <c r="AG62" s="43">
        <v>3672</v>
      </c>
      <c r="AH62" s="38">
        <v>45383</v>
      </c>
      <c r="AI62" s="38"/>
      <c r="AJ62" s="38"/>
      <c r="AK62" s="38">
        <v>45413</v>
      </c>
      <c r="AL62" s="38"/>
      <c r="AM62" s="48"/>
      <c r="AN62" s="42"/>
      <c r="AO62" s="42" t="s">
        <v>865</v>
      </c>
      <c r="AP62" s="42" t="s">
        <v>866</v>
      </c>
      <c r="AQ62" s="42" t="s">
        <v>867</v>
      </c>
      <c r="AR62" s="42" t="s">
        <v>82</v>
      </c>
      <c r="AS62" s="50">
        <v>100</v>
      </c>
      <c r="AT62" s="39">
        <v>0</v>
      </c>
      <c r="AU62" s="39" t="s">
        <v>95</v>
      </c>
      <c r="AV62" s="49">
        <v>500</v>
      </c>
      <c r="AW62" s="39" t="s">
        <v>62</v>
      </c>
      <c r="AX62" s="39">
        <v>10</v>
      </c>
      <c r="AY62" s="30">
        <v>1441260</v>
      </c>
      <c r="AZ62" s="42" t="s">
        <v>405</v>
      </c>
    </row>
    <row r="63" spans="1:52" ht="87" customHeight="1" x14ac:dyDescent="0.25">
      <c r="A63" s="46" t="s">
        <v>868</v>
      </c>
      <c r="B63" s="48">
        <v>45268</v>
      </c>
      <c r="C63" s="42">
        <v>1416</v>
      </c>
      <c r="D63" s="37" t="s">
        <v>869</v>
      </c>
      <c r="E63" s="41" t="s">
        <v>870</v>
      </c>
      <c r="F63" s="38">
        <v>45302</v>
      </c>
      <c r="G63" s="39" t="s">
        <v>871</v>
      </c>
      <c r="H63" s="42" t="s">
        <v>88</v>
      </c>
      <c r="I63" s="42" t="s">
        <v>872</v>
      </c>
      <c r="J63" s="56">
        <v>312035112</v>
      </c>
      <c r="K63" s="56">
        <v>312035112</v>
      </c>
      <c r="L63" s="56">
        <v>0</v>
      </c>
      <c r="M63" s="56">
        <v>0</v>
      </c>
      <c r="N63" s="44">
        <v>0</v>
      </c>
      <c r="O63" s="45">
        <v>0</v>
      </c>
      <c r="P63" s="43">
        <v>312035112</v>
      </c>
      <c r="Q63" s="45">
        <v>0</v>
      </c>
      <c r="R63" s="43">
        <v>312035112</v>
      </c>
      <c r="S63" s="30">
        <v>312035112</v>
      </c>
      <c r="T63" s="30">
        <v>312035112</v>
      </c>
      <c r="U63" s="30">
        <v>12.84</v>
      </c>
      <c r="V63" s="43">
        <v>12.84</v>
      </c>
      <c r="W63" s="43">
        <v>30816</v>
      </c>
      <c r="X63" s="43">
        <v>24301800</v>
      </c>
      <c r="Y63" s="43">
        <v>11232000</v>
      </c>
      <c r="Z63" s="43">
        <v>13069800</v>
      </c>
      <c r="AA63" s="43">
        <v>0</v>
      </c>
      <c r="AB63" s="43">
        <v>9834600</v>
      </c>
      <c r="AC63" s="43">
        <v>126276264</v>
      </c>
      <c r="AD63" s="43">
        <v>14467200</v>
      </c>
      <c r="AE63" s="43">
        <v>185758848</v>
      </c>
      <c r="AF63" s="43">
        <v>10125.75</v>
      </c>
      <c r="AG63" s="43">
        <v>10126</v>
      </c>
      <c r="AH63" s="38">
        <v>45352</v>
      </c>
      <c r="AI63" s="38">
        <v>45444</v>
      </c>
      <c r="AJ63" s="38"/>
      <c r="AK63" s="38">
        <v>45383</v>
      </c>
      <c r="AL63" s="38">
        <v>45474</v>
      </c>
      <c r="AM63" s="48"/>
      <c r="AN63" s="42"/>
      <c r="AO63" s="42" t="s">
        <v>691</v>
      </c>
      <c r="AP63" s="42" t="s">
        <v>873</v>
      </c>
      <c r="AQ63" s="42" t="s">
        <v>693</v>
      </c>
      <c r="AR63" s="42" t="s">
        <v>94</v>
      </c>
      <c r="AS63" s="50">
        <v>0</v>
      </c>
      <c r="AT63" s="39">
        <v>100</v>
      </c>
      <c r="AU63" s="39" t="s">
        <v>95</v>
      </c>
      <c r="AV63" s="49">
        <v>2400</v>
      </c>
      <c r="AW63" s="39" t="s">
        <v>62</v>
      </c>
      <c r="AX63" s="39">
        <v>10</v>
      </c>
      <c r="AY63" s="30">
        <v>31203511.199999999</v>
      </c>
      <c r="AZ63" s="42" t="s">
        <v>328</v>
      </c>
    </row>
    <row r="64" spans="1:52" ht="75" x14ac:dyDescent="0.25">
      <c r="A64" s="46" t="s">
        <v>874</v>
      </c>
      <c r="B64" s="48">
        <v>45268</v>
      </c>
      <c r="C64" s="42">
        <v>1416</v>
      </c>
      <c r="D64" s="37" t="s">
        <v>875</v>
      </c>
      <c r="E64" s="41" t="s">
        <v>876</v>
      </c>
      <c r="F64" s="38">
        <v>45300</v>
      </c>
      <c r="G64" s="39" t="s">
        <v>877</v>
      </c>
      <c r="H64" s="42" t="s">
        <v>226</v>
      </c>
      <c r="I64" s="42" t="s">
        <v>878</v>
      </c>
      <c r="J64" s="56">
        <v>26867326.5</v>
      </c>
      <c r="K64" s="56">
        <v>26867326.5</v>
      </c>
      <c r="L64" s="56">
        <v>0</v>
      </c>
      <c r="M64" s="56">
        <v>0</v>
      </c>
      <c r="N64" s="44">
        <v>0.49999999069501372</v>
      </c>
      <c r="O64" s="45">
        <v>134336.62999999896</v>
      </c>
      <c r="P64" s="43">
        <v>26732989.870000001</v>
      </c>
      <c r="Q64" s="45">
        <v>134336.62999999896</v>
      </c>
      <c r="R64" s="43">
        <v>26732989.870000001</v>
      </c>
      <c r="S64" s="30">
        <v>26723938.5</v>
      </c>
      <c r="T64" s="30">
        <v>26723938.5</v>
      </c>
      <c r="U64" s="30">
        <v>14.91</v>
      </c>
      <c r="V64" s="43">
        <v>14.91</v>
      </c>
      <c r="W64" s="43">
        <v>745.5</v>
      </c>
      <c r="X64" s="43">
        <v>1792350</v>
      </c>
      <c r="Y64" s="43">
        <v>1792350</v>
      </c>
      <c r="Z64" s="43">
        <v>0</v>
      </c>
      <c r="AA64" s="43">
        <v>0</v>
      </c>
      <c r="AB64" s="43">
        <v>57100</v>
      </c>
      <c r="AC64" s="43">
        <v>851361</v>
      </c>
      <c r="AD64" s="43">
        <v>1735250</v>
      </c>
      <c r="AE64" s="43">
        <v>25872577.5</v>
      </c>
      <c r="AF64" s="43">
        <v>35847</v>
      </c>
      <c r="AG64" s="43">
        <v>35847</v>
      </c>
      <c r="AH64" s="38">
        <v>45323</v>
      </c>
      <c r="AI64" s="38"/>
      <c r="AJ64" s="38"/>
      <c r="AK64" s="38">
        <v>45352</v>
      </c>
      <c r="AL64" s="38"/>
      <c r="AM64" s="48"/>
      <c r="AN64" s="42"/>
      <c r="AO64" s="42" t="s">
        <v>879</v>
      </c>
      <c r="AP64" s="42" t="s">
        <v>880</v>
      </c>
      <c r="AQ64" s="42" t="s">
        <v>881</v>
      </c>
      <c r="AR64" s="42" t="s">
        <v>82</v>
      </c>
      <c r="AS64" s="50">
        <v>100</v>
      </c>
      <c r="AT64" s="39">
        <v>0</v>
      </c>
      <c r="AU64" s="39" t="s">
        <v>389</v>
      </c>
      <c r="AV64" s="49">
        <v>50</v>
      </c>
      <c r="AW64" s="39" t="s">
        <v>62</v>
      </c>
      <c r="AX64" s="39">
        <v>10</v>
      </c>
      <c r="AY64" s="30">
        <v>2686732.65</v>
      </c>
      <c r="AZ64" s="42" t="s">
        <v>405</v>
      </c>
    </row>
    <row r="65" spans="1:52" ht="75" x14ac:dyDescent="0.25">
      <c r="A65" s="46" t="s">
        <v>882</v>
      </c>
      <c r="B65" s="48">
        <v>45264</v>
      </c>
      <c r="C65" s="42">
        <v>1416</v>
      </c>
      <c r="D65" s="37" t="s">
        <v>434</v>
      </c>
      <c r="E65" s="41" t="s">
        <v>883</v>
      </c>
      <c r="F65" s="38" t="s">
        <v>434</v>
      </c>
      <c r="G65" s="39" t="s">
        <v>434</v>
      </c>
      <c r="H65" s="42" t="s">
        <v>434</v>
      </c>
      <c r="I65" s="42" t="s">
        <v>884</v>
      </c>
      <c r="J65" s="56">
        <v>90409106.969999999</v>
      </c>
      <c r="K65" s="56">
        <v>90409106.969999999</v>
      </c>
      <c r="L65" s="56"/>
      <c r="M65" s="56"/>
      <c r="N65" s="44">
        <v>100</v>
      </c>
      <c r="O65" s="45">
        <v>90409106.969999999</v>
      </c>
      <c r="P65" s="43"/>
      <c r="Q65" s="45">
        <v>90409106.969999999</v>
      </c>
      <c r="R65" s="43">
        <v>0</v>
      </c>
      <c r="S65" s="30">
        <v>0</v>
      </c>
      <c r="T65" s="30">
        <v>0</v>
      </c>
      <c r="U65" s="30" t="e">
        <v>#DIV/0!</v>
      </c>
      <c r="V65" s="43" t="e">
        <v>#DIV/0!</v>
      </c>
      <c r="W65" s="43" t="e">
        <v>#DIV/0!</v>
      </c>
      <c r="X65" s="43">
        <v>0</v>
      </c>
      <c r="Y65" s="43">
        <v>0</v>
      </c>
      <c r="Z65" s="43">
        <v>0</v>
      </c>
      <c r="AA65" s="43">
        <v>0</v>
      </c>
      <c r="AB65" s="43"/>
      <c r="AC65" s="43" t="e">
        <v>#DIV/0!</v>
      </c>
      <c r="AD65" s="43"/>
      <c r="AE65" s="43" t="e">
        <v>#DIV/0!</v>
      </c>
      <c r="AF65" s="43" t="e">
        <v>#DIV/0!</v>
      </c>
      <c r="AG65" s="43" t="e">
        <v>#DIV/0!</v>
      </c>
      <c r="AH65" s="38">
        <v>45412</v>
      </c>
      <c r="AI65" s="38"/>
      <c r="AJ65" s="38"/>
      <c r="AK65" s="38"/>
      <c r="AL65" s="38"/>
      <c r="AM65" s="48"/>
      <c r="AN65" s="42"/>
      <c r="AO65" s="42"/>
      <c r="AP65" s="42"/>
      <c r="AQ65" s="42"/>
      <c r="AR65" s="42"/>
      <c r="AS65" s="50"/>
      <c r="AT65" s="39"/>
      <c r="AU65" s="39"/>
      <c r="AV65" s="49"/>
      <c r="AW65" s="39"/>
      <c r="AX65" s="39">
        <v>10</v>
      </c>
      <c r="AY65" s="30">
        <v>9040910.6970000006</v>
      </c>
      <c r="AZ65" s="42" t="s">
        <v>434</v>
      </c>
    </row>
    <row r="66" spans="1:52" ht="81.75" customHeight="1" x14ac:dyDescent="0.25">
      <c r="A66" s="46" t="s">
        <v>893</v>
      </c>
      <c r="B66" s="48">
        <v>45268</v>
      </c>
      <c r="C66" s="42">
        <v>1416</v>
      </c>
      <c r="D66" s="37" t="s">
        <v>894</v>
      </c>
      <c r="E66" s="41" t="s">
        <v>895</v>
      </c>
      <c r="F66" s="38">
        <v>45289</v>
      </c>
      <c r="G66" s="39" t="s">
        <v>896</v>
      </c>
      <c r="H66" s="42" t="s">
        <v>226</v>
      </c>
      <c r="I66" s="42" t="s">
        <v>897</v>
      </c>
      <c r="J66" s="56">
        <v>215192050</v>
      </c>
      <c r="K66" s="56">
        <v>215192050</v>
      </c>
      <c r="L66" s="56">
        <v>0</v>
      </c>
      <c r="M66" s="56">
        <v>0</v>
      </c>
      <c r="N66" s="44">
        <v>0</v>
      </c>
      <c r="O66" s="45">
        <v>0</v>
      </c>
      <c r="P66" s="43">
        <v>215192050</v>
      </c>
      <c r="Q66" s="45">
        <v>0</v>
      </c>
      <c r="R66" s="43">
        <v>215192050</v>
      </c>
      <c r="S66" s="30">
        <v>215192050</v>
      </c>
      <c r="T66" s="30">
        <v>215192050</v>
      </c>
      <c r="U66" s="30">
        <v>7.85</v>
      </c>
      <c r="V66" s="43">
        <v>7.85</v>
      </c>
      <c r="W66" s="43">
        <v>7850</v>
      </c>
      <c r="X66" s="43">
        <v>27413000</v>
      </c>
      <c r="Y66" s="43">
        <v>27413000</v>
      </c>
      <c r="Z66" s="43">
        <v>0</v>
      </c>
      <c r="AA66" s="43">
        <v>0</v>
      </c>
      <c r="AB66" s="43">
        <v>7264000</v>
      </c>
      <c r="AC66" s="43">
        <v>57022400</v>
      </c>
      <c r="AD66" s="43">
        <v>20149000</v>
      </c>
      <c r="AE66" s="43">
        <v>158169650</v>
      </c>
      <c r="AF66" s="43">
        <v>27413</v>
      </c>
      <c r="AG66" s="43">
        <v>27413</v>
      </c>
      <c r="AH66" s="38">
        <v>45383</v>
      </c>
      <c r="AI66" s="38"/>
      <c r="AJ66" s="38"/>
      <c r="AK66" s="38"/>
      <c r="AL66" s="38"/>
      <c r="AM66" s="48"/>
      <c r="AN66" s="42"/>
      <c r="AO66" s="42" t="s">
        <v>898</v>
      </c>
      <c r="AP66" s="42" t="s">
        <v>899</v>
      </c>
      <c r="AQ66" s="42" t="s">
        <v>900</v>
      </c>
      <c r="AR66" s="42" t="s">
        <v>82</v>
      </c>
      <c r="AS66" s="50">
        <v>100</v>
      </c>
      <c r="AT66" s="39">
        <v>0</v>
      </c>
      <c r="AU66" s="39" t="s">
        <v>95</v>
      </c>
      <c r="AV66" s="49">
        <v>1000</v>
      </c>
      <c r="AW66" s="39" t="s">
        <v>62</v>
      </c>
      <c r="AX66" s="39">
        <v>10</v>
      </c>
      <c r="AY66" s="30">
        <v>21519205</v>
      </c>
      <c r="AZ66" s="42" t="s">
        <v>405</v>
      </c>
    </row>
    <row r="67" spans="1:52" ht="78.75" x14ac:dyDescent="0.25">
      <c r="A67" s="46" t="s">
        <v>901</v>
      </c>
      <c r="B67" s="48">
        <v>45268</v>
      </c>
      <c r="C67" s="42">
        <v>1416</v>
      </c>
      <c r="D67" s="37" t="s">
        <v>434</v>
      </c>
      <c r="E67" s="41" t="s">
        <v>902</v>
      </c>
      <c r="F67" s="38" t="s">
        <v>434</v>
      </c>
      <c r="G67" s="39" t="s">
        <v>434</v>
      </c>
      <c r="H67" s="42" t="s">
        <v>434</v>
      </c>
      <c r="I67" s="42" t="s">
        <v>903</v>
      </c>
      <c r="J67" s="56">
        <v>378638760</v>
      </c>
      <c r="K67" s="56">
        <v>378638760</v>
      </c>
      <c r="L67" s="56"/>
      <c r="M67" s="56"/>
      <c r="N67" s="44">
        <v>100</v>
      </c>
      <c r="O67" s="45">
        <v>378638760</v>
      </c>
      <c r="P67" s="43"/>
      <c r="Q67" s="45">
        <v>378638760</v>
      </c>
      <c r="R67" s="43">
        <v>0</v>
      </c>
      <c r="S67" s="30">
        <v>0</v>
      </c>
      <c r="T67" s="30">
        <v>0</v>
      </c>
      <c r="U67" s="30" t="e">
        <v>#DIV/0!</v>
      </c>
      <c r="V67" s="43" t="e">
        <v>#DIV/0!</v>
      </c>
      <c r="W67" s="43" t="e">
        <v>#DIV/0!</v>
      </c>
      <c r="X67" s="43">
        <v>0</v>
      </c>
      <c r="Y67" s="43">
        <v>0</v>
      </c>
      <c r="Z67" s="43">
        <v>0</v>
      </c>
      <c r="AA67" s="43">
        <v>0</v>
      </c>
      <c r="AB67" s="43"/>
      <c r="AC67" s="43" t="e">
        <v>#DIV/0!</v>
      </c>
      <c r="AD67" s="43"/>
      <c r="AE67" s="43" t="e">
        <v>#DIV/0!</v>
      </c>
      <c r="AF67" s="43" t="e">
        <v>#DIV/0!</v>
      </c>
      <c r="AG67" s="43" t="e">
        <v>#DIV/0!</v>
      </c>
      <c r="AH67" s="38">
        <v>45323</v>
      </c>
      <c r="AI67" s="38"/>
      <c r="AJ67" s="38"/>
      <c r="AK67" s="38"/>
      <c r="AL67" s="38"/>
      <c r="AM67" s="48"/>
      <c r="AN67" s="42"/>
      <c r="AO67" s="42"/>
      <c r="AP67" s="42"/>
      <c r="AQ67" s="42"/>
      <c r="AR67" s="42"/>
      <c r="AS67" s="50"/>
      <c r="AT67" s="39"/>
      <c r="AU67" s="39"/>
      <c r="AV67" s="49"/>
      <c r="AW67" s="39"/>
      <c r="AX67" s="39">
        <v>10</v>
      </c>
      <c r="AY67" s="30">
        <v>37863876</v>
      </c>
      <c r="AZ67" s="42" t="s">
        <v>434</v>
      </c>
    </row>
    <row r="68" spans="1:52" ht="75" x14ac:dyDescent="0.25">
      <c r="A68" s="46" t="s">
        <v>904</v>
      </c>
      <c r="B68" s="48">
        <v>45268</v>
      </c>
      <c r="C68" s="42">
        <v>1416</v>
      </c>
      <c r="D68" s="37" t="s">
        <v>434</v>
      </c>
      <c r="E68" s="41" t="s">
        <v>905</v>
      </c>
      <c r="F68" s="38" t="s">
        <v>434</v>
      </c>
      <c r="G68" s="39" t="s">
        <v>434</v>
      </c>
      <c r="H68" s="42" t="s">
        <v>434</v>
      </c>
      <c r="I68" s="42" t="s">
        <v>906</v>
      </c>
      <c r="J68" s="56">
        <v>2719716153</v>
      </c>
      <c r="K68" s="56">
        <v>2719716153</v>
      </c>
      <c r="L68" s="56"/>
      <c r="M68" s="56"/>
      <c r="N68" s="44">
        <v>100</v>
      </c>
      <c r="O68" s="45">
        <v>2719716153</v>
      </c>
      <c r="P68" s="43"/>
      <c r="Q68" s="45">
        <v>2719716153</v>
      </c>
      <c r="R68" s="43">
        <v>0</v>
      </c>
      <c r="S68" s="30">
        <v>0</v>
      </c>
      <c r="T68" s="30">
        <v>0</v>
      </c>
      <c r="U68" s="30" t="e">
        <v>#DIV/0!</v>
      </c>
      <c r="V68" s="43" t="e">
        <v>#DIV/0!</v>
      </c>
      <c r="W68" s="43" t="e">
        <v>#DIV/0!</v>
      </c>
      <c r="X68" s="43">
        <v>0</v>
      </c>
      <c r="Y68" s="43">
        <v>0</v>
      </c>
      <c r="Z68" s="43">
        <v>0</v>
      </c>
      <c r="AA68" s="43">
        <v>0</v>
      </c>
      <c r="AB68" s="43"/>
      <c r="AC68" s="43" t="e">
        <v>#DIV/0!</v>
      </c>
      <c r="AD68" s="43"/>
      <c r="AE68" s="43" t="e">
        <v>#DIV/0!</v>
      </c>
      <c r="AF68" s="43" t="e">
        <v>#DIV/0!</v>
      </c>
      <c r="AG68" s="43" t="e">
        <v>#DIV/0!</v>
      </c>
      <c r="AH68" s="38">
        <v>45352</v>
      </c>
      <c r="AI68" s="38">
        <v>45427</v>
      </c>
      <c r="AJ68" s="38">
        <v>45458</v>
      </c>
      <c r="AK68" s="38"/>
      <c r="AL68" s="38"/>
      <c r="AM68" s="48"/>
      <c r="AN68" s="42"/>
      <c r="AO68" s="42"/>
      <c r="AP68" s="42"/>
      <c r="AQ68" s="42"/>
      <c r="AR68" s="42"/>
      <c r="AS68" s="50"/>
      <c r="AT68" s="39"/>
      <c r="AU68" s="39"/>
      <c r="AV68" s="49"/>
      <c r="AW68" s="39"/>
      <c r="AX68" s="39">
        <v>10</v>
      </c>
      <c r="AY68" s="30">
        <v>271971615.30000001</v>
      </c>
      <c r="AZ68" s="42" t="s">
        <v>434</v>
      </c>
    </row>
    <row r="69" spans="1:52" ht="75" x14ac:dyDescent="0.25">
      <c r="A69" s="46" t="s">
        <v>907</v>
      </c>
      <c r="B69" s="48">
        <v>45268</v>
      </c>
      <c r="C69" s="42">
        <v>1416</v>
      </c>
      <c r="D69" s="37" t="s">
        <v>434</v>
      </c>
      <c r="E69" s="41" t="s">
        <v>908</v>
      </c>
      <c r="F69" s="38" t="s">
        <v>434</v>
      </c>
      <c r="G69" s="39" t="s">
        <v>434</v>
      </c>
      <c r="H69" s="42" t="s">
        <v>434</v>
      </c>
      <c r="I69" s="42" t="s">
        <v>909</v>
      </c>
      <c r="J69" s="56">
        <v>360840</v>
      </c>
      <c r="K69" s="56">
        <v>360840</v>
      </c>
      <c r="L69" s="56"/>
      <c r="M69" s="56"/>
      <c r="N69" s="44">
        <v>100</v>
      </c>
      <c r="O69" s="45">
        <v>360840</v>
      </c>
      <c r="P69" s="43"/>
      <c r="Q69" s="45">
        <v>360840</v>
      </c>
      <c r="R69" s="43">
        <v>0</v>
      </c>
      <c r="S69" s="30">
        <v>0</v>
      </c>
      <c r="T69" s="30">
        <v>0</v>
      </c>
      <c r="U69" s="30" t="e">
        <v>#DIV/0!</v>
      </c>
      <c r="V69" s="43" t="e">
        <v>#DIV/0!</v>
      </c>
      <c r="W69" s="43" t="e">
        <v>#DIV/0!</v>
      </c>
      <c r="X69" s="43">
        <v>0</v>
      </c>
      <c r="Y69" s="43">
        <v>0</v>
      </c>
      <c r="Z69" s="43">
        <v>0</v>
      </c>
      <c r="AA69" s="43">
        <v>0</v>
      </c>
      <c r="AB69" s="43"/>
      <c r="AC69" s="43" t="e">
        <v>#DIV/0!</v>
      </c>
      <c r="AD69" s="43"/>
      <c r="AE69" s="43" t="e">
        <v>#DIV/0!</v>
      </c>
      <c r="AF69" s="43" t="e">
        <v>#DIV/0!</v>
      </c>
      <c r="AG69" s="43" t="e">
        <v>#DIV/0!</v>
      </c>
      <c r="AH69" s="38">
        <v>45323</v>
      </c>
      <c r="AI69" s="38"/>
      <c r="AJ69" s="38"/>
      <c r="AK69" s="38"/>
      <c r="AL69" s="38"/>
      <c r="AM69" s="48"/>
      <c r="AN69" s="42"/>
      <c r="AO69" s="42"/>
      <c r="AP69" s="42"/>
      <c r="AQ69" s="42"/>
      <c r="AR69" s="42"/>
      <c r="AS69" s="50"/>
      <c r="AT69" s="39"/>
      <c r="AU69" s="39"/>
      <c r="AV69" s="49"/>
      <c r="AW69" s="39"/>
      <c r="AX69" s="39">
        <v>10</v>
      </c>
      <c r="AY69" s="30">
        <v>36084</v>
      </c>
      <c r="AZ69" s="42" t="s">
        <v>434</v>
      </c>
    </row>
    <row r="70" spans="1:52" ht="75" x14ac:dyDescent="0.25">
      <c r="A70" s="46" t="s">
        <v>910</v>
      </c>
      <c r="B70" s="48">
        <v>45268</v>
      </c>
      <c r="C70" s="42">
        <v>1416</v>
      </c>
      <c r="D70" s="37" t="s">
        <v>911</v>
      </c>
      <c r="E70" s="41" t="s">
        <v>912</v>
      </c>
      <c r="F70" s="38">
        <v>45300</v>
      </c>
      <c r="G70" s="39" t="s">
        <v>913</v>
      </c>
      <c r="H70" s="59" t="s">
        <v>205</v>
      </c>
      <c r="I70" s="42" t="s">
        <v>914</v>
      </c>
      <c r="J70" s="56">
        <v>16921827.09</v>
      </c>
      <c r="K70" s="56">
        <v>16921827.09</v>
      </c>
      <c r="L70" s="56">
        <v>0</v>
      </c>
      <c r="M70" s="56">
        <v>0</v>
      </c>
      <c r="N70" s="44">
        <v>90.109767928139249</v>
      </c>
      <c r="O70" s="45">
        <v>15248219.119999999</v>
      </c>
      <c r="P70" s="43">
        <v>1673607.97</v>
      </c>
      <c r="Q70" s="45">
        <v>15248219.119999999</v>
      </c>
      <c r="R70" s="43">
        <v>1673607.97</v>
      </c>
      <c r="S70" s="30">
        <v>1672673.31</v>
      </c>
      <c r="T70" s="30">
        <v>1672673.31</v>
      </c>
      <c r="U70" s="30">
        <v>92.51</v>
      </c>
      <c r="V70" s="43">
        <v>92.51</v>
      </c>
      <c r="W70" s="43">
        <v>1942.71</v>
      </c>
      <c r="X70" s="43">
        <v>18081</v>
      </c>
      <c r="Y70" s="43">
        <v>18081</v>
      </c>
      <c r="Z70" s="43">
        <v>0</v>
      </c>
      <c r="AA70" s="43">
        <v>0</v>
      </c>
      <c r="AB70" s="43">
        <v>0</v>
      </c>
      <c r="AC70" s="43">
        <v>0</v>
      </c>
      <c r="AD70" s="43">
        <v>18081</v>
      </c>
      <c r="AE70" s="43">
        <v>1672673.31</v>
      </c>
      <c r="AF70" s="43">
        <v>861</v>
      </c>
      <c r="AG70" s="43">
        <v>861</v>
      </c>
      <c r="AH70" s="38">
        <v>45323</v>
      </c>
      <c r="AI70" s="38"/>
      <c r="AJ70" s="38"/>
      <c r="AK70" s="38">
        <v>45352</v>
      </c>
      <c r="AL70" s="38"/>
      <c r="AM70" s="48"/>
      <c r="AN70" s="42"/>
      <c r="AO70" s="42" t="s">
        <v>915</v>
      </c>
      <c r="AP70" s="42" t="s">
        <v>916</v>
      </c>
      <c r="AQ70" s="42" t="s">
        <v>917</v>
      </c>
      <c r="AR70" s="42" t="s">
        <v>82</v>
      </c>
      <c r="AS70" s="50">
        <v>100</v>
      </c>
      <c r="AT70" s="39">
        <v>0</v>
      </c>
      <c r="AU70" s="39" t="s">
        <v>389</v>
      </c>
      <c r="AV70" s="49">
        <v>21</v>
      </c>
      <c r="AW70" s="39" t="s">
        <v>221</v>
      </c>
      <c r="AX70" s="39">
        <v>10</v>
      </c>
      <c r="AY70" s="30">
        <v>1692182.709</v>
      </c>
      <c r="AZ70" s="42" t="s">
        <v>405</v>
      </c>
    </row>
    <row r="71" spans="1:52" ht="87.75" customHeight="1" x14ac:dyDescent="0.25">
      <c r="A71" s="46" t="s">
        <v>918</v>
      </c>
      <c r="B71" s="48">
        <v>45268</v>
      </c>
      <c r="C71" s="42">
        <v>1416</v>
      </c>
      <c r="D71" s="37" t="s">
        <v>919</v>
      </c>
      <c r="E71" s="41" t="s">
        <v>920</v>
      </c>
      <c r="F71" s="38">
        <v>45289</v>
      </c>
      <c r="G71" s="39" t="s">
        <v>921</v>
      </c>
      <c r="H71" s="42" t="s">
        <v>88</v>
      </c>
      <c r="I71" s="42" t="s">
        <v>922</v>
      </c>
      <c r="J71" s="56">
        <v>9649710</v>
      </c>
      <c r="K71" s="56" t="s">
        <v>923</v>
      </c>
      <c r="L71" s="56" t="s">
        <v>923</v>
      </c>
      <c r="M71" s="56">
        <v>0</v>
      </c>
      <c r="N71" s="44">
        <v>0</v>
      </c>
      <c r="O71" s="45">
        <v>0</v>
      </c>
      <c r="P71" s="43">
        <v>9649710</v>
      </c>
      <c r="Q71" s="45">
        <v>0</v>
      </c>
      <c r="R71" s="43">
        <v>4824855</v>
      </c>
      <c r="S71" s="30">
        <v>4824855</v>
      </c>
      <c r="T71" s="30">
        <v>9649710</v>
      </c>
      <c r="U71" s="30">
        <v>7.42</v>
      </c>
      <c r="V71" s="43">
        <v>7.42</v>
      </c>
      <c r="W71" s="43">
        <v>1855</v>
      </c>
      <c r="X71" s="43">
        <v>1300500</v>
      </c>
      <c r="Y71" s="43">
        <v>433750</v>
      </c>
      <c r="Z71" s="43">
        <v>216500</v>
      </c>
      <c r="AA71" s="43"/>
      <c r="AB71" s="43">
        <v>424250</v>
      </c>
      <c r="AC71" s="43">
        <v>3147935</v>
      </c>
      <c r="AD71" s="43">
        <v>226000</v>
      </c>
      <c r="AE71" s="43">
        <v>1676920</v>
      </c>
      <c r="AF71" s="43">
        <v>5202</v>
      </c>
      <c r="AG71" s="43">
        <v>5202</v>
      </c>
      <c r="AH71" s="38">
        <v>45352</v>
      </c>
      <c r="AI71" s="38">
        <v>45565</v>
      </c>
      <c r="AJ71" s="38">
        <v>45717</v>
      </c>
      <c r="AK71" s="38">
        <v>45383</v>
      </c>
      <c r="AL71" s="38">
        <v>45597</v>
      </c>
      <c r="AM71" s="48">
        <v>45748</v>
      </c>
      <c r="AN71" s="42"/>
      <c r="AO71" s="42" t="s">
        <v>924</v>
      </c>
      <c r="AP71" s="42" t="s">
        <v>925</v>
      </c>
      <c r="AQ71" s="42" t="s">
        <v>926</v>
      </c>
      <c r="AR71" s="42" t="s">
        <v>927</v>
      </c>
      <c r="AS71" s="50">
        <v>0</v>
      </c>
      <c r="AT71" s="39">
        <v>100</v>
      </c>
      <c r="AU71" s="39" t="s">
        <v>95</v>
      </c>
      <c r="AV71" s="49">
        <v>250</v>
      </c>
      <c r="AW71" s="39" t="s">
        <v>62</v>
      </c>
      <c r="AX71" s="39">
        <v>10</v>
      </c>
      <c r="AY71" s="30">
        <v>964971</v>
      </c>
      <c r="AZ71" s="42" t="s">
        <v>405</v>
      </c>
    </row>
    <row r="72" spans="1:52" ht="78.75" x14ac:dyDescent="0.25">
      <c r="A72" s="46" t="s">
        <v>928</v>
      </c>
      <c r="B72" s="48">
        <v>45268</v>
      </c>
      <c r="C72" s="42">
        <v>1416</v>
      </c>
      <c r="D72" s="37" t="s">
        <v>929</v>
      </c>
      <c r="E72" s="41" t="s">
        <v>930</v>
      </c>
      <c r="F72" s="38">
        <v>45303</v>
      </c>
      <c r="G72" s="39" t="s">
        <v>931</v>
      </c>
      <c r="H72" s="42" t="s">
        <v>141</v>
      </c>
      <c r="I72" s="42" t="s">
        <v>932</v>
      </c>
      <c r="J72" s="56">
        <v>4389001226.3999996</v>
      </c>
      <c r="K72" s="56">
        <v>4389001226.3999996</v>
      </c>
      <c r="L72" s="56">
        <v>0</v>
      </c>
      <c r="M72" s="56">
        <v>0</v>
      </c>
      <c r="N72" s="44">
        <v>0</v>
      </c>
      <c r="O72" s="45">
        <v>0</v>
      </c>
      <c r="P72" s="43">
        <v>4389001226.3999996</v>
      </c>
      <c r="Q72" s="45">
        <v>0</v>
      </c>
      <c r="R72" s="43">
        <v>4389001226.3999996</v>
      </c>
      <c r="S72" s="30">
        <v>4389001226.3999996</v>
      </c>
      <c r="T72" s="30">
        <v>4389001226.3999996</v>
      </c>
      <c r="U72" s="30">
        <v>9102.7899999999991</v>
      </c>
      <c r="V72" s="43">
        <v>9102.7899999999991</v>
      </c>
      <c r="W72" s="43">
        <v>273083.69999999995</v>
      </c>
      <c r="X72" s="43">
        <v>482160</v>
      </c>
      <c r="Y72" s="43">
        <v>482160</v>
      </c>
      <c r="Z72" s="43">
        <v>0</v>
      </c>
      <c r="AA72" s="43">
        <v>0</v>
      </c>
      <c r="AB72" s="43">
        <v>275430</v>
      </c>
      <c r="AC72" s="43">
        <v>2507181449.6999998</v>
      </c>
      <c r="AD72" s="43">
        <v>206730</v>
      </c>
      <c r="AE72" s="43">
        <v>1881819776.6999998</v>
      </c>
      <c r="AF72" s="43">
        <v>16072</v>
      </c>
      <c r="AG72" s="43">
        <v>16072</v>
      </c>
      <c r="AH72" s="38">
        <v>45381</v>
      </c>
      <c r="AI72" s="38"/>
      <c r="AJ72" s="38"/>
      <c r="AK72" s="38">
        <v>45413</v>
      </c>
      <c r="AL72" s="38"/>
      <c r="AM72" s="48"/>
      <c r="AN72" s="42"/>
      <c r="AO72" s="42" t="s">
        <v>933</v>
      </c>
      <c r="AP72" s="42" t="s">
        <v>934</v>
      </c>
      <c r="AQ72" s="42" t="s">
        <v>935</v>
      </c>
      <c r="AR72" s="42" t="s">
        <v>82</v>
      </c>
      <c r="AS72" s="50">
        <v>100</v>
      </c>
      <c r="AT72" s="39">
        <v>0</v>
      </c>
      <c r="AU72" s="39" t="s">
        <v>83</v>
      </c>
      <c r="AV72" s="49">
        <v>30</v>
      </c>
      <c r="AW72" s="39" t="s">
        <v>62</v>
      </c>
      <c r="AX72" s="39">
        <v>10</v>
      </c>
      <c r="AY72" s="30">
        <v>438900122.63999999</v>
      </c>
      <c r="AZ72" s="42" t="s">
        <v>405</v>
      </c>
    </row>
    <row r="73" spans="1:52" ht="75" x14ac:dyDescent="0.25">
      <c r="A73" s="46" t="s">
        <v>936</v>
      </c>
      <c r="B73" s="48">
        <v>45268</v>
      </c>
      <c r="C73" s="42">
        <v>1416</v>
      </c>
      <c r="D73" s="37" t="s">
        <v>937</v>
      </c>
      <c r="E73" s="41" t="s">
        <v>938</v>
      </c>
      <c r="F73" s="38">
        <v>45300</v>
      </c>
      <c r="G73" s="39" t="s">
        <v>939</v>
      </c>
      <c r="H73" s="42" t="s">
        <v>215</v>
      </c>
      <c r="I73" s="42" t="s">
        <v>940</v>
      </c>
      <c r="J73" s="56">
        <v>14067507.300000001</v>
      </c>
      <c r="K73" s="56">
        <v>14067507.300000001</v>
      </c>
      <c r="L73" s="56">
        <v>0</v>
      </c>
      <c r="M73" s="56">
        <v>0</v>
      </c>
      <c r="N73" s="44">
        <v>95.026197711658554</v>
      </c>
      <c r="O73" s="45">
        <v>13367817.300000001</v>
      </c>
      <c r="P73" s="43">
        <v>699690</v>
      </c>
      <c r="Q73" s="45">
        <v>13367817.300000001</v>
      </c>
      <c r="R73" s="43">
        <v>699690</v>
      </c>
      <c r="S73" s="30">
        <v>699649.44</v>
      </c>
      <c r="T73" s="30">
        <v>699649.44</v>
      </c>
      <c r="U73" s="30">
        <v>220.64</v>
      </c>
      <c r="V73" s="43">
        <v>220.64</v>
      </c>
      <c r="W73" s="43">
        <v>4633.4399999999996</v>
      </c>
      <c r="X73" s="43">
        <v>3171</v>
      </c>
      <c r="Y73" s="43">
        <v>3171</v>
      </c>
      <c r="Z73" s="43">
        <v>0</v>
      </c>
      <c r="AA73" s="43">
        <v>0</v>
      </c>
      <c r="AB73" s="43">
        <v>0</v>
      </c>
      <c r="AC73" s="43">
        <v>0</v>
      </c>
      <c r="AD73" s="43">
        <v>3171</v>
      </c>
      <c r="AE73" s="43">
        <v>699649.44</v>
      </c>
      <c r="AF73" s="43">
        <v>151</v>
      </c>
      <c r="AG73" s="43">
        <v>151</v>
      </c>
      <c r="AH73" s="38">
        <v>45383</v>
      </c>
      <c r="AI73" s="38"/>
      <c r="AJ73" s="38"/>
      <c r="AK73" s="38">
        <v>45413</v>
      </c>
      <c r="AL73" s="38"/>
      <c r="AM73" s="48"/>
      <c r="AN73" s="42"/>
      <c r="AO73" s="42" t="s">
        <v>218</v>
      </c>
      <c r="AP73" s="42" t="s">
        <v>238</v>
      </c>
      <c r="AQ73" s="42" t="s">
        <v>220</v>
      </c>
      <c r="AR73" s="42" t="s">
        <v>82</v>
      </c>
      <c r="AS73" s="50">
        <v>100</v>
      </c>
      <c r="AT73" s="39">
        <v>0</v>
      </c>
      <c r="AU73" s="39" t="s">
        <v>389</v>
      </c>
      <c r="AV73" s="49">
        <v>21</v>
      </c>
      <c r="AW73" s="39" t="s">
        <v>221</v>
      </c>
      <c r="AX73" s="39">
        <v>10</v>
      </c>
      <c r="AY73" s="30">
        <v>1406750.73</v>
      </c>
      <c r="AZ73" s="42" t="s">
        <v>405</v>
      </c>
    </row>
    <row r="74" spans="1:52" ht="108" customHeight="1" x14ac:dyDescent="0.25">
      <c r="A74" s="46" t="s">
        <v>941</v>
      </c>
      <c r="B74" s="48">
        <v>45268</v>
      </c>
      <c r="C74" s="42">
        <v>1416</v>
      </c>
      <c r="D74" s="37" t="s">
        <v>942</v>
      </c>
      <c r="E74" s="41" t="s">
        <v>943</v>
      </c>
      <c r="F74" s="38">
        <v>45289</v>
      </c>
      <c r="G74" s="39" t="s">
        <v>944</v>
      </c>
      <c r="H74" s="42" t="s">
        <v>88</v>
      </c>
      <c r="I74" s="42" t="s">
        <v>945</v>
      </c>
      <c r="J74" s="56">
        <v>41731032</v>
      </c>
      <c r="K74" s="56">
        <v>41731032</v>
      </c>
      <c r="L74" s="56">
        <v>0</v>
      </c>
      <c r="M74" s="56">
        <v>0</v>
      </c>
      <c r="N74" s="44">
        <v>0</v>
      </c>
      <c r="O74" s="45">
        <v>0</v>
      </c>
      <c r="P74" s="43">
        <v>41731032</v>
      </c>
      <c r="Q74" s="45">
        <v>0</v>
      </c>
      <c r="R74" s="43">
        <v>41731032</v>
      </c>
      <c r="S74" s="30">
        <v>41731032</v>
      </c>
      <c r="T74" s="30">
        <v>41731032</v>
      </c>
      <c r="U74" s="30">
        <v>24.92</v>
      </c>
      <c r="V74" s="43">
        <v>24.92</v>
      </c>
      <c r="W74" s="43">
        <v>14952.000000000002</v>
      </c>
      <c r="X74" s="43">
        <v>1674600</v>
      </c>
      <c r="Y74" s="43">
        <v>1134600</v>
      </c>
      <c r="Z74" s="43">
        <v>540000</v>
      </c>
      <c r="AA74" s="43">
        <v>0</v>
      </c>
      <c r="AB74" s="43">
        <v>0</v>
      </c>
      <c r="AC74" s="43">
        <v>0</v>
      </c>
      <c r="AD74" s="43">
        <v>1674600</v>
      </c>
      <c r="AE74" s="43">
        <v>41731032</v>
      </c>
      <c r="AF74" s="43">
        <v>2791</v>
      </c>
      <c r="AG74" s="43">
        <v>2791</v>
      </c>
      <c r="AH74" s="38">
        <v>45323</v>
      </c>
      <c r="AI74" s="38">
        <v>45412</v>
      </c>
      <c r="AJ74" s="38"/>
      <c r="AK74" s="38">
        <v>45352</v>
      </c>
      <c r="AL74" s="38">
        <v>45444</v>
      </c>
      <c r="AM74" s="48"/>
      <c r="AN74" s="42"/>
      <c r="AO74" s="42" t="s">
        <v>691</v>
      </c>
      <c r="AP74" s="42" t="s">
        <v>946</v>
      </c>
      <c r="AQ74" s="42" t="s">
        <v>693</v>
      </c>
      <c r="AR74" s="42" t="s">
        <v>94</v>
      </c>
      <c r="AS74" s="50">
        <v>0</v>
      </c>
      <c r="AT74" s="39">
        <v>100</v>
      </c>
      <c r="AU74" s="39" t="s">
        <v>95</v>
      </c>
      <c r="AV74" s="49">
        <v>600</v>
      </c>
      <c r="AW74" s="39" t="s">
        <v>62</v>
      </c>
      <c r="AX74" s="39">
        <v>10</v>
      </c>
      <c r="AY74" s="30">
        <v>4173103.2</v>
      </c>
      <c r="AZ74" s="42" t="s">
        <v>328</v>
      </c>
    </row>
    <row r="75" spans="1:52" ht="75" x14ac:dyDescent="0.25">
      <c r="A75" s="46" t="s">
        <v>947</v>
      </c>
      <c r="B75" s="48">
        <v>45268</v>
      </c>
      <c r="C75" s="42">
        <v>1416</v>
      </c>
      <c r="D75" s="37"/>
      <c r="E75" s="41" t="s">
        <v>948</v>
      </c>
      <c r="F75" s="38"/>
      <c r="G75" s="39"/>
      <c r="H75" s="42"/>
      <c r="I75" s="42" t="s">
        <v>949</v>
      </c>
      <c r="J75" s="56">
        <v>468865320</v>
      </c>
      <c r="K75" s="56">
        <v>468865320</v>
      </c>
      <c r="L75" s="56"/>
      <c r="M75" s="56"/>
      <c r="N75" s="44">
        <v>100</v>
      </c>
      <c r="O75" s="45">
        <v>468865320</v>
      </c>
      <c r="P75" s="43"/>
      <c r="Q75" s="45">
        <v>468865320</v>
      </c>
      <c r="R75" s="43">
        <v>0</v>
      </c>
      <c r="S75" s="30">
        <v>0</v>
      </c>
      <c r="T75" s="30">
        <v>0</v>
      </c>
      <c r="U75" s="30" t="e">
        <v>#DIV/0!</v>
      </c>
      <c r="V75" s="43" t="e">
        <v>#DIV/0!</v>
      </c>
      <c r="W75" s="43" t="e">
        <v>#DIV/0!</v>
      </c>
      <c r="X75" s="43">
        <v>0</v>
      </c>
      <c r="Y75" s="43">
        <v>0</v>
      </c>
      <c r="Z75" s="43">
        <v>0</v>
      </c>
      <c r="AA75" s="43">
        <v>0</v>
      </c>
      <c r="AB75" s="43"/>
      <c r="AC75" s="43" t="e">
        <v>#DIV/0!</v>
      </c>
      <c r="AD75" s="43"/>
      <c r="AE75" s="43" t="e">
        <v>#DIV/0!</v>
      </c>
      <c r="AF75" s="43" t="e">
        <v>#DIV/0!</v>
      </c>
      <c r="AG75" s="43" t="e">
        <v>#DIV/0!</v>
      </c>
      <c r="AH75" s="38">
        <v>45352</v>
      </c>
      <c r="AI75" s="38">
        <v>45565</v>
      </c>
      <c r="AJ75" s="38">
        <v>45717</v>
      </c>
      <c r="AK75" s="38"/>
      <c r="AL75" s="38"/>
      <c r="AM75" s="48"/>
      <c r="AN75" s="42"/>
      <c r="AO75" s="42"/>
      <c r="AP75" s="42"/>
      <c r="AQ75" s="42"/>
      <c r="AR75" s="42"/>
      <c r="AS75" s="50"/>
      <c r="AT75" s="39"/>
      <c r="AU75" s="39"/>
      <c r="AV75" s="49"/>
      <c r="AW75" s="39"/>
      <c r="AX75" s="39">
        <v>10</v>
      </c>
      <c r="AY75" s="30">
        <v>46886532</v>
      </c>
      <c r="AZ75" s="42" t="s">
        <v>434</v>
      </c>
    </row>
    <row r="76" spans="1:52" ht="114.75" customHeight="1" x14ac:dyDescent="0.25">
      <c r="A76" s="46" t="s">
        <v>950</v>
      </c>
      <c r="B76" s="48">
        <v>45268</v>
      </c>
      <c r="C76" s="42">
        <v>1416</v>
      </c>
      <c r="D76" s="37" t="s">
        <v>951</v>
      </c>
      <c r="E76" s="41" t="s">
        <v>952</v>
      </c>
      <c r="F76" s="38">
        <v>45289</v>
      </c>
      <c r="G76" s="39" t="s">
        <v>953</v>
      </c>
      <c r="H76" s="42" t="s">
        <v>141</v>
      </c>
      <c r="I76" s="42" t="s">
        <v>954</v>
      </c>
      <c r="J76" s="56">
        <v>85205610</v>
      </c>
      <c r="K76" s="56">
        <v>85205610</v>
      </c>
      <c r="L76" s="56">
        <v>0</v>
      </c>
      <c r="M76" s="56">
        <v>0</v>
      </c>
      <c r="N76" s="44">
        <v>0</v>
      </c>
      <c r="O76" s="45">
        <v>0</v>
      </c>
      <c r="P76" s="43">
        <v>85205610</v>
      </c>
      <c r="Q76" s="45">
        <v>0</v>
      </c>
      <c r="R76" s="43">
        <v>85205610</v>
      </c>
      <c r="S76" s="30">
        <v>85205610</v>
      </c>
      <c r="T76" s="30">
        <v>85205610</v>
      </c>
      <c r="U76" s="30">
        <v>12.51</v>
      </c>
      <c r="V76" s="43">
        <v>12.51</v>
      </c>
      <c r="W76" s="43">
        <v>6255</v>
      </c>
      <c r="X76" s="43">
        <v>6811000</v>
      </c>
      <c r="Y76" s="43">
        <v>6811000</v>
      </c>
      <c r="Z76" s="43">
        <v>0</v>
      </c>
      <c r="AA76" s="43">
        <v>0</v>
      </c>
      <c r="AB76" s="43">
        <v>260000</v>
      </c>
      <c r="AC76" s="43">
        <v>3252600</v>
      </c>
      <c r="AD76" s="43">
        <v>6551000</v>
      </c>
      <c r="AE76" s="43">
        <v>81953010</v>
      </c>
      <c r="AF76" s="43">
        <v>13622</v>
      </c>
      <c r="AG76" s="43">
        <v>13622</v>
      </c>
      <c r="AH76" s="38">
        <v>45381</v>
      </c>
      <c r="AI76" s="38"/>
      <c r="AJ76" s="38"/>
      <c r="AK76" s="38">
        <v>45413</v>
      </c>
      <c r="AL76" s="38"/>
      <c r="AM76" s="48"/>
      <c r="AN76" s="42"/>
      <c r="AO76" s="42" t="s">
        <v>955</v>
      </c>
      <c r="AP76" s="42" t="s">
        <v>956</v>
      </c>
      <c r="AQ76" s="42" t="s">
        <v>957</v>
      </c>
      <c r="AR76" s="42" t="s">
        <v>82</v>
      </c>
      <c r="AS76" s="50">
        <v>100</v>
      </c>
      <c r="AT76" s="39">
        <v>0</v>
      </c>
      <c r="AU76" s="39" t="s">
        <v>95</v>
      </c>
      <c r="AV76" s="49">
        <v>500</v>
      </c>
      <c r="AW76" s="39" t="s">
        <v>62</v>
      </c>
      <c r="AX76" s="39">
        <v>10</v>
      </c>
      <c r="AY76" s="30">
        <v>8520561</v>
      </c>
      <c r="AZ76" s="42" t="s">
        <v>405</v>
      </c>
    </row>
    <row r="77" spans="1:52" ht="75" x14ac:dyDescent="0.25">
      <c r="A77" s="46" t="s">
        <v>958</v>
      </c>
      <c r="B77" s="48">
        <v>45268</v>
      </c>
      <c r="C77" s="42">
        <v>1416</v>
      </c>
      <c r="D77" s="37" t="s">
        <v>959</v>
      </c>
      <c r="E77" s="41" t="s">
        <v>960</v>
      </c>
      <c r="F77" s="38">
        <v>45310</v>
      </c>
      <c r="G77" s="39" t="s">
        <v>961</v>
      </c>
      <c r="H77" s="42" t="s">
        <v>141</v>
      </c>
      <c r="I77" s="42" t="s">
        <v>962</v>
      </c>
      <c r="J77" s="56">
        <v>6881444100</v>
      </c>
      <c r="K77" s="56">
        <v>3440722050</v>
      </c>
      <c r="L77" s="56">
        <v>3440722050</v>
      </c>
      <c r="M77" s="56">
        <v>0</v>
      </c>
      <c r="N77" s="44">
        <v>0</v>
      </c>
      <c r="O77" s="45">
        <v>0</v>
      </c>
      <c r="P77" s="43">
        <v>6881444100</v>
      </c>
      <c r="Q77" s="45">
        <v>3440722050</v>
      </c>
      <c r="R77" s="43">
        <v>3440722050</v>
      </c>
      <c r="S77" s="30">
        <v>3440722050</v>
      </c>
      <c r="T77" s="30">
        <v>6881444100</v>
      </c>
      <c r="U77" s="30">
        <v>5594.67</v>
      </c>
      <c r="V77" s="43">
        <v>5594.67</v>
      </c>
      <c r="W77" s="43">
        <v>83920.05</v>
      </c>
      <c r="X77" s="43">
        <v>1230000</v>
      </c>
      <c r="Y77" s="43">
        <v>379500</v>
      </c>
      <c r="Z77" s="43">
        <v>235500</v>
      </c>
      <c r="AA77" s="43">
        <v>0</v>
      </c>
      <c r="AB77" s="43">
        <v>1660</v>
      </c>
      <c r="AC77" s="43">
        <v>9287152.1999999993</v>
      </c>
      <c r="AD77" s="43">
        <v>613340</v>
      </c>
      <c r="AE77" s="43">
        <v>3431434897.8000002</v>
      </c>
      <c r="AF77" s="43">
        <v>82000</v>
      </c>
      <c r="AG77" s="43">
        <v>82000</v>
      </c>
      <c r="AH77" s="38">
        <v>45397</v>
      </c>
      <c r="AI77" s="38">
        <v>45474</v>
      </c>
      <c r="AJ77" s="38" t="s">
        <v>963</v>
      </c>
      <c r="AK77" s="38">
        <v>45427</v>
      </c>
      <c r="AL77" s="38">
        <v>45505</v>
      </c>
      <c r="AM77" s="48" t="s">
        <v>964</v>
      </c>
      <c r="AN77" s="42"/>
      <c r="AO77" s="42" t="s">
        <v>965</v>
      </c>
      <c r="AP77" s="42" t="s">
        <v>966</v>
      </c>
      <c r="AQ77" s="42" t="s">
        <v>967</v>
      </c>
      <c r="AR77" s="42" t="s">
        <v>94</v>
      </c>
      <c r="AS77" s="50">
        <v>0</v>
      </c>
      <c r="AT77" s="39">
        <v>100</v>
      </c>
      <c r="AU77" s="39" t="s">
        <v>83</v>
      </c>
      <c r="AV77" s="49">
        <v>15</v>
      </c>
      <c r="AW77" s="39" t="s">
        <v>62</v>
      </c>
      <c r="AX77" s="39">
        <v>10</v>
      </c>
      <c r="AY77" s="30">
        <v>688144410</v>
      </c>
      <c r="AZ77" s="42" t="s">
        <v>405</v>
      </c>
    </row>
    <row r="78" spans="1:52" ht="75" x14ac:dyDescent="0.25">
      <c r="A78" s="46" t="s">
        <v>968</v>
      </c>
      <c r="B78" s="48">
        <v>45268</v>
      </c>
      <c r="C78" s="42">
        <v>1416</v>
      </c>
      <c r="D78" s="37" t="s">
        <v>969</v>
      </c>
      <c r="E78" s="41" t="s">
        <v>970</v>
      </c>
      <c r="F78" s="38">
        <v>45289</v>
      </c>
      <c r="G78" s="39" t="s">
        <v>971</v>
      </c>
      <c r="H78" s="42" t="s">
        <v>321</v>
      </c>
      <c r="I78" s="42" t="s">
        <v>972</v>
      </c>
      <c r="J78" s="56">
        <v>41597582.399999999</v>
      </c>
      <c r="K78" s="56">
        <v>41597582.399999999</v>
      </c>
      <c r="L78" s="56">
        <v>0</v>
      </c>
      <c r="M78" s="56">
        <v>0</v>
      </c>
      <c r="N78" s="44">
        <v>0</v>
      </c>
      <c r="O78" s="45">
        <v>0</v>
      </c>
      <c r="P78" s="43">
        <v>41597582.399999999</v>
      </c>
      <c r="Q78" s="45">
        <v>0</v>
      </c>
      <c r="R78" s="43">
        <v>41597582.399999999</v>
      </c>
      <c r="S78" s="30">
        <v>41597582.399999999</v>
      </c>
      <c r="T78" s="30">
        <v>41597582.399999999</v>
      </c>
      <c r="U78" s="30">
        <v>16048.449999999999</v>
      </c>
      <c r="V78" s="43">
        <v>16048.449999999999</v>
      </c>
      <c r="W78" s="43">
        <v>57774.42</v>
      </c>
      <c r="X78" s="43">
        <v>2592</v>
      </c>
      <c r="Y78" s="43">
        <v>2592</v>
      </c>
      <c r="Z78" s="43">
        <v>0</v>
      </c>
      <c r="AA78" s="43">
        <v>0</v>
      </c>
      <c r="AB78" s="43">
        <v>1976.4</v>
      </c>
      <c r="AC78" s="43">
        <v>31718156.579999998</v>
      </c>
      <c r="AD78" s="43">
        <v>615.6</v>
      </c>
      <c r="AE78" s="43">
        <v>9879425.8200000003</v>
      </c>
      <c r="AF78" s="43">
        <v>720</v>
      </c>
      <c r="AG78" s="43">
        <v>720</v>
      </c>
      <c r="AH78" s="38">
        <v>45323</v>
      </c>
      <c r="AI78" s="38"/>
      <c r="AJ78" s="38"/>
      <c r="AK78" s="38">
        <v>45352</v>
      </c>
      <c r="AL78" s="38"/>
      <c r="AM78" s="48"/>
      <c r="AN78" s="42"/>
      <c r="AO78" s="42" t="s">
        <v>263</v>
      </c>
      <c r="AP78" s="42" t="s">
        <v>973</v>
      </c>
      <c r="AQ78" s="42" t="s">
        <v>974</v>
      </c>
      <c r="AR78" s="42" t="s">
        <v>94</v>
      </c>
      <c r="AS78" s="50">
        <v>0</v>
      </c>
      <c r="AT78" s="39">
        <v>100</v>
      </c>
      <c r="AU78" s="39">
        <v>100</v>
      </c>
      <c r="AV78" s="54">
        <v>3.6</v>
      </c>
      <c r="AW78" s="39" t="s">
        <v>62</v>
      </c>
      <c r="AX78" s="39">
        <v>10</v>
      </c>
      <c r="AY78" s="30">
        <v>4159758.24</v>
      </c>
      <c r="AZ78" s="42" t="s">
        <v>405</v>
      </c>
    </row>
    <row r="79" spans="1:52" ht="75" x14ac:dyDescent="0.25">
      <c r="A79" s="46" t="s">
        <v>975</v>
      </c>
      <c r="B79" s="48">
        <v>45268</v>
      </c>
      <c r="C79" s="42">
        <v>1416</v>
      </c>
      <c r="D79" s="37"/>
      <c r="E79" s="41" t="s">
        <v>976</v>
      </c>
      <c r="F79" s="38"/>
      <c r="G79" s="39"/>
      <c r="H79" s="42"/>
      <c r="I79" s="42" t="s">
        <v>724</v>
      </c>
      <c r="J79" s="56">
        <v>2676317280</v>
      </c>
      <c r="K79" s="56">
        <v>2676317280</v>
      </c>
      <c r="L79" s="56"/>
      <c r="M79" s="56"/>
      <c r="N79" s="44">
        <v>100</v>
      </c>
      <c r="O79" s="45">
        <v>2676317280</v>
      </c>
      <c r="P79" s="43"/>
      <c r="Q79" s="45">
        <v>2676317280</v>
      </c>
      <c r="R79" s="43">
        <v>0</v>
      </c>
      <c r="S79" s="30">
        <v>0</v>
      </c>
      <c r="T79" s="30">
        <v>0</v>
      </c>
      <c r="U79" s="30" t="e">
        <v>#DIV/0!</v>
      </c>
      <c r="V79" s="43" t="e">
        <v>#DIV/0!</v>
      </c>
      <c r="W79" s="43" t="e">
        <v>#DIV/0!</v>
      </c>
      <c r="X79" s="43">
        <v>0</v>
      </c>
      <c r="Y79" s="43">
        <v>0</v>
      </c>
      <c r="Z79" s="43">
        <v>0</v>
      </c>
      <c r="AA79" s="43">
        <v>0</v>
      </c>
      <c r="AB79" s="43"/>
      <c r="AC79" s="43" t="e">
        <v>#DIV/0!</v>
      </c>
      <c r="AD79" s="43"/>
      <c r="AE79" s="43" t="e">
        <v>#DIV/0!</v>
      </c>
      <c r="AF79" s="43" t="e">
        <v>#DIV/0!</v>
      </c>
      <c r="AG79" s="43" t="e">
        <v>#DIV/0!</v>
      </c>
      <c r="AH79" s="38">
        <v>45352</v>
      </c>
      <c r="AI79" s="38">
        <v>45504</v>
      </c>
      <c r="AJ79" s="38">
        <v>45717</v>
      </c>
      <c r="AK79" s="38"/>
      <c r="AL79" s="38"/>
      <c r="AM79" s="48"/>
      <c r="AN79" s="42"/>
      <c r="AO79" s="42"/>
      <c r="AP79" s="42"/>
      <c r="AQ79" s="42"/>
      <c r="AR79" s="42"/>
      <c r="AS79" s="50"/>
      <c r="AT79" s="39"/>
      <c r="AU79" s="39"/>
      <c r="AV79" s="49"/>
      <c r="AW79" s="39"/>
      <c r="AX79" s="39">
        <v>10</v>
      </c>
      <c r="AY79" s="30">
        <v>267631728</v>
      </c>
      <c r="AZ79" s="42" t="s">
        <v>434</v>
      </c>
    </row>
    <row r="80" spans="1:52" ht="75" x14ac:dyDescent="0.25">
      <c r="A80" s="46" t="s">
        <v>977</v>
      </c>
      <c r="B80" s="48">
        <v>45268</v>
      </c>
      <c r="C80" s="42">
        <v>1416</v>
      </c>
      <c r="D80" s="37"/>
      <c r="E80" s="41" t="s">
        <v>978</v>
      </c>
      <c r="F80" s="38"/>
      <c r="G80" s="39"/>
      <c r="H80" s="42"/>
      <c r="I80" s="42" t="s">
        <v>979</v>
      </c>
      <c r="J80" s="56">
        <v>13163854000</v>
      </c>
      <c r="K80" s="56">
        <v>13163854000</v>
      </c>
      <c r="L80" s="56"/>
      <c r="M80" s="56"/>
      <c r="N80" s="44">
        <v>100</v>
      </c>
      <c r="O80" s="45">
        <v>13163854000</v>
      </c>
      <c r="P80" s="43"/>
      <c r="Q80" s="45">
        <v>13163854000</v>
      </c>
      <c r="R80" s="43">
        <v>0</v>
      </c>
      <c r="S80" s="30">
        <v>0</v>
      </c>
      <c r="T80" s="30">
        <v>0</v>
      </c>
      <c r="U80" s="30" t="e">
        <v>#DIV/0!</v>
      </c>
      <c r="V80" s="43" t="e">
        <v>#DIV/0!</v>
      </c>
      <c r="W80" s="43" t="e">
        <v>#DIV/0!</v>
      </c>
      <c r="X80" s="43">
        <v>0</v>
      </c>
      <c r="Y80" s="43">
        <v>0</v>
      </c>
      <c r="Z80" s="43">
        <v>0</v>
      </c>
      <c r="AA80" s="43">
        <v>0</v>
      </c>
      <c r="AB80" s="43"/>
      <c r="AC80" s="43" t="e">
        <v>#DIV/0!</v>
      </c>
      <c r="AD80" s="43"/>
      <c r="AE80" s="43" t="e">
        <v>#DIV/0!</v>
      </c>
      <c r="AF80" s="43" t="e">
        <v>#DIV/0!</v>
      </c>
      <c r="AG80" s="43" t="e">
        <v>#DIV/0!</v>
      </c>
      <c r="AH80" s="38">
        <v>45352</v>
      </c>
      <c r="AI80" s="38">
        <v>45717</v>
      </c>
      <c r="AJ80" s="38"/>
      <c r="AK80" s="38"/>
      <c r="AL80" s="38"/>
      <c r="AM80" s="48"/>
      <c r="AN80" s="42"/>
      <c r="AO80" s="42"/>
      <c r="AP80" s="42"/>
      <c r="AQ80" s="42"/>
      <c r="AR80" s="42"/>
      <c r="AS80" s="50"/>
      <c r="AT80" s="39"/>
      <c r="AU80" s="39"/>
      <c r="AV80" s="49"/>
      <c r="AW80" s="39"/>
      <c r="AX80" s="39">
        <v>10</v>
      </c>
      <c r="AY80" s="30">
        <v>1316385400</v>
      </c>
      <c r="AZ80" s="42" t="s">
        <v>434</v>
      </c>
    </row>
    <row r="81" spans="1:52" ht="93" customHeight="1" x14ac:dyDescent="0.25">
      <c r="A81" s="46" t="s">
        <v>980</v>
      </c>
      <c r="B81" s="48">
        <v>45271</v>
      </c>
      <c r="C81" s="42">
        <v>1416</v>
      </c>
      <c r="D81" s="37" t="s">
        <v>981</v>
      </c>
      <c r="E81" s="41" t="s">
        <v>982</v>
      </c>
      <c r="F81" s="38">
        <v>45307</v>
      </c>
      <c r="G81" s="39" t="s">
        <v>983</v>
      </c>
      <c r="H81" s="42" t="s">
        <v>141</v>
      </c>
      <c r="I81" s="42" t="s">
        <v>984</v>
      </c>
      <c r="J81" s="56">
        <v>522671220</v>
      </c>
      <c r="K81" s="56">
        <v>522671220</v>
      </c>
      <c r="L81" s="56">
        <v>0</v>
      </c>
      <c r="M81" s="56">
        <v>0</v>
      </c>
      <c r="N81" s="44">
        <v>0</v>
      </c>
      <c r="O81" s="45">
        <v>0</v>
      </c>
      <c r="P81" s="56">
        <v>522671220</v>
      </c>
      <c r="Q81" s="45">
        <v>0</v>
      </c>
      <c r="R81" s="56">
        <v>522671220</v>
      </c>
      <c r="S81" s="30">
        <v>522671220</v>
      </c>
      <c r="T81" s="30">
        <v>522671220</v>
      </c>
      <c r="U81" s="30">
        <v>12.38</v>
      </c>
      <c r="V81" s="43">
        <v>12.38</v>
      </c>
      <c r="W81" s="43">
        <v>12380</v>
      </c>
      <c r="X81" s="43">
        <v>42219000</v>
      </c>
      <c r="Y81" s="43">
        <v>42219000</v>
      </c>
      <c r="Z81" s="43">
        <v>0</v>
      </c>
      <c r="AA81" s="43">
        <v>0</v>
      </c>
      <c r="AB81" s="43">
        <v>1393000</v>
      </c>
      <c r="AC81" s="43">
        <v>17245340</v>
      </c>
      <c r="AD81" s="43">
        <v>40826000</v>
      </c>
      <c r="AE81" s="43">
        <v>505425880.00000006</v>
      </c>
      <c r="AF81" s="43">
        <v>42219</v>
      </c>
      <c r="AG81" s="43">
        <v>42219</v>
      </c>
      <c r="AH81" s="38">
        <v>45381</v>
      </c>
      <c r="AI81" s="38"/>
      <c r="AJ81" s="38"/>
      <c r="AK81" s="38">
        <v>45413</v>
      </c>
      <c r="AL81" s="38"/>
      <c r="AM81" s="48"/>
      <c r="AN81" s="42"/>
      <c r="AO81" s="42" t="s">
        <v>985</v>
      </c>
      <c r="AP81" s="42" t="s">
        <v>986</v>
      </c>
      <c r="AQ81" s="42" t="s">
        <v>987</v>
      </c>
      <c r="AR81" s="42" t="s">
        <v>82</v>
      </c>
      <c r="AS81" s="50">
        <v>100</v>
      </c>
      <c r="AT81" s="39">
        <v>0</v>
      </c>
      <c r="AU81" s="39" t="s">
        <v>95</v>
      </c>
      <c r="AV81" s="49">
        <v>1000</v>
      </c>
      <c r="AW81" s="39" t="s">
        <v>62</v>
      </c>
      <c r="AX81" s="39">
        <v>10</v>
      </c>
      <c r="AY81" s="30">
        <v>52267122</v>
      </c>
      <c r="AZ81" s="42" t="s">
        <v>405</v>
      </c>
    </row>
    <row r="82" spans="1:52" ht="102.75" customHeight="1" x14ac:dyDescent="0.25">
      <c r="A82" s="46" t="s">
        <v>988</v>
      </c>
      <c r="B82" s="48">
        <v>45271</v>
      </c>
      <c r="C82" s="42">
        <v>1416</v>
      </c>
      <c r="D82" s="37" t="s">
        <v>989</v>
      </c>
      <c r="E82" s="41" t="s">
        <v>990</v>
      </c>
      <c r="F82" s="38">
        <v>45300</v>
      </c>
      <c r="G82" s="39" t="s">
        <v>991</v>
      </c>
      <c r="H82" s="42" t="s">
        <v>226</v>
      </c>
      <c r="I82" s="42" t="s">
        <v>992</v>
      </c>
      <c r="J82" s="56">
        <v>220214728.80000001</v>
      </c>
      <c r="K82" s="56">
        <v>220214728.80000001</v>
      </c>
      <c r="L82" s="56">
        <v>0</v>
      </c>
      <c r="M82" s="56">
        <v>0</v>
      </c>
      <c r="N82" s="44">
        <v>0.50007063832690279</v>
      </c>
      <c r="O82" s="45">
        <v>1101229.2000000179</v>
      </c>
      <c r="P82" s="43">
        <v>219113499.59999999</v>
      </c>
      <c r="Q82" s="45">
        <v>1101229.2000000179</v>
      </c>
      <c r="R82" s="43">
        <v>219113499.59999999</v>
      </c>
      <c r="S82" s="30">
        <v>219113499.59999999</v>
      </c>
      <c r="T82" s="30">
        <v>219113499.59999999</v>
      </c>
      <c r="U82" s="30">
        <v>4084.89</v>
      </c>
      <c r="V82" s="43">
        <v>4084.89</v>
      </c>
      <c r="W82" s="43">
        <v>4084.89</v>
      </c>
      <c r="X82" s="43">
        <v>53640</v>
      </c>
      <c r="Y82" s="43">
        <v>53640</v>
      </c>
      <c r="Z82" s="43">
        <v>0</v>
      </c>
      <c r="AA82" s="43">
        <v>0</v>
      </c>
      <c r="AB82" s="43">
        <v>0</v>
      </c>
      <c r="AC82" s="43">
        <v>0</v>
      </c>
      <c r="AD82" s="43">
        <v>53640</v>
      </c>
      <c r="AE82" s="43">
        <v>219113499.59999999</v>
      </c>
      <c r="AF82" s="43">
        <v>53640</v>
      </c>
      <c r="AG82" s="43">
        <v>53640</v>
      </c>
      <c r="AH82" s="38">
        <v>45352</v>
      </c>
      <c r="AI82" s="38"/>
      <c r="AJ82" s="38"/>
      <c r="AK82" s="38">
        <v>45383</v>
      </c>
      <c r="AL82" s="38"/>
      <c r="AM82" s="48"/>
      <c r="AN82" s="42"/>
      <c r="AO82" s="42" t="s">
        <v>993</v>
      </c>
      <c r="AP82" s="42" t="s">
        <v>994</v>
      </c>
      <c r="AQ82" s="42" t="s">
        <v>995</v>
      </c>
      <c r="AR82" s="42" t="s">
        <v>82</v>
      </c>
      <c r="AS82" s="50">
        <v>100</v>
      </c>
      <c r="AT82" s="39">
        <v>0</v>
      </c>
      <c r="AU82" s="39" t="s">
        <v>389</v>
      </c>
      <c r="AV82" s="49">
        <v>1</v>
      </c>
      <c r="AW82" s="39" t="s">
        <v>62</v>
      </c>
      <c r="AX82" s="39">
        <v>10</v>
      </c>
      <c r="AY82" s="30">
        <v>22021472.879999999</v>
      </c>
      <c r="AZ82" s="42" t="s">
        <v>405</v>
      </c>
    </row>
    <row r="83" spans="1:52" ht="116.25" customHeight="1" x14ac:dyDescent="0.25">
      <c r="A83" s="46" t="s">
        <v>996</v>
      </c>
      <c r="B83" s="48">
        <v>45273</v>
      </c>
      <c r="C83" s="42">
        <v>1416</v>
      </c>
      <c r="D83" s="37" t="s">
        <v>997</v>
      </c>
      <c r="E83" s="41" t="s">
        <v>998</v>
      </c>
      <c r="F83" s="38">
        <v>45303</v>
      </c>
      <c r="G83" s="39" t="s">
        <v>999</v>
      </c>
      <c r="H83" s="42" t="s">
        <v>141</v>
      </c>
      <c r="I83" s="42" t="s">
        <v>1000</v>
      </c>
      <c r="J83" s="56">
        <v>158125500</v>
      </c>
      <c r="K83" s="56">
        <v>158125500</v>
      </c>
      <c r="L83" s="56">
        <v>0</v>
      </c>
      <c r="M83" s="56">
        <v>0</v>
      </c>
      <c r="N83" s="44">
        <v>0</v>
      </c>
      <c r="O83" s="45">
        <v>0</v>
      </c>
      <c r="P83" s="43">
        <v>158125500</v>
      </c>
      <c r="Q83" s="45">
        <v>0</v>
      </c>
      <c r="R83" s="43">
        <v>158125500</v>
      </c>
      <c r="S83" s="30">
        <v>158125500</v>
      </c>
      <c r="T83" s="30">
        <v>158125500</v>
      </c>
      <c r="U83" s="30">
        <v>11.05</v>
      </c>
      <c r="V83" s="43">
        <v>11.05</v>
      </c>
      <c r="W83" s="43">
        <v>22100</v>
      </c>
      <c r="X83" s="43">
        <v>14310000</v>
      </c>
      <c r="Y83" s="43">
        <v>14310000</v>
      </c>
      <c r="Z83" s="43">
        <v>0</v>
      </c>
      <c r="AA83" s="43">
        <v>0</v>
      </c>
      <c r="AB83" s="43">
        <v>216000</v>
      </c>
      <c r="AC83" s="43">
        <v>2386800</v>
      </c>
      <c r="AD83" s="43">
        <v>14094000</v>
      </c>
      <c r="AE83" s="43">
        <v>155738700</v>
      </c>
      <c r="AF83" s="43">
        <v>7155</v>
      </c>
      <c r="AG83" s="43">
        <v>7155</v>
      </c>
      <c r="AH83" s="38">
        <v>45381</v>
      </c>
      <c r="AI83" s="38"/>
      <c r="AJ83" s="38"/>
      <c r="AK83" s="38">
        <v>45413</v>
      </c>
      <c r="AL83" s="38"/>
      <c r="AM83" s="48"/>
      <c r="AN83" s="42"/>
      <c r="AO83" s="42" t="s">
        <v>1001</v>
      </c>
      <c r="AP83" s="42" t="s">
        <v>1002</v>
      </c>
      <c r="AQ83" s="42" t="s">
        <v>1003</v>
      </c>
      <c r="AR83" s="42" t="s">
        <v>82</v>
      </c>
      <c r="AS83" s="50">
        <v>100</v>
      </c>
      <c r="AT83" s="39">
        <v>0</v>
      </c>
      <c r="AU83" s="39" t="s">
        <v>95</v>
      </c>
      <c r="AV83" s="49">
        <v>2000</v>
      </c>
      <c r="AW83" s="39" t="s">
        <v>62</v>
      </c>
      <c r="AX83" s="39">
        <v>10</v>
      </c>
      <c r="AY83" s="30">
        <v>15812550</v>
      </c>
      <c r="AZ83" s="42" t="s">
        <v>405</v>
      </c>
    </row>
    <row r="84" spans="1:52" ht="75" x14ac:dyDescent="0.25">
      <c r="A84" s="46" t="s">
        <v>1004</v>
      </c>
      <c r="B84" s="48">
        <v>45273</v>
      </c>
      <c r="C84" s="42">
        <v>1416</v>
      </c>
      <c r="D84" s="37" t="s">
        <v>1005</v>
      </c>
      <c r="E84" s="41" t="s">
        <v>1006</v>
      </c>
      <c r="F84" s="38">
        <v>45300</v>
      </c>
      <c r="G84" s="39" t="s">
        <v>1007</v>
      </c>
      <c r="H84" s="42" t="s">
        <v>359</v>
      </c>
      <c r="I84" s="42" t="s">
        <v>1008</v>
      </c>
      <c r="J84" s="56">
        <v>206377759.94</v>
      </c>
      <c r="K84" s="56">
        <v>206377759.94</v>
      </c>
      <c r="L84" s="56">
        <v>0</v>
      </c>
      <c r="M84" s="56">
        <v>0</v>
      </c>
      <c r="N84" s="44">
        <v>0</v>
      </c>
      <c r="O84" s="45">
        <v>0</v>
      </c>
      <c r="P84" s="43">
        <v>206377759.94</v>
      </c>
      <c r="Q84" s="45">
        <v>0</v>
      </c>
      <c r="R84" s="43">
        <v>206377759.94</v>
      </c>
      <c r="S84" s="30">
        <v>206377759.94</v>
      </c>
      <c r="T84" s="30">
        <v>206377759.94</v>
      </c>
      <c r="U84" s="30">
        <v>52768.54</v>
      </c>
      <c r="V84" s="43">
        <v>52768.54</v>
      </c>
      <c r="W84" s="43">
        <v>52768.54</v>
      </c>
      <c r="X84" s="43">
        <v>3911</v>
      </c>
      <c r="Y84" s="43">
        <v>1326</v>
      </c>
      <c r="Z84" s="43">
        <v>2585</v>
      </c>
      <c r="AA84" s="43">
        <v>0</v>
      </c>
      <c r="AB84" s="43">
        <v>3464</v>
      </c>
      <c r="AC84" s="43">
        <v>182790222.56</v>
      </c>
      <c r="AD84" s="43">
        <v>447</v>
      </c>
      <c r="AE84" s="43">
        <v>23587537.379999999</v>
      </c>
      <c r="AF84" s="43">
        <v>3911</v>
      </c>
      <c r="AG84" s="43">
        <v>3911</v>
      </c>
      <c r="AH84" s="38">
        <v>45366</v>
      </c>
      <c r="AI84" s="38">
        <v>45413</v>
      </c>
      <c r="AJ84" s="38"/>
      <c r="AK84" s="38">
        <v>45397</v>
      </c>
      <c r="AL84" s="38">
        <v>45458</v>
      </c>
      <c r="AM84" s="48"/>
      <c r="AN84" s="42"/>
      <c r="AO84" s="42" t="s">
        <v>746</v>
      </c>
      <c r="AP84" s="42" t="s">
        <v>1009</v>
      </c>
      <c r="AQ84" s="42" t="s">
        <v>748</v>
      </c>
      <c r="AR84" s="42" t="s">
        <v>266</v>
      </c>
      <c r="AS84" s="50">
        <v>0</v>
      </c>
      <c r="AT84" s="39">
        <v>100</v>
      </c>
      <c r="AU84" s="39" t="s">
        <v>83</v>
      </c>
      <c r="AV84" s="49">
        <v>1</v>
      </c>
      <c r="AW84" s="39" t="s">
        <v>62</v>
      </c>
      <c r="AX84" s="39">
        <v>10</v>
      </c>
      <c r="AY84" s="30">
        <v>20637775.994000003</v>
      </c>
      <c r="AZ84" s="42" t="s">
        <v>405</v>
      </c>
    </row>
    <row r="85" spans="1:52" ht="117.75" customHeight="1" x14ac:dyDescent="0.25">
      <c r="A85" s="46" t="s">
        <v>1026</v>
      </c>
      <c r="B85" s="48">
        <v>45273</v>
      </c>
      <c r="C85" s="42">
        <v>1416</v>
      </c>
      <c r="D85" s="37" t="s">
        <v>1027</v>
      </c>
      <c r="E85" s="41" t="s">
        <v>1028</v>
      </c>
      <c r="F85" s="38">
        <v>45310</v>
      </c>
      <c r="G85" s="39" t="s">
        <v>1029</v>
      </c>
      <c r="H85" s="42" t="s">
        <v>1030</v>
      </c>
      <c r="I85" s="42" t="s">
        <v>1031</v>
      </c>
      <c r="J85" s="56">
        <v>1174571925</v>
      </c>
      <c r="K85" s="56">
        <v>1174571925</v>
      </c>
      <c r="L85" s="56">
        <v>0</v>
      </c>
      <c r="M85" s="56">
        <v>0</v>
      </c>
      <c r="N85" s="44">
        <v>0</v>
      </c>
      <c r="O85" s="45">
        <v>0</v>
      </c>
      <c r="P85" s="43">
        <v>1174571925</v>
      </c>
      <c r="Q85" s="45">
        <v>0</v>
      </c>
      <c r="R85" s="43">
        <v>1174571925</v>
      </c>
      <c r="S85" s="30">
        <v>1174571925</v>
      </c>
      <c r="T85" s="30">
        <v>1174571925</v>
      </c>
      <c r="U85" s="30">
        <v>18607.080000000002</v>
      </c>
      <c r="V85" s="43">
        <v>18607.080000000002</v>
      </c>
      <c r="W85" s="43">
        <v>93035.400000000009</v>
      </c>
      <c r="X85" s="43">
        <v>63125</v>
      </c>
      <c r="Y85" s="43">
        <v>20000</v>
      </c>
      <c r="Z85" s="43">
        <v>43125</v>
      </c>
      <c r="AA85" s="43">
        <v>0</v>
      </c>
      <c r="AB85" s="43">
        <v>35700</v>
      </c>
      <c r="AC85" s="43">
        <v>664272756.00000012</v>
      </c>
      <c r="AD85" s="43">
        <v>27425</v>
      </c>
      <c r="AE85" s="43">
        <v>510299169.00000006</v>
      </c>
      <c r="AF85" s="43">
        <v>12625</v>
      </c>
      <c r="AG85" s="43">
        <v>12625</v>
      </c>
      <c r="AH85" s="38">
        <v>45443</v>
      </c>
      <c r="AI85" s="38">
        <v>45596</v>
      </c>
      <c r="AJ85" s="38"/>
      <c r="AK85" s="38">
        <v>45474</v>
      </c>
      <c r="AL85" s="38">
        <v>45627</v>
      </c>
      <c r="AM85" s="48"/>
      <c r="AN85" s="42"/>
      <c r="AO85" s="42" t="s">
        <v>1032</v>
      </c>
      <c r="AP85" s="42" t="s">
        <v>1033</v>
      </c>
      <c r="AQ85" s="42" t="s">
        <v>1034</v>
      </c>
      <c r="AR85" s="42" t="s">
        <v>94</v>
      </c>
      <c r="AS85" s="50">
        <v>0</v>
      </c>
      <c r="AT85" s="39">
        <v>100</v>
      </c>
      <c r="AU85" s="39" t="s">
        <v>83</v>
      </c>
      <c r="AV85" s="49">
        <v>5</v>
      </c>
      <c r="AW85" s="39" t="s">
        <v>62</v>
      </c>
      <c r="AX85" s="39">
        <v>10</v>
      </c>
      <c r="AY85" s="30">
        <v>117457192.5</v>
      </c>
      <c r="AZ85" s="42" t="s">
        <v>405</v>
      </c>
    </row>
    <row r="86" spans="1:52" ht="66" customHeight="1" x14ac:dyDescent="0.25">
      <c r="A86" s="46" t="s">
        <v>1039</v>
      </c>
      <c r="B86" s="48">
        <v>45274</v>
      </c>
      <c r="C86" s="42">
        <v>1416</v>
      </c>
      <c r="D86" s="37" t="s">
        <v>434</v>
      </c>
      <c r="E86" s="41" t="s">
        <v>1040</v>
      </c>
      <c r="F86" s="38" t="s">
        <v>434</v>
      </c>
      <c r="G86" s="39" t="s">
        <v>434</v>
      </c>
      <c r="H86" s="42" t="s">
        <v>434</v>
      </c>
      <c r="I86" s="42" t="s">
        <v>1041</v>
      </c>
      <c r="J86" s="56">
        <v>1379400</v>
      </c>
      <c r="K86" s="56">
        <v>1379400</v>
      </c>
      <c r="L86" s="56"/>
      <c r="M86" s="56"/>
      <c r="N86" s="44">
        <v>100</v>
      </c>
      <c r="O86" s="45">
        <v>1379400</v>
      </c>
      <c r="P86" s="43"/>
      <c r="Q86" s="45">
        <v>1379400</v>
      </c>
      <c r="R86" s="43">
        <v>0</v>
      </c>
      <c r="S86" s="30">
        <v>0</v>
      </c>
      <c r="T86" s="30">
        <v>0</v>
      </c>
      <c r="U86" s="30" t="e">
        <v>#DIV/0!</v>
      </c>
      <c r="V86" s="43" t="e">
        <v>#DIV/0!</v>
      </c>
      <c r="W86" s="43" t="e">
        <v>#DIV/0!</v>
      </c>
      <c r="X86" s="43">
        <v>0</v>
      </c>
      <c r="Y86" s="43">
        <v>0</v>
      </c>
      <c r="Z86" s="43">
        <v>0</v>
      </c>
      <c r="AA86" s="43">
        <v>0</v>
      </c>
      <c r="AB86" s="43"/>
      <c r="AC86" s="43" t="e">
        <v>#DIV/0!</v>
      </c>
      <c r="AD86" s="43"/>
      <c r="AE86" s="43" t="e">
        <v>#DIV/0!</v>
      </c>
      <c r="AF86" s="43" t="e">
        <v>#DIV/0!</v>
      </c>
      <c r="AG86" s="43" t="e">
        <v>#DIV/0!</v>
      </c>
      <c r="AH86" s="38">
        <v>45352</v>
      </c>
      <c r="AI86" s="38"/>
      <c r="AJ86" s="38"/>
      <c r="AK86" s="38"/>
      <c r="AL86" s="38"/>
      <c r="AM86" s="48"/>
      <c r="AN86" s="42"/>
      <c r="AO86" s="42"/>
      <c r="AP86" s="42"/>
      <c r="AQ86" s="42"/>
      <c r="AR86" s="42"/>
      <c r="AS86" s="50"/>
      <c r="AT86" s="39"/>
      <c r="AU86" s="39"/>
      <c r="AV86" s="49"/>
      <c r="AW86" s="39"/>
      <c r="AX86" s="39">
        <v>10</v>
      </c>
      <c r="AY86" s="30">
        <v>137940</v>
      </c>
      <c r="AZ86" s="42" t="s">
        <v>434</v>
      </c>
    </row>
    <row r="87" spans="1:52" s="60" customFormat="1" ht="66" customHeight="1" x14ac:dyDescent="0.25">
      <c r="A87" s="46" t="s">
        <v>1053</v>
      </c>
      <c r="B87" s="48">
        <v>45275</v>
      </c>
      <c r="C87" s="42">
        <v>1416</v>
      </c>
      <c r="D87" s="37" t="s">
        <v>1054</v>
      </c>
      <c r="E87" s="41" t="s">
        <v>1055</v>
      </c>
      <c r="F87" s="38">
        <v>45313</v>
      </c>
      <c r="G87" s="39" t="s">
        <v>1056</v>
      </c>
      <c r="H87" s="42" t="s">
        <v>88</v>
      </c>
      <c r="I87" s="42" t="s">
        <v>716</v>
      </c>
      <c r="J87" s="56">
        <v>421756960</v>
      </c>
      <c r="K87" s="56">
        <v>210878480</v>
      </c>
      <c r="L87" s="56">
        <v>210878480</v>
      </c>
      <c r="M87" s="56">
        <v>0</v>
      </c>
      <c r="N87" s="44">
        <v>0</v>
      </c>
      <c r="O87" s="45">
        <v>0</v>
      </c>
      <c r="P87" s="43">
        <v>421756960</v>
      </c>
      <c r="Q87" s="45">
        <v>210878480</v>
      </c>
      <c r="R87" s="43">
        <v>210878480</v>
      </c>
      <c r="S87" s="30">
        <v>210878480</v>
      </c>
      <c r="T87" s="30">
        <v>421756960</v>
      </c>
      <c r="U87" s="30">
        <v>10.72</v>
      </c>
      <c r="V87" s="43">
        <v>10.72</v>
      </c>
      <c r="W87" s="43" t="e">
        <v>#VALUE!</v>
      </c>
      <c r="X87" s="43">
        <v>39343000</v>
      </c>
      <c r="Y87" s="43">
        <v>9838000</v>
      </c>
      <c r="Z87" s="43">
        <v>9833500</v>
      </c>
      <c r="AA87" s="43">
        <v>0</v>
      </c>
      <c r="AB87" s="43">
        <v>12913000</v>
      </c>
      <c r="AC87" s="43">
        <v>138427360</v>
      </c>
      <c r="AD87" s="43">
        <v>6758500</v>
      </c>
      <c r="AE87" s="43">
        <v>72451120</v>
      </c>
      <c r="AF87" s="43" t="s">
        <v>1057</v>
      </c>
      <c r="AG87" s="56" t="s">
        <v>1058</v>
      </c>
      <c r="AH87" s="38">
        <v>45352</v>
      </c>
      <c r="AI87" s="38">
        <v>45504</v>
      </c>
      <c r="AJ87" s="38">
        <v>45717</v>
      </c>
      <c r="AK87" s="38">
        <v>45383</v>
      </c>
      <c r="AL87" s="38">
        <v>45536</v>
      </c>
      <c r="AM87" s="48">
        <v>45748</v>
      </c>
      <c r="AN87" s="42"/>
      <c r="AO87" s="42" t="s">
        <v>1059</v>
      </c>
      <c r="AP87" s="42" t="s">
        <v>1060</v>
      </c>
      <c r="AQ87" s="42" t="s">
        <v>1061</v>
      </c>
      <c r="AR87" s="42" t="s">
        <v>1062</v>
      </c>
      <c r="AS87" s="50">
        <v>0</v>
      </c>
      <c r="AT87" s="39">
        <v>100</v>
      </c>
      <c r="AU87" s="39" t="s">
        <v>95</v>
      </c>
      <c r="AV87" s="53" t="s">
        <v>1063</v>
      </c>
      <c r="AW87" s="39" t="s">
        <v>62</v>
      </c>
      <c r="AX87" s="39">
        <v>10</v>
      </c>
      <c r="AY87" s="30">
        <v>42175696</v>
      </c>
      <c r="AZ87" s="42" t="s">
        <v>405</v>
      </c>
    </row>
    <row r="88" spans="1:52" ht="66" customHeight="1" x14ac:dyDescent="0.25">
      <c r="A88" s="46" t="s">
        <v>1064</v>
      </c>
      <c r="B88" s="48">
        <v>45275</v>
      </c>
      <c r="C88" s="42">
        <v>1416</v>
      </c>
      <c r="D88" s="37" t="s">
        <v>1065</v>
      </c>
      <c r="E88" s="41" t="s">
        <v>1066</v>
      </c>
      <c r="F88" s="38">
        <v>45314</v>
      </c>
      <c r="G88" s="39" t="s">
        <v>1067</v>
      </c>
      <c r="H88" s="42" t="s">
        <v>359</v>
      </c>
      <c r="I88" s="42" t="s">
        <v>1068</v>
      </c>
      <c r="J88" s="56">
        <v>1696403023.9200001</v>
      </c>
      <c r="K88" s="56">
        <v>1696403023.9200001</v>
      </c>
      <c r="L88" s="56">
        <v>0</v>
      </c>
      <c r="M88" s="56">
        <v>0</v>
      </c>
      <c r="N88" s="44">
        <v>0</v>
      </c>
      <c r="O88" s="45">
        <v>0</v>
      </c>
      <c r="P88" s="43">
        <v>1696403023.9200001</v>
      </c>
      <c r="Q88" s="45">
        <v>0</v>
      </c>
      <c r="R88" s="43">
        <v>1696403023.9200001</v>
      </c>
      <c r="S88" s="30">
        <v>1696403023.9200001</v>
      </c>
      <c r="T88" s="30">
        <v>1696403023.9200001</v>
      </c>
      <c r="U88" s="30">
        <v>263842.7</v>
      </c>
      <c r="V88" s="43">
        <v>263842.7</v>
      </c>
      <c r="W88" s="43">
        <v>105537.08000000002</v>
      </c>
      <c r="X88" s="43">
        <v>6429.6</v>
      </c>
      <c r="Y88" s="43">
        <v>1328.3999999999999</v>
      </c>
      <c r="Z88" s="43">
        <v>5101.2000000000007</v>
      </c>
      <c r="AA88" s="43">
        <v>0</v>
      </c>
      <c r="AB88" s="43">
        <v>5527.2000000000007</v>
      </c>
      <c r="AC88" s="43">
        <v>1458311371.4400003</v>
      </c>
      <c r="AD88" s="43">
        <v>902.40000000000009</v>
      </c>
      <c r="AE88" s="43">
        <v>238091652.48000005</v>
      </c>
      <c r="AF88" s="43">
        <v>16074</v>
      </c>
      <c r="AG88" s="43">
        <v>16074</v>
      </c>
      <c r="AH88" s="38">
        <v>45366</v>
      </c>
      <c r="AI88" s="38">
        <v>45412</v>
      </c>
      <c r="AJ88" s="38"/>
      <c r="AK88" s="38">
        <v>45397</v>
      </c>
      <c r="AL88" s="38">
        <v>45444</v>
      </c>
      <c r="AM88" s="48"/>
      <c r="AN88" s="42"/>
      <c r="AO88" s="42" t="s">
        <v>746</v>
      </c>
      <c r="AP88" s="42" t="s">
        <v>1069</v>
      </c>
      <c r="AQ88" s="42" t="s">
        <v>748</v>
      </c>
      <c r="AR88" s="42" t="s">
        <v>266</v>
      </c>
      <c r="AS88" s="50">
        <v>0</v>
      </c>
      <c r="AT88" s="39">
        <v>100</v>
      </c>
      <c r="AU88" s="39" t="s">
        <v>83</v>
      </c>
      <c r="AV88" s="54">
        <v>0.4</v>
      </c>
      <c r="AW88" s="39" t="s">
        <v>62</v>
      </c>
      <c r="AX88" s="39">
        <v>10</v>
      </c>
      <c r="AY88" s="30">
        <v>169640302.39200002</v>
      </c>
      <c r="AZ88" s="42" t="s">
        <v>405</v>
      </c>
    </row>
    <row r="89" spans="1:52" ht="66" customHeight="1" x14ac:dyDescent="0.25">
      <c r="A89" s="46" t="s">
        <v>1070</v>
      </c>
      <c r="B89" s="48">
        <v>45275</v>
      </c>
      <c r="C89" s="42">
        <v>1416</v>
      </c>
      <c r="D89" s="37" t="s">
        <v>434</v>
      </c>
      <c r="E89" s="41" t="s">
        <v>1071</v>
      </c>
      <c r="F89" s="38" t="s">
        <v>434</v>
      </c>
      <c r="G89" s="39" t="s">
        <v>434</v>
      </c>
      <c r="H89" s="42" t="s">
        <v>434</v>
      </c>
      <c r="I89" s="42" t="s">
        <v>1072</v>
      </c>
      <c r="J89" s="56">
        <v>63181752.479999997</v>
      </c>
      <c r="K89" s="56">
        <v>63181752.479999997</v>
      </c>
      <c r="L89" s="56"/>
      <c r="M89" s="56"/>
      <c r="N89" s="44">
        <v>100</v>
      </c>
      <c r="O89" s="45">
        <v>63181752.479999997</v>
      </c>
      <c r="P89" s="43"/>
      <c r="Q89" s="45">
        <v>63181752.479999997</v>
      </c>
      <c r="R89" s="43">
        <v>0</v>
      </c>
      <c r="S89" s="30">
        <v>0</v>
      </c>
      <c r="T89" s="30">
        <v>0</v>
      </c>
      <c r="U89" s="30" t="e">
        <v>#DIV/0!</v>
      </c>
      <c r="V89" s="43" t="e">
        <v>#DIV/0!</v>
      </c>
      <c r="W89" s="43" t="e">
        <v>#DIV/0!</v>
      </c>
      <c r="X89" s="43">
        <v>0</v>
      </c>
      <c r="Y89" s="43">
        <v>0</v>
      </c>
      <c r="Z89" s="43">
        <v>0</v>
      </c>
      <c r="AA89" s="43">
        <v>0</v>
      </c>
      <c r="AB89" s="43"/>
      <c r="AC89" s="43" t="e">
        <v>#DIV/0!</v>
      </c>
      <c r="AD89" s="43"/>
      <c r="AE89" s="43" t="e">
        <v>#DIV/0!</v>
      </c>
      <c r="AF89" s="43" t="e">
        <v>#DIV/0!</v>
      </c>
      <c r="AG89" s="43" t="e">
        <v>#DIV/0!</v>
      </c>
      <c r="AH89" s="38">
        <v>45352</v>
      </c>
      <c r="AI89" s="38"/>
      <c r="AJ89" s="38"/>
      <c r="AK89" s="38"/>
      <c r="AL89" s="38"/>
      <c r="AM89" s="48"/>
      <c r="AN89" s="42"/>
      <c r="AO89" s="42"/>
      <c r="AP89" s="42"/>
      <c r="AQ89" s="42"/>
      <c r="AR89" s="42"/>
      <c r="AS89" s="50"/>
      <c r="AT89" s="39"/>
      <c r="AU89" s="39"/>
      <c r="AV89" s="49"/>
      <c r="AW89" s="39"/>
      <c r="AX89" s="39">
        <v>10</v>
      </c>
      <c r="AY89" s="30">
        <v>6318175.2479999997</v>
      </c>
      <c r="AZ89" s="42" t="s">
        <v>434</v>
      </c>
    </row>
    <row r="90" spans="1:52" ht="66" customHeight="1" x14ac:dyDescent="0.25">
      <c r="A90" s="46" t="s">
        <v>1073</v>
      </c>
      <c r="B90" s="48">
        <v>45275</v>
      </c>
      <c r="C90" s="42">
        <v>1416</v>
      </c>
      <c r="D90" s="37" t="s">
        <v>1074</v>
      </c>
      <c r="E90" s="41" t="s">
        <v>1075</v>
      </c>
      <c r="F90" s="38">
        <v>45313</v>
      </c>
      <c r="G90" s="39" t="s">
        <v>1076</v>
      </c>
      <c r="H90" s="42" t="s">
        <v>88</v>
      </c>
      <c r="I90" s="42" t="s">
        <v>1077</v>
      </c>
      <c r="J90" s="56">
        <v>360340176</v>
      </c>
      <c r="K90" s="56">
        <v>360340176</v>
      </c>
      <c r="L90" s="56">
        <v>0</v>
      </c>
      <c r="M90" s="56">
        <v>0</v>
      </c>
      <c r="N90" s="44">
        <v>0</v>
      </c>
      <c r="O90" s="45">
        <v>0</v>
      </c>
      <c r="P90" s="43">
        <v>360340176</v>
      </c>
      <c r="Q90" s="45">
        <v>0</v>
      </c>
      <c r="R90" s="43">
        <v>360340176</v>
      </c>
      <c r="S90" s="30">
        <v>360340176</v>
      </c>
      <c r="T90" s="30">
        <v>360340176</v>
      </c>
      <c r="U90" s="30">
        <v>175.81</v>
      </c>
      <c r="V90" s="43">
        <v>175.81</v>
      </c>
      <c r="W90" s="43">
        <v>70324</v>
      </c>
      <c r="X90" s="43">
        <v>2049600</v>
      </c>
      <c r="Y90" s="43">
        <v>2049600</v>
      </c>
      <c r="Z90" s="43">
        <v>0</v>
      </c>
      <c r="AA90" s="43">
        <v>0</v>
      </c>
      <c r="AB90" s="43">
        <v>1444800</v>
      </c>
      <c r="AC90" s="43">
        <v>254010288</v>
      </c>
      <c r="AD90" s="43">
        <v>604800</v>
      </c>
      <c r="AE90" s="43">
        <v>106329888</v>
      </c>
      <c r="AF90" s="43">
        <v>5124</v>
      </c>
      <c r="AG90" s="43">
        <v>5124</v>
      </c>
      <c r="AH90" s="38">
        <v>45352</v>
      </c>
      <c r="AI90" s="38"/>
      <c r="AJ90" s="38"/>
      <c r="AK90" s="38">
        <v>45383</v>
      </c>
      <c r="AL90" s="38"/>
      <c r="AM90" s="48"/>
      <c r="AN90" s="42"/>
      <c r="AO90" s="42" t="s">
        <v>1078</v>
      </c>
      <c r="AP90" s="42" t="s">
        <v>1079</v>
      </c>
      <c r="AQ90" s="42" t="s">
        <v>1080</v>
      </c>
      <c r="AR90" s="42" t="s">
        <v>94</v>
      </c>
      <c r="AS90" s="50">
        <v>0</v>
      </c>
      <c r="AT90" s="39">
        <v>100</v>
      </c>
      <c r="AU90" s="39" t="s">
        <v>1081</v>
      </c>
      <c r="AV90" s="49">
        <v>400</v>
      </c>
      <c r="AW90" s="39" t="s">
        <v>62</v>
      </c>
      <c r="AX90" s="39">
        <v>10</v>
      </c>
      <c r="AY90" s="30">
        <v>36034017.600000001</v>
      </c>
      <c r="AZ90" s="42" t="s">
        <v>405</v>
      </c>
    </row>
    <row r="91" spans="1:52" ht="66" customHeight="1" x14ac:dyDescent="0.25">
      <c r="A91" s="46" t="s">
        <v>1082</v>
      </c>
      <c r="B91" s="48">
        <v>45278</v>
      </c>
      <c r="C91" s="42">
        <v>1416</v>
      </c>
      <c r="D91" s="37" t="s">
        <v>434</v>
      </c>
      <c r="E91" s="41" t="s">
        <v>1083</v>
      </c>
      <c r="F91" s="38" t="s">
        <v>434</v>
      </c>
      <c r="G91" s="39" t="s">
        <v>434</v>
      </c>
      <c r="H91" s="42" t="s">
        <v>434</v>
      </c>
      <c r="I91" s="42" t="s">
        <v>1084</v>
      </c>
      <c r="J91" s="56">
        <v>455563001.51999998</v>
      </c>
      <c r="K91" s="56">
        <v>455563001.51999998</v>
      </c>
      <c r="L91" s="56"/>
      <c r="M91" s="56"/>
      <c r="N91" s="44">
        <v>100</v>
      </c>
      <c r="O91" s="45">
        <v>455563001.51999998</v>
      </c>
      <c r="P91" s="43"/>
      <c r="Q91" s="45">
        <v>455563001.51999998</v>
      </c>
      <c r="R91" s="43">
        <v>0</v>
      </c>
      <c r="S91" s="30">
        <v>0</v>
      </c>
      <c r="T91" s="30">
        <v>0</v>
      </c>
      <c r="U91" s="30" t="e">
        <v>#DIV/0!</v>
      </c>
      <c r="V91" s="43" t="e">
        <v>#DIV/0!</v>
      </c>
      <c r="W91" s="43" t="e">
        <v>#DIV/0!</v>
      </c>
      <c r="X91" s="43">
        <v>0</v>
      </c>
      <c r="Y91" s="43">
        <v>0</v>
      </c>
      <c r="Z91" s="43">
        <v>0</v>
      </c>
      <c r="AA91" s="43">
        <v>0</v>
      </c>
      <c r="AB91" s="43"/>
      <c r="AC91" s="43" t="e">
        <v>#DIV/0!</v>
      </c>
      <c r="AD91" s="43"/>
      <c r="AE91" s="43" t="e">
        <v>#DIV/0!</v>
      </c>
      <c r="AF91" s="43" t="e">
        <v>#DIV/0!</v>
      </c>
      <c r="AG91" s="43" t="e">
        <v>#DIV/0!</v>
      </c>
      <c r="AH91" s="38">
        <v>45352</v>
      </c>
      <c r="AI91" s="38"/>
      <c r="AJ91" s="38"/>
      <c r="AK91" s="38"/>
      <c r="AL91" s="38"/>
      <c r="AM91" s="48"/>
      <c r="AN91" s="42"/>
      <c r="AO91" s="42"/>
      <c r="AP91" s="42"/>
      <c r="AQ91" s="42"/>
      <c r="AR91" s="42"/>
      <c r="AS91" s="50"/>
      <c r="AT91" s="39"/>
      <c r="AU91" s="39"/>
      <c r="AV91" s="49"/>
      <c r="AW91" s="39"/>
      <c r="AX91" s="39">
        <v>10</v>
      </c>
      <c r="AY91" s="30">
        <v>45556300.151999995</v>
      </c>
      <c r="AZ91" s="42" t="s">
        <v>434</v>
      </c>
    </row>
    <row r="92" spans="1:52" ht="66" customHeight="1" x14ac:dyDescent="0.25">
      <c r="A92" s="46" t="s">
        <v>1093</v>
      </c>
      <c r="B92" s="48">
        <v>45280</v>
      </c>
      <c r="C92" s="42">
        <v>1416</v>
      </c>
      <c r="D92" s="37" t="s">
        <v>1094</v>
      </c>
      <c r="E92" s="41" t="s">
        <v>1095</v>
      </c>
      <c r="F92" s="38">
        <v>45314</v>
      </c>
      <c r="G92" s="39" t="s">
        <v>1096</v>
      </c>
      <c r="H92" s="42" t="s">
        <v>141</v>
      </c>
      <c r="I92" s="42" t="s">
        <v>1097</v>
      </c>
      <c r="J92" s="56">
        <v>466054680</v>
      </c>
      <c r="K92" s="56">
        <v>466054680</v>
      </c>
      <c r="L92" s="56">
        <v>0</v>
      </c>
      <c r="M92" s="56">
        <v>0</v>
      </c>
      <c r="N92" s="44">
        <v>0</v>
      </c>
      <c r="O92" s="45">
        <v>0</v>
      </c>
      <c r="P92" s="43">
        <v>466054680</v>
      </c>
      <c r="Q92" s="45">
        <v>0</v>
      </c>
      <c r="R92" s="43">
        <v>466054680</v>
      </c>
      <c r="S92" s="30">
        <v>466054680</v>
      </c>
      <c r="T92" s="30">
        <v>466054680</v>
      </c>
      <c r="U92" s="30">
        <v>164.15</v>
      </c>
      <c r="V92" s="43">
        <v>164.15</v>
      </c>
      <c r="W92" s="43">
        <v>65660</v>
      </c>
      <c r="X92" s="43">
        <v>2839200</v>
      </c>
      <c r="Y92" s="43">
        <v>2839200</v>
      </c>
      <c r="Z92" s="43">
        <v>0</v>
      </c>
      <c r="AA92" s="43">
        <v>0</v>
      </c>
      <c r="AB92" s="43">
        <v>1536400</v>
      </c>
      <c r="AC92" s="43">
        <v>252200060</v>
      </c>
      <c r="AD92" s="43">
        <v>1302800</v>
      </c>
      <c r="AE92" s="43">
        <v>213854620</v>
      </c>
      <c r="AF92" s="43">
        <v>7098</v>
      </c>
      <c r="AG92" s="43">
        <v>7098</v>
      </c>
      <c r="AH92" s="38">
        <v>45383</v>
      </c>
      <c r="AI92" s="38"/>
      <c r="AJ92" s="38"/>
      <c r="AK92" s="38">
        <v>45413</v>
      </c>
      <c r="AL92" s="38"/>
      <c r="AM92" s="48"/>
      <c r="AN92" s="42"/>
      <c r="AO92" s="42" t="s">
        <v>1098</v>
      </c>
      <c r="AP92" s="42" t="s">
        <v>1079</v>
      </c>
      <c r="AQ92" s="42" t="s">
        <v>1099</v>
      </c>
      <c r="AR92" s="42" t="s">
        <v>82</v>
      </c>
      <c r="AS92" s="50">
        <v>100</v>
      </c>
      <c r="AT92" s="39">
        <v>0</v>
      </c>
      <c r="AU92" s="39" t="s">
        <v>1081</v>
      </c>
      <c r="AV92" s="49">
        <v>400</v>
      </c>
      <c r="AW92" s="39" t="s">
        <v>62</v>
      </c>
      <c r="AX92" s="39">
        <v>10</v>
      </c>
      <c r="AY92" s="30">
        <v>46605468</v>
      </c>
      <c r="AZ92" s="42" t="s">
        <v>405</v>
      </c>
    </row>
    <row r="93" spans="1:52" ht="66" customHeight="1" x14ac:dyDescent="0.25">
      <c r="A93" s="46" t="s">
        <v>1100</v>
      </c>
      <c r="B93" s="48">
        <v>45280</v>
      </c>
      <c r="C93" s="42">
        <v>1416</v>
      </c>
      <c r="D93" s="37" t="s">
        <v>1101</v>
      </c>
      <c r="E93" s="41" t="s">
        <v>1102</v>
      </c>
      <c r="F93" s="38">
        <v>45313</v>
      </c>
      <c r="G93" s="39" t="s">
        <v>1103</v>
      </c>
      <c r="H93" s="42" t="s">
        <v>504</v>
      </c>
      <c r="I93" s="42" t="s">
        <v>1104</v>
      </c>
      <c r="J93" s="56">
        <v>380020516</v>
      </c>
      <c r="K93" s="56">
        <v>380020516</v>
      </c>
      <c r="L93" s="56">
        <v>0</v>
      </c>
      <c r="M93" s="56">
        <v>0</v>
      </c>
      <c r="N93" s="44">
        <v>0</v>
      </c>
      <c r="O93" s="45">
        <v>0</v>
      </c>
      <c r="P93" s="43">
        <v>380020516</v>
      </c>
      <c r="Q93" s="45">
        <v>0</v>
      </c>
      <c r="R93" s="43">
        <v>380020516</v>
      </c>
      <c r="S93" s="30">
        <v>380020516</v>
      </c>
      <c r="T93" s="30">
        <v>380020516</v>
      </c>
      <c r="U93" s="30">
        <v>7950.22</v>
      </c>
      <c r="V93" s="43">
        <v>7950.22</v>
      </c>
      <c r="W93" s="43">
        <v>39751.1</v>
      </c>
      <c r="X93" s="43">
        <v>47800</v>
      </c>
      <c r="Y93" s="43">
        <v>47800</v>
      </c>
      <c r="Z93" s="43">
        <v>0</v>
      </c>
      <c r="AA93" s="43">
        <v>0</v>
      </c>
      <c r="AB93" s="43">
        <v>38160</v>
      </c>
      <c r="AC93" s="43">
        <v>303380395.19999999</v>
      </c>
      <c r="AD93" s="43">
        <v>9640</v>
      </c>
      <c r="AE93" s="43">
        <v>76640120.799999997</v>
      </c>
      <c r="AF93" s="43">
        <v>9560</v>
      </c>
      <c r="AG93" s="43">
        <v>9560</v>
      </c>
      <c r="AH93" s="38">
        <v>45352</v>
      </c>
      <c r="AI93" s="38"/>
      <c r="AJ93" s="38"/>
      <c r="AK93" s="38">
        <v>45383</v>
      </c>
      <c r="AL93" s="38"/>
      <c r="AM93" s="48"/>
      <c r="AN93" s="42"/>
      <c r="AO93" s="42" t="s">
        <v>1105</v>
      </c>
      <c r="AP93" s="42" t="s">
        <v>1106</v>
      </c>
      <c r="AQ93" s="42" t="s">
        <v>1107</v>
      </c>
      <c r="AR93" s="42" t="s">
        <v>94</v>
      </c>
      <c r="AS93" s="50">
        <v>0</v>
      </c>
      <c r="AT93" s="39">
        <v>100</v>
      </c>
      <c r="AU93" s="39" t="s">
        <v>83</v>
      </c>
      <c r="AV93" s="49">
        <v>5</v>
      </c>
      <c r="AW93" s="39" t="s">
        <v>221</v>
      </c>
      <c r="AX93" s="39">
        <v>10</v>
      </c>
      <c r="AY93" s="30">
        <v>38002051.600000001</v>
      </c>
      <c r="AZ93" s="42" t="s">
        <v>405</v>
      </c>
    </row>
    <row r="94" spans="1:52" ht="66" customHeight="1" x14ac:dyDescent="0.25">
      <c r="A94" s="46" t="s">
        <v>1108</v>
      </c>
      <c r="B94" s="48">
        <v>45280</v>
      </c>
      <c r="C94" s="42">
        <v>1416</v>
      </c>
      <c r="D94" s="37" t="s">
        <v>1109</v>
      </c>
      <c r="E94" s="41" t="s">
        <v>1110</v>
      </c>
      <c r="F94" s="38">
        <v>45313</v>
      </c>
      <c r="G94" s="39" t="s">
        <v>1111</v>
      </c>
      <c r="H94" s="42" t="s">
        <v>1112</v>
      </c>
      <c r="I94" s="42" t="s">
        <v>1113</v>
      </c>
      <c r="J94" s="56">
        <v>379881680.63999999</v>
      </c>
      <c r="K94" s="56">
        <v>379881680.63999999</v>
      </c>
      <c r="L94" s="56">
        <v>0</v>
      </c>
      <c r="M94" s="56">
        <v>0</v>
      </c>
      <c r="N94" s="44">
        <v>0</v>
      </c>
      <c r="O94" s="45">
        <v>0</v>
      </c>
      <c r="P94" s="43">
        <v>379881680.63999999</v>
      </c>
      <c r="Q94" s="45">
        <v>0</v>
      </c>
      <c r="R94" s="43">
        <v>379881680.63999999</v>
      </c>
      <c r="S94" s="30">
        <v>379881680.63999999</v>
      </c>
      <c r="T94" s="30">
        <v>379881680.63999999</v>
      </c>
      <c r="U94" s="30">
        <v>13332.55</v>
      </c>
      <c r="V94" s="43">
        <v>13332.55</v>
      </c>
      <c r="W94" s="43">
        <v>63996.239999999991</v>
      </c>
      <c r="X94" s="43">
        <v>28492.799999999999</v>
      </c>
      <c r="Y94" s="43">
        <v>28492.799999999999</v>
      </c>
      <c r="Z94" s="43">
        <v>0</v>
      </c>
      <c r="AA94" s="43">
        <v>0</v>
      </c>
      <c r="AB94" s="43">
        <v>17664</v>
      </c>
      <c r="AC94" s="43">
        <v>235506163.19999999</v>
      </c>
      <c r="AD94" s="43">
        <v>10828.8</v>
      </c>
      <c r="AE94" s="43">
        <v>144375517.43999997</v>
      </c>
      <c r="AF94" s="43">
        <v>5936</v>
      </c>
      <c r="AG94" s="43">
        <v>5936</v>
      </c>
      <c r="AH94" s="38">
        <v>45352</v>
      </c>
      <c r="AI94" s="38"/>
      <c r="AJ94" s="38"/>
      <c r="AK94" s="38">
        <v>45383</v>
      </c>
      <c r="AL94" s="38"/>
      <c r="AM94" s="48"/>
      <c r="AN94" s="42"/>
      <c r="AO94" s="42" t="s">
        <v>1114</v>
      </c>
      <c r="AP94" s="42" t="s">
        <v>1115</v>
      </c>
      <c r="AQ94" s="42" t="s">
        <v>1116</v>
      </c>
      <c r="AR94" s="42" t="s">
        <v>277</v>
      </c>
      <c r="AS94" s="50">
        <v>0</v>
      </c>
      <c r="AT94" s="39">
        <v>100</v>
      </c>
      <c r="AU94" s="39" t="s">
        <v>327</v>
      </c>
      <c r="AV94" s="54">
        <v>4.8</v>
      </c>
      <c r="AW94" s="39" t="s">
        <v>62</v>
      </c>
      <c r="AX94" s="39">
        <v>10</v>
      </c>
      <c r="AY94" s="30">
        <v>37988168.063999996</v>
      </c>
      <c r="AZ94" s="42" t="s">
        <v>405</v>
      </c>
    </row>
    <row r="95" spans="1:52" ht="66" customHeight="1" x14ac:dyDescent="0.25">
      <c r="A95" s="46" t="s">
        <v>1117</v>
      </c>
      <c r="B95" s="48">
        <v>45280</v>
      </c>
      <c r="C95" s="42">
        <v>1416</v>
      </c>
      <c r="D95" s="37" t="s">
        <v>1118</v>
      </c>
      <c r="E95" s="41" t="s">
        <v>1119</v>
      </c>
      <c r="F95" s="38">
        <v>45314</v>
      </c>
      <c r="G95" s="39" t="s">
        <v>1120</v>
      </c>
      <c r="H95" s="42" t="s">
        <v>141</v>
      </c>
      <c r="I95" s="42" t="s">
        <v>1121</v>
      </c>
      <c r="J95" s="56">
        <v>712501307.10000002</v>
      </c>
      <c r="K95" s="56">
        <v>712501307.10000002</v>
      </c>
      <c r="L95" s="56">
        <v>0</v>
      </c>
      <c r="M95" s="56">
        <v>0</v>
      </c>
      <c r="N95" s="44">
        <v>0</v>
      </c>
      <c r="O95" s="45">
        <v>0</v>
      </c>
      <c r="P95" s="43">
        <v>712501307.10000002</v>
      </c>
      <c r="Q95" s="45">
        <v>0</v>
      </c>
      <c r="R95" s="43">
        <v>712501307.10000002</v>
      </c>
      <c r="S95" s="30">
        <v>712501307.10000002</v>
      </c>
      <c r="T95" s="30">
        <v>712501307.10000002</v>
      </c>
      <c r="U95" s="30">
        <v>401.58000000000004</v>
      </c>
      <c r="V95" s="43">
        <v>401.58000000000004</v>
      </c>
      <c r="W95" s="43">
        <v>6023.7000000000007</v>
      </c>
      <c r="X95" s="43">
        <v>1774245</v>
      </c>
      <c r="Y95" s="43">
        <v>1125000</v>
      </c>
      <c r="Z95" s="43">
        <v>649245</v>
      </c>
      <c r="AA95" s="43">
        <v>0</v>
      </c>
      <c r="AB95" s="43">
        <v>1672950</v>
      </c>
      <c r="AC95" s="43">
        <v>671823261.00000012</v>
      </c>
      <c r="AD95" s="43">
        <v>101295</v>
      </c>
      <c r="AE95" s="43">
        <v>40678046.100000001</v>
      </c>
      <c r="AF95" s="43">
        <v>118283</v>
      </c>
      <c r="AG95" s="43">
        <v>118283</v>
      </c>
      <c r="AH95" s="38">
        <v>45352</v>
      </c>
      <c r="AI95" s="38">
        <v>45444</v>
      </c>
      <c r="AJ95" s="38"/>
      <c r="AK95" s="38">
        <v>45383</v>
      </c>
      <c r="AL95" s="38">
        <v>45474</v>
      </c>
      <c r="AM95" s="48"/>
      <c r="AN95" s="42"/>
      <c r="AO95" s="42" t="s">
        <v>1122</v>
      </c>
      <c r="AP95" s="42" t="s">
        <v>1123</v>
      </c>
      <c r="AQ95" s="42" t="s">
        <v>1124</v>
      </c>
      <c r="AR95" s="42" t="s">
        <v>82</v>
      </c>
      <c r="AS95" s="50">
        <v>100</v>
      </c>
      <c r="AT95" s="39">
        <v>0</v>
      </c>
      <c r="AU95" s="39" t="s">
        <v>83</v>
      </c>
      <c r="AV95" s="49">
        <v>15</v>
      </c>
      <c r="AW95" s="39" t="s">
        <v>62</v>
      </c>
      <c r="AX95" s="39">
        <v>10</v>
      </c>
      <c r="AY95" s="30">
        <v>71250130.709999993</v>
      </c>
      <c r="AZ95" s="42" t="s">
        <v>405</v>
      </c>
    </row>
    <row r="96" spans="1:52" ht="66" customHeight="1" x14ac:dyDescent="0.25">
      <c r="A96" s="46" t="s">
        <v>1125</v>
      </c>
      <c r="B96" s="48">
        <v>45280</v>
      </c>
      <c r="C96" s="42">
        <v>1416</v>
      </c>
      <c r="D96" s="37" t="s">
        <v>1126</v>
      </c>
      <c r="E96" s="41" t="s">
        <v>1127</v>
      </c>
      <c r="F96" s="38">
        <v>45307</v>
      </c>
      <c r="G96" s="39" t="s">
        <v>1128</v>
      </c>
      <c r="H96" s="42" t="s">
        <v>1129</v>
      </c>
      <c r="I96" s="42" t="s">
        <v>1130</v>
      </c>
      <c r="J96" s="56">
        <v>27891956.399999999</v>
      </c>
      <c r="K96" s="56">
        <v>27891956.399999999</v>
      </c>
      <c r="L96" s="56">
        <v>0</v>
      </c>
      <c r="M96" s="56">
        <v>0</v>
      </c>
      <c r="N96" s="44">
        <v>0.50089279502816453</v>
      </c>
      <c r="O96" s="45">
        <v>139708.79999999702</v>
      </c>
      <c r="P96" s="43">
        <v>27752247.600000001</v>
      </c>
      <c r="Q96" s="45">
        <v>139708.79999999702</v>
      </c>
      <c r="R96" s="43">
        <v>27752247.600000001</v>
      </c>
      <c r="S96" s="30">
        <v>27752247.600000001</v>
      </c>
      <c r="T96" s="30">
        <v>27752247.600000001</v>
      </c>
      <c r="U96" s="30">
        <v>429.07000000000005</v>
      </c>
      <c r="V96" s="43">
        <v>429.07000000000005</v>
      </c>
      <c r="W96" s="43">
        <v>8581.4000000000015</v>
      </c>
      <c r="X96" s="43">
        <v>64680</v>
      </c>
      <c r="Y96" s="43">
        <v>64680</v>
      </c>
      <c r="Z96" s="43">
        <v>0</v>
      </c>
      <c r="AA96" s="43">
        <v>0</v>
      </c>
      <c r="AB96" s="43">
        <v>0</v>
      </c>
      <c r="AC96" s="43">
        <v>0</v>
      </c>
      <c r="AD96" s="43">
        <v>64680</v>
      </c>
      <c r="AE96" s="43">
        <v>27752247.600000001</v>
      </c>
      <c r="AF96" s="43">
        <v>3234</v>
      </c>
      <c r="AG96" s="43">
        <v>3234</v>
      </c>
      <c r="AH96" s="38">
        <v>45352</v>
      </c>
      <c r="AI96" s="38"/>
      <c r="AJ96" s="38"/>
      <c r="AK96" s="38">
        <v>45383</v>
      </c>
      <c r="AL96" s="38"/>
      <c r="AM96" s="48"/>
      <c r="AN96" s="42"/>
      <c r="AO96" s="42" t="s">
        <v>1131</v>
      </c>
      <c r="AP96" s="42" t="s">
        <v>1132</v>
      </c>
      <c r="AQ96" s="42" t="s">
        <v>1133</v>
      </c>
      <c r="AR96" s="42" t="s">
        <v>82</v>
      </c>
      <c r="AS96" s="50">
        <v>100</v>
      </c>
      <c r="AT96" s="39">
        <v>0</v>
      </c>
      <c r="AU96" s="39" t="s">
        <v>389</v>
      </c>
      <c r="AV96" s="49">
        <v>20</v>
      </c>
      <c r="AW96" s="39" t="s">
        <v>62</v>
      </c>
      <c r="AX96" s="39">
        <v>10</v>
      </c>
      <c r="AY96" s="30">
        <v>2789195.64</v>
      </c>
      <c r="AZ96" s="42" t="s">
        <v>405</v>
      </c>
    </row>
    <row r="97" spans="1:52" ht="66" customHeight="1" x14ac:dyDescent="0.25">
      <c r="A97" s="46" t="s">
        <v>1134</v>
      </c>
      <c r="B97" s="48">
        <v>45280</v>
      </c>
      <c r="C97" s="42">
        <v>1416</v>
      </c>
      <c r="D97" s="37" t="s">
        <v>1135</v>
      </c>
      <c r="E97" s="41" t="s">
        <v>1136</v>
      </c>
      <c r="F97" s="38">
        <v>45314</v>
      </c>
      <c r="G97" s="39" t="s">
        <v>1137</v>
      </c>
      <c r="H97" s="42" t="s">
        <v>141</v>
      </c>
      <c r="I97" s="42" t="s">
        <v>1138</v>
      </c>
      <c r="J97" s="56">
        <v>371696160</v>
      </c>
      <c r="K97" s="56">
        <v>371696160</v>
      </c>
      <c r="L97" s="56">
        <v>0</v>
      </c>
      <c r="M97" s="56">
        <v>0</v>
      </c>
      <c r="N97" s="44">
        <v>0</v>
      </c>
      <c r="O97" s="45">
        <v>0</v>
      </c>
      <c r="P97" s="43">
        <v>371696160</v>
      </c>
      <c r="Q97" s="45">
        <v>0</v>
      </c>
      <c r="R97" s="43">
        <v>371696160</v>
      </c>
      <c r="S97" s="30">
        <v>371696160</v>
      </c>
      <c r="T97" s="30">
        <v>371696160</v>
      </c>
      <c r="U97" s="30">
        <v>48.48</v>
      </c>
      <c r="V97" s="43">
        <v>48.48</v>
      </c>
      <c r="W97" s="43">
        <v>48480</v>
      </c>
      <c r="X97" s="43">
        <v>7667000</v>
      </c>
      <c r="Y97" s="43">
        <v>7667000</v>
      </c>
      <c r="Z97" s="43">
        <v>0</v>
      </c>
      <c r="AA97" s="43">
        <v>0</v>
      </c>
      <c r="AB97" s="43">
        <v>6190000</v>
      </c>
      <c r="AC97" s="43">
        <v>300091200</v>
      </c>
      <c r="AD97" s="43">
        <v>1477000</v>
      </c>
      <c r="AE97" s="43">
        <v>71604960</v>
      </c>
      <c r="AF97" s="43">
        <v>7667</v>
      </c>
      <c r="AG97" s="43">
        <v>7667</v>
      </c>
      <c r="AH97" s="38">
        <v>45381</v>
      </c>
      <c r="AI97" s="38"/>
      <c r="AJ97" s="38"/>
      <c r="AK97" s="38">
        <v>45413</v>
      </c>
      <c r="AL97" s="38"/>
      <c r="AM97" s="48"/>
      <c r="AN97" s="42"/>
      <c r="AO97" s="42" t="s">
        <v>1139</v>
      </c>
      <c r="AP97" s="42" t="s">
        <v>1140</v>
      </c>
      <c r="AQ97" s="42" t="s">
        <v>1141</v>
      </c>
      <c r="AR97" s="42" t="s">
        <v>788</v>
      </c>
      <c r="AS97" s="50">
        <v>0</v>
      </c>
      <c r="AT97" s="39">
        <v>100</v>
      </c>
      <c r="AU97" s="39" t="s">
        <v>1081</v>
      </c>
      <c r="AV97" s="49">
        <v>1000</v>
      </c>
      <c r="AW97" s="39" t="s">
        <v>62</v>
      </c>
      <c r="AX97" s="39">
        <v>10</v>
      </c>
      <c r="AY97" s="30">
        <v>37169616</v>
      </c>
      <c r="AZ97" s="42" t="s">
        <v>405</v>
      </c>
    </row>
    <row r="98" spans="1:52" ht="66" customHeight="1" x14ac:dyDescent="0.25">
      <c r="A98" s="46" t="s">
        <v>1142</v>
      </c>
      <c r="B98" s="48">
        <v>45280</v>
      </c>
      <c r="C98" s="42">
        <v>1416</v>
      </c>
      <c r="D98" s="37" t="s">
        <v>1143</v>
      </c>
      <c r="E98" s="41" t="s">
        <v>1144</v>
      </c>
      <c r="F98" s="38">
        <v>45303</v>
      </c>
      <c r="G98" s="39" t="s">
        <v>1145</v>
      </c>
      <c r="H98" s="42" t="s">
        <v>226</v>
      </c>
      <c r="I98" s="42" t="s">
        <v>1146</v>
      </c>
      <c r="J98" s="56">
        <v>1135795.5</v>
      </c>
      <c r="K98" s="56">
        <v>1135795.5</v>
      </c>
      <c r="L98" s="56">
        <v>0</v>
      </c>
      <c r="M98" s="56">
        <v>0</v>
      </c>
      <c r="N98" s="44">
        <v>0</v>
      </c>
      <c r="O98" s="45">
        <v>0</v>
      </c>
      <c r="P98" s="43">
        <v>1135795.5</v>
      </c>
      <c r="Q98" s="45">
        <v>0</v>
      </c>
      <c r="R98" s="43">
        <v>1135795.5</v>
      </c>
      <c r="S98" s="30">
        <v>1135795.5</v>
      </c>
      <c r="T98" s="30">
        <v>1135795.5</v>
      </c>
      <c r="U98" s="30">
        <v>1802.85</v>
      </c>
      <c r="V98" s="43">
        <v>1802.85</v>
      </c>
      <c r="W98" s="43">
        <v>37859.85</v>
      </c>
      <c r="X98" s="43">
        <v>630</v>
      </c>
      <c r="Y98" s="43">
        <v>630</v>
      </c>
      <c r="Z98" s="43">
        <v>0</v>
      </c>
      <c r="AA98" s="43">
        <v>0</v>
      </c>
      <c r="AB98" s="43">
        <v>0</v>
      </c>
      <c r="AC98" s="43">
        <v>0</v>
      </c>
      <c r="AD98" s="43">
        <v>630</v>
      </c>
      <c r="AE98" s="43">
        <v>1135795.5</v>
      </c>
      <c r="AF98" s="43">
        <v>30</v>
      </c>
      <c r="AG98" s="43">
        <v>30</v>
      </c>
      <c r="AH98" s="38">
        <v>45352</v>
      </c>
      <c r="AI98" s="38"/>
      <c r="AJ98" s="38"/>
      <c r="AK98" s="38">
        <v>45383</v>
      </c>
      <c r="AL98" s="38"/>
      <c r="AM98" s="48"/>
      <c r="AN98" s="42"/>
      <c r="AO98" s="42" t="s">
        <v>1147</v>
      </c>
      <c r="AP98" s="42" t="s">
        <v>1148</v>
      </c>
      <c r="AQ98" s="42" t="s">
        <v>1149</v>
      </c>
      <c r="AR98" s="42" t="s">
        <v>82</v>
      </c>
      <c r="AS98" s="50">
        <v>100</v>
      </c>
      <c r="AT98" s="39">
        <v>0</v>
      </c>
      <c r="AU98" s="39" t="s">
        <v>389</v>
      </c>
      <c r="AV98" s="49">
        <v>21</v>
      </c>
      <c r="AW98" s="39" t="s">
        <v>221</v>
      </c>
      <c r="AX98" s="39">
        <v>10</v>
      </c>
      <c r="AY98" s="30">
        <v>113579.55</v>
      </c>
      <c r="AZ98" s="42" t="s">
        <v>405</v>
      </c>
    </row>
    <row r="99" spans="1:52" ht="66" customHeight="1" x14ac:dyDescent="0.25">
      <c r="A99" s="46" t="s">
        <v>1150</v>
      </c>
      <c r="B99" s="48">
        <v>45280</v>
      </c>
      <c r="C99" s="42">
        <v>1416</v>
      </c>
      <c r="D99" s="37" t="s">
        <v>1151</v>
      </c>
      <c r="E99" s="41" t="s">
        <v>1152</v>
      </c>
      <c r="F99" s="38">
        <v>45308</v>
      </c>
      <c r="G99" s="39" t="s">
        <v>1153</v>
      </c>
      <c r="H99" s="42" t="s">
        <v>141</v>
      </c>
      <c r="I99" s="42" t="s">
        <v>1154</v>
      </c>
      <c r="J99" s="56">
        <v>20722240</v>
      </c>
      <c r="K99" s="56">
        <v>20722240</v>
      </c>
      <c r="L99" s="56">
        <v>0</v>
      </c>
      <c r="M99" s="56">
        <v>0</v>
      </c>
      <c r="N99" s="44">
        <v>0</v>
      </c>
      <c r="O99" s="45">
        <v>0</v>
      </c>
      <c r="P99" s="43">
        <v>20722240</v>
      </c>
      <c r="Q99" s="45">
        <v>0</v>
      </c>
      <c r="R99" s="43">
        <v>20722240</v>
      </c>
      <c r="S99" s="30">
        <v>20722240</v>
      </c>
      <c r="T99" s="30">
        <v>20722240</v>
      </c>
      <c r="U99" s="30">
        <v>51.04</v>
      </c>
      <c r="V99" s="43">
        <v>51.04</v>
      </c>
      <c r="W99" s="43">
        <v>25520</v>
      </c>
      <c r="X99" s="43">
        <v>406000</v>
      </c>
      <c r="Y99" s="43">
        <v>406000</v>
      </c>
      <c r="Z99" s="43">
        <v>0</v>
      </c>
      <c r="AA99" s="43">
        <v>0</v>
      </c>
      <c r="AB99" s="43">
        <v>406000</v>
      </c>
      <c r="AC99" s="43">
        <v>20722240</v>
      </c>
      <c r="AD99" s="43">
        <v>0</v>
      </c>
      <c r="AE99" s="43">
        <v>0</v>
      </c>
      <c r="AF99" s="43">
        <v>812</v>
      </c>
      <c r="AG99" s="43">
        <v>812</v>
      </c>
      <c r="AH99" s="38">
        <v>45381</v>
      </c>
      <c r="AI99" s="38"/>
      <c r="AJ99" s="38"/>
      <c r="AK99" s="38">
        <v>45413</v>
      </c>
      <c r="AL99" s="38"/>
      <c r="AM99" s="48"/>
      <c r="AN99" s="42"/>
      <c r="AO99" s="42" t="s">
        <v>1139</v>
      </c>
      <c r="AP99" s="42" t="s">
        <v>1155</v>
      </c>
      <c r="AQ99" s="42" t="s">
        <v>1141</v>
      </c>
      <c r="AR99" s="42" t="s">
        <v>788</v>
      </c>
      <c r="AS99" s="50">
        <v>0</v>
      </c>
      <c r="AT99" s="39">
        <v>100</v>
      </c>
      <c r="AU99" s="39" t="s">
        <v>1081</v>
      </c>
      <c r="AV99" s="49">
        <v>500</v>
      </c>
      <c r="AW99" s="39" t="s">
        <v>62</v>
      </c>
      <c r="AX99" s="39">
        <v>10</v>
      </c>
      <c r="AY99" s="30">
        <v>2072224</v>
      </c>
      <c r="AZ99" s="42" t="s">
        <v>405</v>
      </c>
    </row>
    <row r="100" spans="1:52" ht="66" customHeight="1" x14ac:dyDescent="0.25">
      <c r="A100" s="46" t="s">
        <v>1156</v>
      </c>
      <c r="B100" s="48">
        <v>45280</v>
      </c>
      <c r="C100" s="42">
        <v>1416</v>
      </c>
      <c r="D100" s="37" t="s">
        <v>1157</v>
      </c>
      <c r="E100" s="41" t="s">
        <v>1158</v>
      </c>
      <c r="F100" s="38">
        <v>45314</v>
      </c>
      <c r="G100" s="39" t="s">
        <v>1159</v>
      </c>
      <c r="H100" s="42" t="s">
        <v>88</v>
      </c>
      <c r="I100" s="42" t="s">
        <v>680</v>
      </c>
      <c r="J100" s="56">
        <v>1441732800</v>
      </c>
      <c r="K100" s="56">
        <v>720866400</v>
      </c>
      <c r="L100" s="56">
        <v>720866400</v>
      </c>
      <c r="M100" s="56">
        <v>0</v>
      </c>
      <c r="N100" s="44">
        <v>0</v>
      </c>
      <c r="O100" s="45">
        <v>0</v>
      </c>
      <c r="P100" s="43">
        <v>1441732800</v>
      </c>
      <c r="Q100" s="45">
        <v>720866400</v>
      </c>
      <c r="R100" s="43">
        <v>720866400</v>
      </c>
      <c r="S100" s="30">
        <v>720866400</v>
      </c>
      <c r="T100" s="30">
        <v>1441732800</v>
      </c>
      <c r="U100" s="30">
        <v>10.72</v>
      </c>
      <c r="V100" s="43">
        <v>10.72</v>
      </c>
      <c r="W100" s="43" t="e">
        <v>#VALUE!</v>
      </c>
      <c r="X100" s="43">
        <v>134490000</v>
      </c>
      <c r="Y100" s="43">
        <v>46376000</v>
      </c>
      <c r="Z100" s="43">
        <v>20869000</v>
      </c>
      <c r="AA100" s="43">
        <v>0</v>
      </c>
      <c r="AB100" s="43">
        <v>20478000</v>
      </c>
      <c r="AC100" s="43">
        <v>219524160</v>
      </c>
      <c r="AD100" s="43">
        <v>46767000</v>
      </c>
      <c r="AE100" s="43">
        <v>501342240.00000006</v>
      </c>
      <c r="AF100" s="43" t="e">
        <v>#VALUE!</v>
      </c>
      <c r="AG100" s="43" t="e">
        <v>#VALUE!</v>
      </c>
      <c r="AH100" s="38">
        <v>45352</v>
      </c>
      <c r="AI100" s="38">
        <v>45565</v>
      </c>
      <c r="AJ100" s="38" t="s">
        <v>1160</v>
      </c>
      <c r="AK100" s="38">
        <v>45383</v>
      </c>
      <c r="AL100" s="38">
        <v>45597</v>
      </c>
      <c r="AM100" s="48" t="s">
        <v>1161</v>
      </c>
      <c r="AN100" s="42"/>
      <c r="AO100" s="42" t="s">
        <v>1162</v>
      </c>
      <c r="AP100" s="42" t="s">
        <v>1163</v>
      </c>
      <c r="AQ100" s="42" t="s">
        <v>1164</v>
      </c>
      <c r="AR100" s="42" t="s">
        <v>1062</v>
      </c>
      <c r="AS100" s="50">
        <v>0</v>
      </c>
      <c r="AT100" s="39">
        <v>100</v>
      </c>
      <c r="AU100" s="39" t="s">
        <v>95</v>
      </c>
      <c r="AV100" s="53" t="s">
        <v>1165</v>
      </c>
      <c r="AW100" s="39" t="s">
        <v>62</v>
      </c>
      <c r="AX100" s="39">
        <v>10</v>
      </c>
      <c r="AY100" s="30">
        <v>144173280</v>
      </c>
      <c r="AZ100" s="42" t="s">
        <v>405</v>
      </c>
    </row>
    <row r="101" spans="1:52" ht="66" customHeight="1" x14ac:dyDescent="0.25">
      <c r="A101" s="46" t="s">
        <v>1166</v>
      </c>
      <c r="B101" s="48">
        <v>45280</v>
      </c>
      <c r="C101" s="42">
        <v>1416</v>
      </c>
      <c r="D101" s="37" t="s">
        <v>434</v>
      </c>
      <c r="E101" s="41" t="s">
        <v>1167</v>
      </c>
      <c r="F101" s="38" t="s">
        <v>434</v>
      </c>
      <c r="G101" s="39" t="s">
        <v>434</v>
      </c>
      <c r="H101" s="42" t="s">
        <v>434</v>
      </c>
      <c r="I101" s="42" t="s">
        <v>1168</v>
      </c>
      <c r="J101" s="56">
        <v>239282920</v>
      </c>
      <c r="K101" s="56">
        <v>239282920</v>
      </c>
      <c r="L101" s="56"/>
      <c r="M101" s="56"/>
      <c r="N101" s="44">
        <v>100</v>
      </c>
      <c r="O101" s="45">
        <v>239282920</v>
      </c>
      <c r="P101" s="43"/>
      <c r="Q101" s="45">
        <v>239282920</v>
      </c>
      <c r="R101" s="43">
        <v>0</v>
      </c>
      <c r="S101" s="30">
        <v>0</v>
      </c>
      <c r="T101" s="30">
        <v>0</v>
      </c>
      <c r="U101" s="30" t="e">
        <v>#DIV/0!</v>
      </c>
      <c r="V101" s="43" t="e">
        <v>#DIV/0!</v>
      </c>
      <c r="W101" s="43" t="e">
        <v>#DIV/0!</v>
      </c>
      <c r="X101" s="43">
        <v>0</v>
      </c>
      <c r="Y101" s="43">
        <v>0</v>
      </c>
      <c r="Z101" s="43">
        <v>0</v>
      </c>
      <c r="AA101" s="43">
        <v>0</v>
      </c>
      <c r="AB101" s="43"/>
      <c r="AC101" s="43" t="e">
        <v>#DIV/0!</v>
      </c>
      <c r="AD101" s="43"/>
      <c r="AE101" s="43" t="e">
        <v>#DIV/0!</v>
      </c>
      <c r="AF101" s="43" t="e">
        <v>#DIV/0!</v>
      </c>
      <c r="AG101" s="43" t="e">
        <v>#DIV/0!</v>
      </c>
      <c r="AH101" s="38">
        <v>45382</v>
      </c>
      <c r="AI101" s="38">
        <v>45483</v>
      </c>
      <c r="AJ101" s="38"/>
      <c r="AK101" s="38"/>
      <c r="AL101" s="38"/>
      <c r="AM101" s="48"/>
      <c r="AN101" s="42"/>
      <c r="AO101" s="42"/>
      <c r="AP101" s="42"/>
      <c r="AQ101" s="42"/>
      <c r="AR101" s="42"/>
      <c r="AS101" s="50"/>
      <c r="AT101" s="39"/>
      <c r="AU101" s="39"/>
      <c r="AV101" s="49"/>
      <c r="AW101" s="39"/>
      <c r="AX101" s="39">
        <v>10</v>
      </c>
      <c r="AY101" s="30">
        <v>23928292</v>
      </c>
      <c r="AZ101" s="42" t="s">
        <v>405</v>
      </c>
    </row>
    <row r="102" spans="1:52" ht="58.5" customHeight="1" x14ac:dyDescent="0.25">
      <c r="A102" s="46" t="s">
        <v>1175</v>
      </c>
      <c r="B102" s="48">
        <v>45287</v>
      </c>
      <c r="C102" s="42">
        <v>1416</v>
      </c>
      <c r="D102" s="37" t="s">
        <v>1176</v>
      </c>
      <c r="E102" s="41" t="s">
        <v>1177</v>
      </c>
      <c r="F102" s="38">
        <v>45320</v>
      </c>
      <c r="G102" s="39" t="s">
        <v>1178</v>
      </c>
      <c r="H102" s="42" t="s">
        <v>1179</v>
      </c>
      <c r="I102" s="42" t="s">
        <v>1180</v>
      </c>
      <c r="J102" s="56">
        <v>346834734.83999997</v>
      </c>
      <c r="K102" s="56">
        <v>346834734.83999997</v>
      </c>
      <c r="L102" s="56">
        <v>0</v>
      </c>
      <c r="M102" s="56">
        <v>0</v>
      </c>
      <c r="N102" s="44">
        <v>0</v>
      </c>
      <c r="O102" s="45">
        <v>0</v>
      </c>
      <c r="P102" s="43">
        <v>346834734.83999997</v>
      </c>
      <c r="Q102" s="45">
        <v>0</v>
      </c>
      <c r="R102" s="43">
        <v>346834734.83999997</v>
      </c>
      <c r="S102" s="30">
        <v>346834734.83999997</v>
      </c>
      <c r="T102" s="30">
        <v>346834734.83999997</v>
      </c>
      <c r="U102" s="30">
        <v>50773.64</v>
      </c>
      <c r="V102" s="43">
        <v>50773.64</v>
      </c>
      <c r="W102" s="43">
        <v>152320.91999999998</v>
      </c>
      <c r="X102" s="43">
        <v>6831</v>
      </c>
      <c r="Y102" s="43">
        <v>6831</v>
      </c>
      <c r="Z102" s="43">
        <v>0</v>
      </c>
      <c r="AA102" s="43">
        <v>0</v>
      </c>
      <c r="AB102" s="43">
        <v>5037</v>
      </c>
      <c r="AC102" s="43">
        <v>255746824.68000001</v>
      </c>
      <c r="AD102" s="43">
        <v>1794</v>
      </c>
      <c r="AE102" s="43">
        <v>91087910.159999996</v>
      </c>
      <c r="AF102" s="43">
        <v>2277</v>
      </c>
      <c r="AG102" s="43">
        <v>2277</v>
      </c>
      <c r="AH102" s="38">
        <v>45352</v>
      </c>
      <c r="AI102" s="38"/>
      <c r="AJ102" s="38"/>
      <c r="AK102" s="38">
        <v>45383</v>
      </c>
      <c r="AL102" s="38"/>
      <c r="AM102" s="48"/>
      <c r="AN102" s="42"/>
      <c r="AO102" s="42" t="s">
        <v>1181</v>
      </c>
      <c r="AP102" s="42" t="s">
        <v>1182</v>
      </c>
      <c r="AQ102" s="42" t="s">
        <v>1183</v>
      </c>
      <c r="AR102" s="42" t="s">
        <v>1184</v>
      </c>
      <c r="AS102" s="50">
        <v>0</v>
      </c>
      <c r="AT102" s="39">
        <v>100</v>
      </c>
      <c r="AU102" s="39" t="s">
        <v>83</v>
      </c>
      <c r="AV102" s="49">
        <v>3</v>
      </c>
      <c r="AW102" s="39" t="s">
        <v>62</v>
      </c>
      <c r="AX102" s="39">
        <v>10</v>
      </c>
      <c r="AY102" s="30">
        <v>34683473.483999997</v>
      </c>
      <c r="AZ102" s="42" t="s">
        <v>405</v>
      </c>
    </row>
    <row r="103" spans="1:52" ht="58.5" customHeight="1" x14ac:dyDescent="0.25">
      <c r="A103" s="46" t="s">
        <v>1185</v>
      </c>
      <c r="B103" s="48">
        <v>45287</v>
      </c>
      <c r="C103" s="42">
        <v>1416</v>
      </c>
      <c r="D103" s="37" t="s">
        <v>1186</v>
      </c>
      <c r="E103" s="41" t="s">
        <v>1187</v>
      </c>
      <c r="F103" s="38">
        <v>45317</v>
      </c>
      <c r="G103" s="39" t="s">
        <v>1188</v>
      </c>
      <c r="H103" s="42" t="s">
        <v>141</v>
      </c>
      <c r="I103" s="42" t="s">
        <v>1189</v>
      </c>
      <c r="J103" s="56">
        <v>966903210</v>
      </c>
      <c r="K103" s="56">
        <v>966903210</v>
      </c>
      <c r="L103" s="56">
        <v>0</v>
      </c>
      <c r="M103" s="56">
        <v>0</v>
      </c>
      <c r="N103" s="44">
        <v>0</v>
      </c>
      <c r="O103" s="45">
        <v>0</v>
      </c>
      <c r="P103" s="43">
        <v>966903210</v>
      </c>
      <c r="Q103" s="45">
        <v>0</v>
      </c>
      <c r="R103" s="43">
        <v>966903210</v>
      </c>
      <c r="S103" s="30">
        <v>966903210</v>
      </c>
      <c r="T103" s="30">
        <v>966903210</v>
      </c>
      <c r="U103" s="30">
        <v>12.39</v>
      </c>
      <c r="V103" s="43">
        <v>12.39</v>
      </c>
      <c r="W103" s="43" t="e">
        <v>#VALUE!</v>
      </c>
      <c r="X103" s="43">
        <v>78039000</v>
      </c>
      <c r="Y103" s="43">
        <v>40291000</v>
      </c>
      <c r="Z103" s="43">
        <v>37748000</v>
      </c>
      <c r="AA103" s="43">
        <v>0</v>
      </c>
      <c r="AB103" s="43">
        <v>47492000</v>
      </c>
      <c r="AC103" s="43">
        <v>588425880</v>
      </c>
      <c r="AD103" s="43">
        <v>30547000</v>
      </c>
      <c r="AE103" s="43">
        <v>378477330</v>
      </c>
      <c r="AF103" s="43" t="e">
        <v>#VALUE!</v>
      </c>
      <c r="AG103" s="43" t="e">
        <v>#VALUE!</v>
      </c>
      <c r="AH103" s="38">
        <v>45383</v>
      </c>
      <c r="AI103" s="38">
        <v>45432</v>
      </c>
      <c r="AJ103" s="38"/>
      <c r="AK103" s="38">
        <v>45413</v>
      </c>
      <c r="AL103" s="38">
        <v>45463</v>
      </c>
      <c r="AM103" s="48"/>
      <c r="AN103" s="42"/>
      <c r="AO103" s="42" t="s">
        <v>1190</v>
      </c>
      <c r="AP103" s="42" t="s">
        <v>1191</v>
      </c>
      <c r="AQ103" s="42" t="s">
        <v>1192</v>
      </c>
      <c r="AR103" s="42" t="s">
        <v>1193</v>
      </c>
      <c r="AS103" s="50">
        <v>0</v>
      </c>
      <c r="AT103" s="39">
        <v>100</v>
      </c>
      <c r="AU103" s="39" t="s">
        <v>95</v>
      </c>
      <c r="AV103" s="53" t="s">
        <v>1194</v>
      </c>
      <c r="AW103" s="39" t="s">
        <v>62</v>
      </c>
      <c r="AX103" s="39">
        <v>10</v>
      </c>
      <c r="AY103" s="30">
        <v>96690321</v>
      </c>
      <c r="AZ103" s="42" t="s">
        <v>405</v>
      </c>
    </row>
    <row r="104" spans="1:52" ht="58.5" customHeight="1" x14ac:dyDescent="0.25">
      <c r="A104" s="46" t="s">
        <v>1195</v>
      </c>
      <c r="B104" s="48">
        <v>45287</v>
      </c>
      <c r="C104" s="42">
        <v>1416</v>
      </c>
      <c r="D104" s="37" t="s">
        <v>1196</v>
      </c>
      <c r="E104" s="41" t="s">
        <v>1197</v>
      </c>
      <c r="F104" s="38">
        <v>45320</v>
      </c>
      <c r="G104" s="39" t="s">
        <v>1198</v>
      </c>
      <c r="H104" s="59" t="s">
        <v>1199</v>
      </c>
      <c r="I104" s="42" t="s">
        <v>1200</v>
      </c>
      <c r="J104" s="56">
        <v>41849051.399999999</v>
      </c>
      <c r="K104" s="56">
        <v>41849051.399999999</v>
      </c>
      <c r="L104" s="56">
        <v>0</v>
      </c>
      <c r="M104" s="56">
        <v>0</v>
      </c>
      <c r="N104" s="44">
        <v>2.5000000358430996</v>
      </c>
      <c r="O104" s="45">
        <v>1046226.299999997</v>
      </c>
      <c r="P104" s="43">
        <v>40802825.100000001</v>
      </c>
      <c r="Q104" s="45">
        <v>8537716.1999999993</v>
      </c>
      <c r="R104" s="43">
        <v>33311335.199999999</v>
      </c>
      <c r="S104" s="30">
        <v>33311335.199999999</v>
      </c>
      <c r="T104" s="30">
        <v>33311335.199999999</v>
      </c>
      <c r="U104" s="30">
        <v>44.44</v>
      </c>
      <c r="V104" s="43">
        <v>44.44</v>
      </c>
      <c r="W104" s="43">
        <v>2666.3999999999996</v>
      </c>
      <c r="X104" s="43">
        <v>749580</v>
      </c>
      <c r="Y104" s="43">
        <v>216000</v>
      </c>
      <c r="Z104" s="43">
        <v>533580</v>
      </c>
      <c r="AA104" s="43">
        <v>0</v>
      </c>
      <c r="AB104" s="43">
        <v>72780</v>
      </c>
      <c r="AC104" s="43">
        <v>3234343.1999999997</v>
      </c>
      <c r="AD104" s="43">
        <v>676800</v>
      </c>
      <c r="AE104" s="43">
        <v>30076992</v>
      </c>
      <c r="AF104" s="43">
        <v>12493</v>
      </c>
      <c r="AG104" s="43">
        <v>12493</v>
      </c>
      <c r="AH104" s="38">
        <v>45352</v>
      </c>
      <c r="AI104" s="38">
        <v>45474</v>
      </c>
      <c r="AJ104" s="38"/>
      <c r="AK104" s="38">
        <v>45383</v>
      </c>
      <c r="AL104" s="38">
        <v>45505</v>
      </c>
      <c r="AM104" s="48"/>
      <c r="AN104" s="42"/>
      <c r="AO104" s="42" t="s">
        <v>1201</v>
      </c>
      <c r="AP104" s="42" t="s">
        <v>1202</v>
      </c>
      <c r="AQ104" s="42" t="s">
        <v>1203</v>
      </c>
      <c r="AR104" s="42" t="s">
        <v>82</v>
      </c>
      <c r="AS104" s="50">
        <v>100</v>
      </c>
      <c r="AT104" s="39">
        <v>0</v>
      </c>
      <c r="AU104" s="39" t="s">
        <v>389</v>
      </c>
      <c r="AV104" s="49">
        <v>60</v>
      </c>
      <c r="AW104" s="39" t="s">
        <v>62</v>
      </c>
      <c r="AX104" s="39">
        <v>10</v>
      </c>
      <c r="AY104" s="30">
        <v>4184905.14</v>
      </c>
      <c r="AZ104" s="42" t="s">
        <v>405</v>
      </c>
    </row>
    <row r="105" spans="1:52" ht="58.5" customHeight="1" x14ac:dyDescent="0.25">
      <c r="A105" s="46" t="s">
        <v>1204</v>
      </c>
      <c r="B105" s="48">
        <v>45287</v>
      </c>
      <c r="C105" s="42">
        <v>1416</v>
      </c>
      <c r="D105" s="37" t="s">
        <v>1205</v>
      </c>
      <c r="E105" s="41" t="s">
        <v>1206</v>
      </c>
      <c r="F105" s="38">
        <v>45317</v>
      </c>
      <c r="G105" s="39" t="s">
        <v>1207</v>
      </c>
      <c r="H105" s="42" t="s">
        <v>141</v>
      </c>
      <c r="I105" s="42" t="s">
        <v>1208</v>
      </c>
      <c r="J105" s="56">
        <v>1312363937.5</v>
      </c>
      <c r="K105" s="56">
        <v>1312363937.5</v>
      </c>
      <c r="L105" s="56">
        <v>0</v>
      </c>
      <c r="M105" s="56">
        <v>0</v>
      </c>
      <c r="N105" s="44">
        <v>0</v>
      </c>
      <c r="O105" s="45">
        <v>0</v>
      </c>
      <c r="P105" s="43">
        <v>1312363937.5</v>
      </c>
      <c r="Q105" s="45">
        <v>0</v>
      </c>
      <c r="R105" s="43">
        <v>1312363937.5</v>
      </c>
      <c r="S105" s="30">
        <v>1312363937.5</v>
      </c>
      <c r="T105" s="30">
        <v>1312363937.5</v>
      </c>
      <c r="U105" s="30">
        <v>23003.75</v>
      </c>
      <c r="V105" s="43">
        <v>23003.75</v>
      </c>
      <c r="W105" s="43">
        <v>23003.75</v>
      </c>
      <c r="X105" s="43">
        <v>57050</v>
      </c>
      <c r="Y105" s="43">
        <v>57050</v>
      </c>
      <c r="Z105" s="43">
        <v>0</v>
      </c>
      <c r="AA105" s="43">
        <v>0</v>
      </c>
      <c r="AB105" s="43">
        <v>310</v>
      </c>
      <c r="AC105" s="43">
        <v>7131162.5</v>
      </c>
      <c r="AD105" s="43">
        <v>56740</v>
      </c>
      <c r="AE105" s="43">
        <v>1305232775</v>
      </c>
      <c r="AF105" s="43">
        <v>57050</v>
      </c>
      <c r="AG105" s="43">
        <v>57050</v>
      </c>
      <c r="AH105" s="38">
        <v>45383</v>
      </c>
      <c r="AI105" s="38"/>
      <c r="AJ105" s="38"/>
      <c r="AK105" s="38">
        <v>45413</v>
      </c>
      <c r="AL105" s="38"/>
      <c r="AM105" s="48"/>
      <c r="AN105" s="42"/>
      <c r="AO105" s="42" t="s">
        <v>1209</v>
      </c>
      <c r="AP105" s="42" t="s">
        <v>1210</v>
      </c>
      <c r="AQ105" s="42" t="s">
        <v>1211</v>
      </c>
      <c r="AR105" s="42" t="s">
        <v>94</v>
      </c>
      <c r="AS105" s="50">
        <v>0</v>
      </c>
      <c r="AT105" s="39">
        <v>100</v>
      </c>
      <c r="AU105" s="39" t="s">
        <v>83</v>
      </c>
      <c r="AV105" s="49">
        <v>1</v>
      </c>
      <c r="AW105" s="39" t="s">
        <v>62</v>
      </c>
      <c r="AX105" s="39">
        <v>10</v>
      </c>
      <c r="AY105" s="30">
        <v>131236393.75</v>
      </c>
      <c r="AZ105" s="42" t="s">
        <v>405</v>
      </c>
    </row>
    <row r="106" spans="1:52" ht="58.5" customHeight="1" x14ac:dyDescent="0.25">
      <c r="A106" s="46" t="s">
        <v>1212</v>
      </c>
      <c r="B106" s="48">
        <v>45287</v>
      </c>
      <c r="C106" s="42">
        <v>1416</v>
      </c>
      <c r="D106" s="37" t="s">
        <v>1213</v>
      </c>
      <c r="E106" s="41" t="s">
        <v>1214</v>
      </c>
      <c r="F106" s="38">
        <v>45317</v>
      </c>
      <c r="G106" s="39" t="s">
        <v>1215</v>
      </c>
      <c r="H106" s="42" t="s">
        <v>1216</v>
      </c>
      <c r="I106" s="42" t="s">
        <v>1217</v>
      </c>
      <c r="J106" s="56">
        <v>29904355.5</v>
      </c>
      <c r="K106" s="56">
        <v>29904355.5</v>
      </c>
      <c r="L106" s="56">
        <v>0</v>
      </c>
      <c r="M106" s="56">
        <v>0</v>
      </c>
      <c r="N106" s="44">
        <v>0</v>
      </c>
      <c r="O106" s="45">
        <v>0</v>
      </c>
      <c r="P106" s="43">
        <v>29904355.5</v>
      </c>
      <c r="Q106" s="45">
        <v>0</v>
      </c>
      <c r="R106" s="43">
        <v>29904355.5</v>
      </c>
      <c r="S106" s="30">
        <v>29904355.5</v>
      </c>
      <c r="T106" s="30">
        <v>29904355.5</v>
      </c>
      <c r="U106" s="30">
        <v>15.69</v>
      </c>
      <c r="V106" s="43">
        <v>15.69</v>
      </c>
      <c r="W106" s="43" t="e">
        <v>#VALUE!</v>
      </c>
      <c r="X106" s="43">
        <v>1905950</v>
      </c>
      <c r="Y106" s="43">
        <v>1905950</v>
      </c>
      <c r="Z106" s="43">
        <v>0</v>
      </c>
      <c r="AA106" s="43">
        <v>0</v>
      </c>
      <c r="AB106" s="43">
        <v>950150</v>
      </c>
      <c r="AC106" s="43">
        <v>14907853.5</v>
      </c>
      <c r="AD106" s="43">
        <v>955800</v>
      </c>
      <c r="AE106" s="43">
        <v>14996502</v>
      </c>
      <c r="AF106" s="43" t="e">
        <v>#VALUE!</v>
      </c>
      <c r="AG106" s="43" t="e">
        <v>#VALUE!</v>
      </c>
      <c r="AH106" s="38">
        <v>45352</v>
      </c>
      <c r="AI106" s="38"/>
      <c r="AJ106" s="38"/>
      <c r="AK106" s="38">
        <v>45383</v>
      </c>
      <c r="AL106" s="38"/>
      <c r="AM106" s="48"/>
      <c r="AN106" s="42"/>
      <c r="AO106" s="42" t="s">
        <v>1218</v>
      </c>
      <c r="AP106" s="42" t="s">
        <v>1219</v>
      </c>
      <c r="AQ106" s="42" t="s">
        <v>1220</v>
      </c>
      <c r="AR106" s="42" t="s">
        <v>82</v>
      </c>
      <c r="AS106" s="50">
        <v>100</v>
      </c>
      <c r="AT106" s="39">
        <v>0</v>
      </c>
      <c r="AU106" s="39" t="s">
        <v>389</v>
      </c>
      <c r="AV106" s="53" t="s">
        <v>1221</v>
      </c>
      <c r="AW106" s="39" t="s">
        <v>62</v>
      </c>
      <c r="AX106" s="39">
        <v>10</v>
      </c>
      <c r="AY106" s="30">
        <v>2990435.55</v>
      </c>
      <c r="AZ106" s="42" t="s">
        <v>405</v>
      </c>
    </row>
    <row r="107" spans="1:52" ht="58.5" customHeight="1" x14ac:dyDescent="0.25">
      <c r="A107" s="46" t="s">
        <v>1227</v>
      </c>
      <c r="B107" s="48">
        <v>45287</v>
      </c>
      <c r="C107" s="42">
        <v>1416</v>
      </c>
      <c r="D107" s="37" t="s">
        <v>1228</v>
      </c>
      <c r="E107" s="41" t="s">
        <v>1229</v>
      </c>
      <c r="F107" s="38">
        <v>45320</v>
      </c>
      <c r="G107" s="39" t="s">
        <v>1230</v>
      </c>
      <c r="H107" s="42" t="s">
        <v>1231</v>
      </c>
      <c r="I107" s="42" t="s">
        <v>1232</v>
      </c>
      <c r="J107" s="56">
        <v>33513232.5</v>
      </c>
      <c r="K107" s="56">
        <v>33513232.5</v>
      </c>
      <c r="L107" s="56">
        <v>0</v>
      </c>
      <c r="M107" s="56">
        <v>0</v>
      </c>
      <c r="N107" s="44">
        <v>0</v>
      </c>
      <c r="O107" s="45">
        <v>0</v>
      </c>
      <c r="P107" s="43">
        <v>33513232.5</v>
      </c>
      <c r="Q107" s="45">
        <v>0</v>
      </c>
      <c r="R107" s="43">
        <v>33513232.5</v>
      </c>
      <c r="S107" s="30">
        <v>33513232.5</v>
      </c>
      <c r="T107" s="30">
        <v>33513232.5</v>
      </c>
      <c r="U107" s="30">
        <v>22.11</v>
      </c>
      <c r="V107" s="43">
        <v>22.11</v>
      </c>
      <c r="W107" s="43" t="e">
        <v>#VALUE!</v>
      </c>
      <c r="X107" s="43">
        <v>1515750</v>
      </c>
      <c r="Y107" s="43">
        <v>1515750</v>
      </c>
      <c r="Z107" s="43">
        <v>0</v>
      </c>
      <c r="AA107" s="43">
        <v>0</v>
      </c>
      <c r="AB107" s="43">
        <v>281500</v>
      </c>
      <c r="AC107" s="43">
        <v>6223965</v>
      </c>
      <c r="AD107" s="43">
        <v>1234250</v>
      </c>
      <c r="AE107" s="43">
        <v>27289267.5</v>
      </c>
      <c r="AF107" s="43" t="e">
        <v>#VALUE!</v>
      </c>
      <c r="AG107" s="43" t="e">
        <v>#VALUE!</v>
      </c>
      <c r="AH107" s="38">
        <v>45352</v>
      </c>
      <c r="AI107" s="38"/>
      <c r="AJ107" s="38"/>
      <c r="AK107" s="38">
        <v>45383</v>
      </c>
      <c r="AL107" s="38"/>
      <c r="AM107" s="48"/>
      <c r="AN107" s="42"/>
      <c r="AO107" s="42" t="s">
        <v>1233</v>
      </c>
      <c r="AP107" s="42" t="s">
        <v>1234</v>
      </c>
      <c r="AQ107" s="42" t="s">
        <v>1235</v>
      </c>
      <c r="AR107" s="42" t="s">
        <v>82</v>
      </c>
      <c r="AS107" s="50">
        <v>100</v>
      </c>
      <c r="AT107" s="39">
        <v>0</v>
      </c>
      <c r="AU107" s="39" t="s">
        <v>389</v>
      </c>
      <c r="AV107" s="53" t="s">
        <v>1221</v>
      </c>
      <c r="AW107" s="39" t="s">
        <v>62</v>
      </c>
      <c r="AX107" s="39">
        <v>10</v>
      </c>
      <c r="AY107" s="30">
        <v>3351323.25</v>
      </c>
      <c r="AZ107" s="42" t="s">
        <v>405</v>
      </c>
    </row>
    <row r="108" spans="1:52" ht="58.5" customHeight="1" x14ac:dyDescent="0.25">
      <c r="A108" s="46" t="s">
        <v>1236</v>
      </c>
      <c r="B108" s="48">
        <v>45287</v>
      </c>
      <c r="C108" s="42">
        <v>1416</v>
      </c>
      <c r="D108" s="37" t="s">
        <v>1237</v>
      </c>
      <c r="E108" s="41" t="s">
        <v>1238</v>
      </c>
      <c r="F108" s="38">
        <v>45317</v>
      </c>
      <c r="G108" s="39" t="s">
        <v>1239</v>
      </c>
      <c r="H108" s="42" t="s">
        <v>141</v>
      </c>
      <c r="I108" s="42" t="s">
        <v>1240</v>
      </c>
      <c r="J108" s="56">
        <v>7338720.4000000004</v>
      </c>
      <c r="K108" s="56">
        <v>7338720.4000000004</v>
      </c>
      <c r="L108" s="56">
        <v>0</v>
      </c>
      <c r="M108" s="56">
        <v>0</v>
      </c>
      <c r="N108" s="44">
        <v>0</v>
      </c>
      <c r="O108" s="45">
        <v>0</v>
      </c>
      <c r="P108" s="43">
        <v>7338720.4000000004</v>
      </c>
      <c r="Q108" s="45">
        <v>0</v>
      </c>
      <c r="R108" s="43">
        <v>7338720.4000000004</v>
      </c>
      <c r="S108" s="30">
        <v>7338720.4000000004</v>
      </c>
      <c r="T108" s="30">
        <v>7338720.4000000004</v>
      </c>
      <c r="U108" s="30">
        <v>14446.300000000001</v>
      </c>
      <c r="V108" s="43">
        <v>14446.300000000001</v>
      </c>
      <c r="W108" s="43">
        <v>14446.300000000001</v>
      </c>
      <c r="X108" s="43">
        <v>508</v>
      </c>
      <c r="Y108" s="43">
        <v>508</v>
      </c>
      <c r="Z108" s="43">
        <v>0</v>
      </c>
      <c r="AA108" s="43">
        <v>0</v>
      </c>
      <c r="AB108" s="43">
        <v>4</v>
      </c>
      <c r="AC108" s="43">
        <v>57785.200000000004</v>
      </c>
      <c r="AD108" s="43">
        <v>504</v>
      </c>
      <c r="AE108" s="43">
        <v>7280935.2000000002</v>
      </c>
      <c r="AF108" s="43">
        <v>508</v>
      </c>
      <c r="AG108" s="43">
        <v>508</v>
      </c>
      <c r="AH108" s="38">
        <v>45383</v>
      </c>
      <c r="AI108" s="38"/>
      <c r="AJ108" s="38"/>
      <c r="AK108" s="38">
        <v>45413</v>
      </c>
      <c r="AL108" s="38"/>
      <c r="AM108" s="48"/>
      <c r="AN108" s="42"/>
      <c r="AO108" s="42" t="s">
        <v>1209</v>
      </c>
      <c r="AP108" s="42" t="s">
        <v>1241</v>
      </c>
      <c r="AQ108" s="42" t="s">
        <v>1211</v>
      </c>
      <c r="AR108" s="42" t="s">
        <v>94</v>
      </c>
      <c r="AS108" s="50">
        <v>0</v>
      </c>
      <c r="AT108" s="39">
        <v>100</v>
      </c>
      <c r="AU108" s="39" t="s">
        <v>389</v>
      </c>
      <c r="AV108" s="49">
        <v>1</v>
      </c>
      <c r="AW108" s="39" t="s">
        <v>62</v>
      </c>
      <c r="AX108" s="39">
        <v>10</v>
      </c>
      <c r="AY108" s="30">
        <v>733872.04</v>
      </c>
      <c r="AZ108" s="42" t="s">
        <v>405</v>
      </c>
    </row>
    <row r="109" spans="1:52" ht="58.5" customHeight="1" x14ac:dyDescent="0.25">
      <c r="A109" s="46" t="s">
        <v>1242</v>
      </c>
      <c r="B109" s="48">
        <v>45287</v>
      </c>
      <c r="C109" s="42">
        <v>1416</v>
      </c>
      <c r="D109" s="37" t="s">
        <v>1243</v>
      </c>
      <c r="E109" s="41" t="s">
        <v>1244</v>
      </c>
      <c r="F109" s="38">
        <v>45320</v>
      </c>
      <c r="G109" s="39" t="s">
        <v>1245</v>
      </c>
      <c r="H109" s="42" t="s">
        <v>88</v>
      </c>
      <c r="I109" s="42" t="s">
        <v>1246</v>
      </c>
      <c r="J109" s="56">
        <v>28214993.25</v>
      </c>
      <c r="K109" s="56">
        <v>28214993.25</v>
      </c>
      <c r="L109" s="56">
        <v>0</v>
      </c>
      <c r="M109" s="56">
        <v>0</v>
      </c>
      <c r="N109" s="44">
        <v>0</v>
      </c>
      <c r="O109" s="45">
        <v>0</v>
      </c>
      <c r="P109" s="43">
        <v>28214993.25</v>
      </c>
      <c r="Q109" s="45">
        <v>0</v>
      </c>
      <c r="R109" s="43">
        <v>28214993.25</v>
      </c>
      <c r="S109" s="30">
        <v>28214993.25</v>
      </c>
      <c r="T109" s="30">
        <v>28214993.25</v>
      </c>
      <c r="U109" s="30">
        <v>69666.649999999994</v>
      </c>
      <c r="V109" s="43">
        <v>69666.649999999994</v>
      </c>
      <c r="W109" s="43">
        <v>208999.94999999998</v>
      </c>
      <c r="X109" s="43">
        <v>405</v>
      </c>
      <c r="Y109" s="43">
        <v>405</v>
      </c>
      <c r="Z109" s="43">
        <v>0</v>
      </c>
      <c r="AA109" s="43">
        <v>0</v>
      </c>
      <c r="AB109" s="43">
        <v>0</v>
      </c>
      <c r="AC109" s="43">
        <v>0</v>
      </c>
      <c r="AD109" s="43">
        <v>405</v>
      </c>
      <c r="AE109" s="43">
        <v>28214993.249999996</v>
      </c>
      <c r="AF109" s="43">
        <v>135</v>
      </c>
      <c r="AG109" s="43">
        <v>135</v>
      </c>
      <c r="AH109" s="38">
        <v>45352</v>
      </c>
      <c r="AI109" s="38"/>
      <c r="AJ109" s="38"/>
      <c r="AK109" s="38">
        <v>45383</v>
      </c>
      <c r="AL109" s="38"/>
      <c r="AM109" s="48"/>
      <c r="AN109" s="42"/>
      <c r="AO109" s="42" t="s">
        <v>1247</v>
      </c>
      <c r="AP109" s="42" t="s">
        <v>1248</v>
      </c>
      <c r="AQ109" s="42" t="s">
        <v>1249</v>
      </c>
      <c r="AR109" s="42" t="s">
        <v>94</v>
      </c>
      <c r="AS109" s="50">
        <v>0</v>
      </c>
      <c r="AT109" s="39">
        <v>100</v>
      </c>
      <c r="AU109" s="39" t="s">
        <v>389</v>
      </c>
      <c r="AV109" s="49">
        <v>3</v>
      </c>
      <c r="AW109" s="39" t="s">
        <v>62</v>
      </c>
      <c r="AX109" s="39">
        <v>10</v>
      </c>
      <c r="AY109" s="30">
        <v>2821499.3250000002</v>
      </c>
      <c r="AZ109" s="42" t="s">
        <v>405</v>
      </c>
    </row>
    <row r="110" spans="1:52" ht="58.5" customHeight="1" x14ac:dyDescent="0.25">
      <c r="A110" s="46" t="s">
        <v>1250</v>
      </c>
      <c r="B110" s="48">
        <v>45287</v>
      </c>
      <c r="C110" s="42">
        <v>1416</v>
      </c>
      <c r="D110" s="37" t="s">
        <v>434</v>
      </c>
      <c r="E110" s="41" t="s">
        <v>1251</v>
      </c>
      <c r="F110" s="38" t="s">
        <v>434</v>
      </c>
      <c r="G110" s="39" t="s">
        <v>434</v>
      </c>
      <c r="H110" s="42" t="s">
        <v>434</v>
      </c>
      <c r="I110" s="42" t="s">
        <v>1252</v>
      </c>
      <c r="J110" s="56">
        <v>5281557.5</v>
      </c>
      <c r="K110" s="56">
        <v>5281557.5</v>
      </c>
      <c r="L110" s="56"/>
      <c r="M110" s="56"/>
      <c r="N110" s="44">
        <v>100</v>
      </c>
      <c r="O110" s="45">
        <v>5281557.5</v>
      </c>
      <c r="P110" s="43"/>
      <c r="Q110" s="45">
        <v>5281557.5</v>
      </c>
      <c r="R110" s="43">
        <v>0</v>
      </c>
      <c r="S110" s="30">
        <v>0</v>
      </c>
      <c r="T110" s="30">
        <v>0</v>
      </c>
      <c r="U110" s="30" t="e">
        <v>#DIV/0!</v>
      </c>
      <c r="V110" s="43" t="e">
        <v>#DIV/0!</v>
      </c>
      <c r="W110" s="43" t="e">
        <v>#DIV/0!</v>
      </c>
      <c r="X110" s="43">
        <v>0</v>
      </c>
      <c r="Y110" s="43">
        <v>0</v>
      </c>
      <c r="Z110" s="43">
        <v>0</v>
      </c>
      <c r="AA110" s="43">
        <v>0</v>
      </c>
      <c r="AB110" s="43"/>
      <c r="AC110" s="43" t="e">
        <v>#DIV/0!</v>
      </c>
      <c r="AD110" s="43"/>
      <c r="AE110" s="43" t="e">
        <v>#DIV/0!</v>
      </c>
      <c r="AF110" s="43" t="e">
        <v>#DIV/0!</v>
      </c>
      <c r="AG110" s="43" t="e">
        <v>#DIV/0!</v>
      </c>
      <c r="AH110" s="38">
        <v>45352</v>
      </c>
      <c r="AI110" s="38"/>
      <c r="AJ110" s="38"/>
      <c r="AK110" s="38"/>
      <c r="AL110" s="38"/>
      <c r="AM110" s="48"/>
      <c r="AN110" s="42"/>
      <c r="AO110" s="42"/>
      <c r="AP110" s="42"/>
      <c r="AQ110" s="42"/>
      <c r="AR110" s="42"/>
      <c r="AS110" s="50"/>
      <c r="AT110" s="39"/>
      <c r="AU110" s="39"/>
      <c r="AV110" s="49"/>
      <c r="AW110" s="39"/>
      <c r="AX110" s="39">
        <v>10</v>
      </c>
      <c r="AY110" s="30">
        <v>528155.75</v>
      </c>
      <c r="AZ110" s="42" t="s">
        <v>434</v>
      </c>
    </row>
    <row r="111" spans="1:52" ht="58.5" customHeight="1" x14ac:dyDescent="0.25">
      <c r="A111" s="46" t="s">
        <v>1290</v>
      </c>
      <c r="B111" s="48">
        <v>45287</v>
      </c>
      <c r="C111" s="42">
        <v>1416</v>
      </c>
      <c r="D111" s="37" t="s">
        <v>1291</v>
      </c>
      <c r="E111" s="41" t="s">
        <v>1292</v>
      </c>
      <c r="F111" s="38">
        <v>45322</v>
      </c>
      <c r="G111" s="39" t="s">
        <v>1293</v>
      </c>
      <c r="H111" s="42" t="s">
        <v>141</v>
      </c>
      <c r="I111" s="42" t="s">
        <v>884</v>
      </c>
      <c r="J111" s="56">
        <v>51629211.270000003</v>
      </c>
      <c r="K111" s="56">
        <v>51629211.270000003</v>
      </c>
      <c r="L111" s="56">
        <v>0</v>
      </c>
      <c r="M111" s="56">
        <v>0</v>
      </c>
      <c r="N111" s="44">
        <v>0</v>
      </c>
      <c r="O111" s="45">
        <v>0</v>
      </c>
      <c r="P111" s="43">
        <v>51629211.270000003</v>
      </c>
      <c r="Q111" s="45">
        <v>0</v>
      </c>
      <c r="R111" s="56">
        <v>51629211.270000003</v>
      </c>
      <c r="S111" s="30">
        <v>51628919.939999998</v>
      </c>
      <c r="T111" s="30">
        <v>51628919.939999998</v>
      </c>
      <c r="U111" s="30">
        <v>8860.9</v>
      </c>
      <c r="V111" s="43">
        <v>8860.9</v>
      </c>
      <c r="W111" s="43">
        <v>103672.52999999998</v>
      </c>
      <c r="X111" s="43">
        <v>5826.6</v>
      </c>
      <c r="Y111" s="43">
        <v>5826.6</v>
      </c>
      <c r="Z111" s="43">
        <v>0</v>
      </c>
      <c r="AA111" s="43">
        <v>0</v>
      </c>
      <c r="AB111" s="43">
        <v>0</v>
      </c>
      <c r="AC111" s="43">
        <v>0</v>
      </c>
      <c r="AD111" s="43">
        <v>5826.6</v>
      </c>
      <c r="AE111" s="43">
        <v>51628919.939999998</v>
      </c>
      <c r="AF111" s="43">
        <v>498.00000000000006</v>
      </c>
      <c r="AG111" s="43">
        <v>498</v>
      </c>
      <c r="AH111" s="38">
        <v>45412</v>
      </c>
      <c r="AI111" s="38"/>
      <c r="AJ111" s="38"/>
      <c r="AK111" s="38">
        <v>45444</v>
      </c>
      <c r="AL111" s="38"/>
      <c r="AM111" s="48"/>
      <c r="AN111" s="42"/>
      <c r="AO111" s="42" t="s">
        <v>1294</v>
      </c>
      <c r="AP111" s="42" t="s">
        <v>1295</v>
      </c>
      <c r="AQ111" s="42" t="s">
        <v>1296</v>
      </c>
      <c r="AR111" s="42" t="s">
        <v>295</v>
      </c>
      <c r="AS111" s="50">
        <v>0</v>
      </c>
      <c r="AT111" s="39">
        <v>100</v>
      </c>
      <c r="AU111" s="39" t="s">
        <v>83</v>
      </c>
      <c r="AV111" s="54">
        <v>11.7</v>
      </c>
      <c r="AW111" s="39" t="s">
        <v>62</v>
      </c>
      <c r="AX111" s="39">
        <v>10</v>
      </c>
      <c r="AY111" s="30">
        <v>5162921.1270000003</v>
      </c>
      <c r="AZ111" s="42" t="s">
        <v>405</v>
      </c>
    </row>
    <row r="112" spans="1:52" ht="58.5" customHeight="1" x14ac:dyDescent="0.25">
      <c r="A112" s="46" t="s">
        <v>1297</v>
      </c>
      <c r="B112" s="48">
        <v>45287</v>
      </c>
      <c r="C112" s="42">
        <v>1416</v>
      </c>
      <c r="D112" s="37" t="s">
        <v>1298</v>
      </c>
      <c r="E112" s="41" t="s">
        <v>1299</v>
      </c>
      <c r="F112" s="38">
        <v>45320</v>
      </c>
      <c r="G112" s="39" t="s">
        <v>1300</v>
      </c>
      <c r="H112" s="42" t="s">
        <v>88</v>
      </c>
      <c r="I112" s="42" t="s">
        <v>1301</v>
      </c>
      <c r="J112" s="56">
        <v>785003812.20000005</v>
      </c>
      <c r="K112" s="56">
        <v>785003812.20000005</v>
      </c>
      <c r="L112" s="56">
        <v>0</v>
      </c>
      <c r="M112" s="56">
        <v>0</v>
      </c>
      <c r="N112" s="44">
        <v>0</v>
      </c>
      <c r="O112" s="45">
        <v>0</v>
      </c>
      <c r="P112" s="43">
        <v>785003812.20000005</v>
      </c>
      <c r="Q112" s="45">
        <v>0</v>
      </c>
      <c r="R112" s="43">
        <v>785003812.20000005</v>
      </c>
      <c r="S112" s="30">
        <v>785003812.20000005</v>
      </c>
      <c r="T112" s="30">
        <v>785003812.20000005</v>
      </c>
      <c r="U112" s="30">
        <v>69666.650000000009</v>
      </c>
      <c r="V112" s="43">
        <v>69666.650000000009</v>
      </c>
      <c r="W112" s="43">
        <v>208999.95</v>
      </c>
      <c r="X112" s="43">
        <v>11268</v>
      </c>
      <c r="Y112" s="43">
        <v>11268</v>
      </c>
      <c r="Z112" s="43">
        <v>0</v>
      </c>
      <c r="AA112" s="43">
        <v>0</v>
      </c>
      <c r="AB112" s="43">
        <v>0</v>
      </c>
      <c r="AC112" s="43">
        <v>0</v>
      </c>
      <c r="AD112" s="43">
        <v>11268</v>
      </c>
      <c r="AE112" s="43">
        <v>785003812.20000005</v>
      </c>
      <c r="AF112" s="43">
        <v>3756</v>
      </c>
      <c r="AG112" s="43">
        <v>3756</v>
      </c>
      <c r="AH112" s="38">
        <v>45352</v>
      </c>
      <c r="AI112" s="38"/>
      <c r="AJ112" s="38"/>
      <c r="AK112" s="38">
        <v>45383</v>
      </c>
      <c r="AL112" s="38"/>
      <c r="AM112" s="48"/>
      <c r="AN112" s="42"/>
      <c r="AO112" s="42" t="s">
        <v>1247</v>
      </c>
      <c r="AP112" s="42" t="s">
        <v>1302</v>
      </c>
      <c r="AQ112" s="42" t="s">
        <v>1303</v>
      </c>
      <c r="AR112" s="42" t="s">
        <v>82</v>
      </c>
      <c r="AS112" s="50">
        <v>100</v>
      </c>
      <c r="AT112" s="39">
        <v>0</v>
      </c>
      <c r="AU112" s="39" t="s">
        <v>389</v>
      </c>
      <c r="AV112" s="49">
        <v>3</v>
      </c>
      <c r="AW112" s="39" t="s">
        <v>62</v>
      </c>
      <c r="AX112" s="39">
        <v>10</v>
      </c>
      <c r="AY112" s="30">
        <v>78500381.219999999</v>
      </c>
      <c r="AZ112" s="42" t="s">
        <v>405</v>
      </c>
    </row>
    <row r="113" spans="1:52" ht="58.5" customHeight="1" x14ac:dyDescent="0.25">
      <c r="A113" s="46" t="s">
        <v>1341</v>
      </c>
      <c r="B113" s="48">
        <v>45288</v>
      </c>
      <c r="C113" s="42">
        <v>1416</v>
      </c>
      <c r="D113" s="37" t="s">
        <v>1342</v>
      </c>
      <c r="E113" s="41" t="s">
        <v>1343</v>
      </c>
      <c r="F113" s="38">
        <v>45320</v>
      </c>
      <c r="G113" s="39" t="s">
        <v>1344</v>
      </c>
      <c r="H113" s="42" t="s">
        <v>226</v>
      </c>
      <c r="I113" s="42" t="s">
        <v>1345</v>
      </c>
      <c r="J113" s="56">
        <v>86594317.5</v>
      </c>
      <c r="K113" s="56">
        <v>86594317.5</v>
      </c>
      <c r="L113" s="56">
        <v>0</v>
      </c>
      <c r="M113" s="56">
        <v>0</v>
      </c>
      <c r="N113" s="44">
        <v>0.50385604113110882</v>
      </c>
      <c r="O113" s="45">
        <v>436310.70000000298</v>
      </c>
      <c r="P113" s="43">
        <v>86158006.799999997</v>
      </c>
      <c r="Q113" s="45">
        <v>436310.70000000298</v>
      </c>
      <c r="R113" s="43">
        <v>86158006.799999997</v>
      </c>
      <c r="S113" s="30">
        <v>86158006.799999997</v>
      </c>
      <c r="T113" s="30">
        <v>86158006.799999997</v>
      </c>
      <c r="U113" s="30">
        <v>96.759999999999991</v>
      </c>
      <c r="V113" s="43">
        <v>96.759999999999991</v>
      </c>
      <c r="W113" s="43">
        <v>2902.7999999999997</v>
      </c>
      <c r="X113" s="43">
        <v>890430</v>
      </c>
      <c r="Y113" s="43">
        <v>890430</v>
      </c>
      <c r="Z113" s="43">
        <v>0</v>
      </c>
      <c r="AA113" s="43">
        <v>0</v>
      </c>
      <c r="AB113" s="43">
        <v>7260</v>
      </c>
      <c r="AC113" s="43">
        <v>702477.6</v>
      </c>
      <c r="AD113" s="43">
        <v>883170</v>
      </c>
      <c r="AE113" s="43">
        <v>85455529.199999988</v>
      </c>
      <c r="AF113" s="43">
        <v>29681</v>
      </c>
      <c r="AG113" s="43">
        <v>29681</v>
      </c>
      <c r="AH113" s="38">
        <v>45366</v>
      </c>
      <c r="AI113" s="38"/>
      <c r="AJ113" s="38"/>
      <c r="AK113" s="38">
        <v>45397</v>
      </c>
      <c r="AL113" s="38"/>
      <c r="AM113" s="48"/>
      <c r="AN113" s="42"/>
      <c r="AO113" s="42" t="s">
        <v>1346</v>
      </c>
      <c r="AP113" s="42" t="s">
        <v>1347</v>
      </c>
      <c r="AQ113" s="42" t="s">
        <v>1348</v>
      </c>
      <c r="AR113" s="42" t="s">
        <v>82</v>
      </c>
      <c r="AS113" s="50">
        <v>100</v>
      </c>
      <c r="AT113" s="39">
        <v>0</v>
      </c>
      <c r="AU113" s="39" t="s">
        <v>389</v>
      </c>
      <c r="AV113" s="49">
        <v>30</v>
      </c>
      <c r="AW113" s="39" t="s">
        <v>62</v>
      </c>
      <c r="AX113" s="39">
        <v>10</v>
      </c>
      <c r="AY113" s="30">
        <v>8659431.75</v>
      </c>
      <c r="AZ113" s="42" t="s">
        <v>405</v>
      </c>
    </row>
    <row r="114" spans="1:52" ht="58.5" customHeight="1" x14ac:dyDescent="0.25">
      <c r="A114" s="46" t="s">
        <v>1349</v>
      </c>
      <c r="B114" s="48">
        <v>45288</v>
      </c>
      <c r="C114" s="42">
        <v>1416</v>
      </c>
      <c r="D114" s="37" t="s">
        <v>1350</v>
      </c>
      <c r="E114" s="41" t="s">
        <v>1351</v>
      </c>
      <c r="F114" s="38">
        <v>45320</v>
      </c>
      <c r="G114" s="39" t="s">
        <v>1352</v>
      </c>
      <c r="H114" s="42" t="s">
        <v>226</v>
      </c>
      <c r="I114" s="42" t="s">
        <v>1353</v>
      </c>
      <c r="J114" s="56">
        <v>240339922.80000001</v>
      </c>
      <c r="K114" s="56">
        <v>240339922.80000001</v>
      </c>
      <c r="L114" s="56">
        <v>0</v>
      </c>
      <c r="M114" s="56">
        <v>0</v>
      </c>
      <c r="N114" s="44">
        <v>0</v>
      </c>
      <c r="O114" s="45">
        <v>0</v>
      </c>
      <c r="P114" s="43">
        <v>240339922.80000001</v>
      </c>
      <c r="Q114" s="45">
        <v>0</v>
      </c>
      <c r="R114" s="43">
        <v>240339922.80000001</v>
      </c>
      <c r="S114" s="30">
        <v>240339922.80000001</v>
      </c>
      <c r="T114" s="30">
        <v>240339922.80000001</v>
      </c>
      <c r="U114" s="30">
        <v>60.78</v>
      </c>
      <c r="V114" s="43">
        <v>60.78</v>
      </c>
      <c r="W114" s="43">
        <v>7293.6</v>
      </c>
      <c r="X114" s="43">
        <v>3954260</v>
      </c>
      <c r="Y114" s="43">
        <v>3954260</v>
      </c>
      <c r="Z114" s="43">
        <v>0</v>
      </c>
      <c r="AA114" s="43">
        <v>0</v>
      </c>
      <c r="AB114" s="43">
        <v>147570</v>
      </c>
      <c r="AC114" s="43">
        <v>8969304.5999999996</v>
      </c>
      <c r="AD114" s="43">
        <v>3806690</v>
      </c>
      <c r="AE114" s="43">
        <v>231370618.20000002</v>
      </c>
      <c r="AF114" s="43">
        <v>32952.166666666664</v>
      </c>
      <c r="AG114" s="43">
        <v>32953</v>
      </c>
      <c r="AH114" s="38">
        <v>45352</v>
      </c>
      <c r="AI114" s="38"/>
      <c r="AJ114" s="38"/>
      <c r="AK114" s="38">
        <v>45383</v>
      </c>
      <c r="AL114" s="38"/>
      <c r="AM114" s="48"/>
      <c r="AN114" s="42"/>
      <c r="AO114" s="42" t="s">
        <v>1354</v>
      </c>
      <c r="AP114" s="42" t="s">
        <v>1355</v>
      </c>
      <c r="AQ114" s="42" t="s">
        <v>1356</v>
      </c>
      <c r="AR114" s="42" t="s">
        <v>82</v>
      </c>
      <c r="AS114" s="50">
        <v>100</v>
      </c>
      <c r="AT114" s="39">
        <v>0</v>
      </c>
      <c r="AU114" s="39" t="s">
        <v>389</v>
      </c>
      <c r="AV114" s="49">
        <v>120</v>
      </c>
      <c r="AW114" s="39" t="s">
        <v>62</v>
      </c>
      <c r="AX114" s="39">
        <v>10</v>
      </c>
      <c r="AY114" s="30">
        <v>24033992.280000001</v>
      </c>
      <c r="AZ114" s="42" t="s">
        <v>405</v>
      </c>
    </row>
    <row r="115" spans="1:52" ht="58.5" customHeight="1" x14ac:dyDescent="0.25">
      <c r="A115" s="46" t="s">
        <v>1357</v>
      </c>
      <c r="B115" s="48">
        <v>45288</v>
      </c>
      <c r="C115" s="42">
        <v>1416</v>
      </c>
      <c r="D115" s="37" t="s">
        <v>434</v>
      </c>
      <c r="E115" s="41" t="s">
        <v>1358</v>
      </c>
      <c r="F115" s="38" t="s">
        <v>434</v>
      </c>
      <c r="G115" s="39" t="s">
        <v>434</v>
      </c>
      <c r="H115" s="42" t="s">
        <v>434</v>
      </c>
      <c r="I115" s="42" t="s">
        <v>1359</v>
      </c>
      <c r="J115" s="56">
        <v>148558611.59999999</v>
      </c>
      <c r="K115" s="56">
        <v>148558611.59999999</v>
      </c>
      <c r="L115" s="56">
        <v>0</v>
      </c>
      <c r="M115" s="56">
        <v>0</v>
      </c>
      <c r="N115" s="44">
        <v>100</v>
      </c>
      <c r="O115" s="45">
        <v>148558611.59999999</v>
      </c>
      <c r="P115" s="43"/>
      <c r="Q115" s="45">
        <v>148558611.59999999</v>
      </c>
      <c r="R115" s="43">
        <v>0</v>
      </c>
      <c r="S115" s="30">
        <v>0</v>
      </c>
      <c r="T115" s="30">
        <v>0</v>
      </c>
      <c r="U115" s="30" t="e">
        <v>#DIV/0!</v>
      </c>
      <c r="V115" s="43" t="e">
        <v>#DIV/0!</v>
      </c>
      <c r="W115" s="43" t="e">
        <v>#DIV/0!</v>
      </c>
      <c r="X115" s="43">
        <v>0</v>
      </c>
      <c r="Y115" s="43">
        <v>0</v>
      </c>
      <c r="Z115" s="43">
        <v>0</v>
      </c>
      <c r="AA115" s="43">
        <v>0</v>
      </c>
      <c r="AB115" s="43"/>
      <c r="AC115" s="43" t="e">
        <v>#DIV/0!</v>
      </c>
      <c r="AD115" s="43"/>
      <c r="AE115" s="43" t="e">
        <v>#DIV/0!</v>
      </c>
      <c r="AF115" s="43" t="e">
        <v>#DIV/0!</v>
      </c>
      <c r="AG115" s="43" t="e">
        <v>#DIV/0!</v>
      </c>
      <c r="AH115" s="38">
        <v>45381</v>
      </c>
      <c r="AI115" s="38"/>
      <c r="AJ115" s="38"/>
      <c r="AK115" s="38"/>
      <c r="AL115" s="38"/>
      <c r="AM115" s="48"/>
      <c r="AN115" s="42"/>
      <c r="AO115" s="42"/>
      <c r="AP115" s="42"/>
      <c r="AQ115" s="42"/>
      <c r="AR115" s="42"/>
      <c r="AS115" s="50"/>
      <c r="AT115" s="39"/>
      <c r="AU115" s="39"/>
      <c r="AV115" s="49"/>
      <c r="AW115" s="39"/>
      <c r="AX115" s="39">
        <v>10</v>
      </c>
      <c r="AY115" s="30">
        <v>14855861.16</v>
      </c>
      <c r="AZ115" s="42" t="s">
        <v>434</v>
      </c>
    </row>
    <row r="116" spans="1:52" ht="58.5" customHeight="1" x14ac:dyDescent="0.25">
      <c r="A116" s="46" t="s">
        <v>1360</v>
      </c>
      <c r="B116" s="48">
        <v>45288</v>
      </c>
      <c r="C116" s="42">
        <v>1416</v>
      </c>
      <c r="D116" s="37" t="s">
        <v>1361</v>
      </c>
      <c r="E116" s="41" t="s">
        <v>1362</v>
      </c>
      <c r="F116" s="38">
        <v>45320</v>
      </c>
      <c r="G116" s="39" t="s">
        <v>1363</v>
      </c>
      <c r="H116" s="42" t="s">
        <v>226</v>
      </c>
      <c r="I116" s="42" t="s">
        <v>1364</v>
      </c>
      <c r="J116" s="56">
        <v>32108724.600000001</v>
      </c>
      <c r="K116" s="56">
        <v>32108724.600000001</v>
      </c>
      <c r="L116" s="56">
        <v>0</v>
      </c>
      <c r="M116" s="56">
        <v>0</v>
      </c>
      <c r="N116" s="44">
        <v>0</v>
      </c>
      <c r="O116" s="45">
        <v>0</v>
      </c>
      <c r="P116" s="43">
        <v>32108724.600000001</v>
      </c>
      <c r="Q116" s="45">
        <v>0</v>
      </c>
      <c r="R116" s="43">
        <v>32108724.600000001</v>
      </c>
      <c r="S116" s="30">
        <v>32108724.600000001</v>
      </c>
      <c r="T116" s="30">
        <v>32108724.600000001</v>
      </c>
      <c r="U116" s="30">
        <v>24.27</v>
      </c>
      <c r="V116" s="43">
        <v>24.27</v>
      </c>
      <c r="W116" s="43" t="e">
        <v>#VALUE!</v>
      </c>
      <c r="X116" s="43">
        <v>1322980</v>
      </c>
      <c r="Y116" s="43">
        <v>1322980</v>
      </c>
      <c r="Z116" s="43">
        <v>0</v>
      </c>
      <c r="AA116" s="43">
        <v>0</v>
      </c>
      <c r="AB116" s="43">
        <v>273450</v>
      </c>
      <c r="AC116" s="43">
        <v>6636631.5</v>
      </c>
      <c r="AD116" s="43">
        <v>1049530</v>
      </c>
      <c r="AE116" s="43">
        <v>25472093.099999998</v>
      </c>
      <c r="AF116" s="43" t="e">
        <v>#VALUE!</v>
      </c>
      <c r="AG116" s="43" t="e">
        <v>#VALUE!</v>
      </c>
      <c r="AH116" s="38">
        <v>45352</v>
      </c>
      <c r="AI116" s="38"/>
      <c r="AJ116" s="38"/>
      <c r="AK116" s="38">
        <v>45383</v>
      </c>
      <c r="AL116" s="38"/>
      <c r="AM116" s="48"/>
      <c r="AN116" s="42"/>
      <c r="AO116" s="42" t="s">
        <v>1354</v>
      </c>
      <c r="AP116" s="42" t="s">
        <v>1365</v>
      </c>
      <c r="AQ116" s="42" t="s">
        <v>1366</v>
      </c>
      <c r="AR116" s="42" t="s">
        <v>82</v>
      </c>
      <c r="AS116" s="50">
        <v>100</v>
      </c>
      <c r="AT116" s="39">
        <v>0</v>
      </c>
      <c r="AU116" s="39" t="s">
        <v>389</v>
      </c>
      <c r="AV116" s="53" t="s">
        <v>1367</v>
      </c>
      <c r="AW116" s="39" t="s">
        <v>62</v>
      </c>
      <c r="AX116" s="39">
        <v>10</v>
      </c>
      <c r="AY116" s="30">
        <v>3210872.46</v>
      </c>
      <c r="AZ116" s="42" t="s">
        <v>405</v>
      </c>
    </row>
    <row r="117" spans="1:52" ht="58.5" customHeight="1" x14ac:dyDescent="0.25">
      <c r="A117" s="46" t="s">
        <v>1384</v>
      </c>
      <c r="B117" s="48">
        <v>45288</v>
      </c>
      <c r="C117" s="42">
        <v>1416</v>
      </c>
      <c r="D117" s="37" t="s">
        <v>1385</v>
      </c>
      <c r="E117" s="41" t="s">
        <v>1386</v>
      </c>
      <c r="F117" s="38">
        <v>45320</v>
      </c>
      <c r="G117" s="39" t="s">
        <v>1387</v>
      </c>
      <c r="H117" s="42" t="s">
        <v>226</v>
      </c>
      <c r="I117" s="42" t="s">
        <v>1388</v>
      </c>
      <c r="J117" s="56">
        <v>37288365</v>
      </c>
      <c r="K117" s="56">
        <v>37288365</v>
      </c>
      <c r="L117" s="56">
        <v>0</v>
      </c>
      <c r="M117" s="56">
        <v>0</v>
      </c>
      <c r="N117" s="44">
        <v>0.53859964093357271</v>
      </c>
      <c r="O117" s="45">
        <v>200835</v>
      </c>
      <c r="P117" s="43">
        <v>37087530</v>
      </c>
      <c r="Q117" s="45">
        <v>200835</v>
      </c>
      <c r="R117" s="43">
        <v>37087530</v>
      </c>
      <c r="S117" s="30">
        <v>37087530</v>
      </c>
      <c r="T117" s="30">
        <v>37087530</v>
      </c>
      <c r="U117" s="30">
        <v>11.08</v>
      </c>
      <c r="V117" s="43">
        <v>11.08</v>
      </c>
      <c r="W117" s="43">
        <v>332.4</v>
      </c>
      <c r="X117" s="43">
        <v>3347250</v>
      </c>
      <c r="Y117" s="43">
        <v>721170</v>
      </c>
      <c r="Z117" s="43">
        <v>2626080</v>
      </c>
      <c r="AA117" s="43">
        <v>0</v>
      </c>
      <c r="AB117" s="43">
        <v>47070</v>
      </c>
      <c r="AC117" s="43">
        <v>521535.6</v>
      </c>
      <c r="AD117" s="43">
        <v>3300180</v>
      </c>
      <c r="AE117" s="43">
        <v>36565994.399999999</v>
      </c>
      <c r="AF117" s="43">
        <v>111575</v>
      </c>
      <c r="AG117" s="43">
        <v>111575</v>
      </c>
      <c r="AH117" s="38">
        <v>45323</v>
      </c>
      <c r="AI117" s="38">
        <v>45383</v>
      </c>
      <c r="AJ117" s="38"/>
      <c r="AK117" s="38">
        <v>45352</v>
      </c>
      <c r="AL117" s="38">
        <v>45413</v>
      </c>
      <c r="AM117" s="48"/>
      <c r="AN117" s="42"/>
      <c r="AO117" s="42" t="s">
        <v>1389</v>
      </c>
      <c r="AP117" s="42" t="s">
        <v>1390</v>
      </c>
      <c r="AQ117" s="42" t="s">
        <v>1348</v>
      </c>
      <c r="AR117" s="42" t="s">
        <v>82</v>
      </c>
      <c r="AS117" s="50">
        <v>100</v>
      </c>
      <c r="AT117" s="39">
        <v>0</v>
      </c>
      <c r="AU117" s="39" t="s">
        <v>389</v>
      </c>
      <c r="AV117" s="49">
        <v>30</v>
      </c>
      <c r="AW117" s="39" t="s">
        <v>62</v>
      </c>
      <c r="AX117" s="39">
        <v>10</v>
      </c>
      <c r="AY117" s="30">
        <v>3728836.5</v>
      </c>
      <c r="AZ117" s="42" t="s">
        <v>405</v>
      </c>
    </row>
    <row r="118" spans="1:52" ht="58.5" customHeight="1" x14ac:dyDescent="0.25">
      <c r="A118" s="46" t="s">
        <v>1391</v>
      </c>
      <c r="B118" s="48">
        <v>45288</v>
      </c>
      <c r="C118" s="42">
        <v>1416</v>
      </c>
      <c r="D118" s="37" t="s">
        <v>1392</v>
      </c>
      <c r="E118" s="41" t="s">
        <v>1393</v>
      </c>
      <c r="F118" s="38">
        <v>45324</v>
      </c>
      <c r="G118" s="39" t="s">
        <v>1394</v>
      </c>
      <c r="H118" s="42" t="s">
        <v>226</v>
      </c>
      <c r="I118" s="42" t="s">
        <v>1395</v>
      </c>
      <c r="J118" s="56">
        <v>749995.2</v>
      </c>
      <c r="K118" s="56">
        <v>749995.2</v>
      </c>
      <c r="L118" s="56">
        <v>0</v>
      </c>
      <c r="M118" s="56">
        <v>0</v>
      </c>
      <c r="N118" s="44">
        <v>0.50004320027647253</v>
      </c>
      <c r="O118" s="45">
        <v>3750.2999999999302</v>
      </c>
      <c r="P118" s="43">
        <v>746244.9</v>
      </c>
      <c r="Q118" s="45">
        <v>3750.2999999999302</v>
      </c>
      <c r="R118" s="43">
        <v>746244.9</v>
      </c>
      <c r="S118" s="30">
        <v>746244.9</v>
      </c>
      <c r="T118" s="30">
        <v>746244.9</v>
      </c>
      <c r="U118" s="30">
        <v>921.29000000000008</v>
      </c>
      <c r="V118" s="43">
        <v>921.29000000000008</v>
      </c>
      <c r="W118" s="43">
        <v>46064.500000000007</v>
      </c>
      <c r="X118" s="43">
        <v>810</v>
      </c>
      <c r="Y118" s="43">
        <v>810</v>
      </c>
      <c r="Z118" s="43">
        <v>0</v>
      </c>
      <c r="AA118" s="43">
        <v>0</v>
      </c>
      <c r="AB118" s="43">
        <v>0</v>
      </c>
      <c r="AC118" s="43">
        <v>0</v>
      </c>
      <c r="AD118" s="43">
        <v>810</v>
      </c>
      <c r="AE118" s="43">
        <v>746244.9</v>
      </c>
      <c r="AF118" s="43">
        <v>16.2</v>
      </c>
      <c r="AG118" s="43">
        <v>17</v>
      </c>
      <c r="AH118" s="38">
        <v>45352</v>
      </c>
      <c r="AI118" s="38"/>
      <c r="AJ118" s="38"/>
      <c r="AK118" s="38">
        <v>45383</v>
      </c>
      <c r="AL118" s="38"/>
      <c r="AM118" s="48"/>
      <c r="AN118" s="42"/>
      <c r="AO118" s="42" t="s">
        <v>1396</v>
      </c>
      <c r="AP118" s="42" t="s">
        <v>1397</v>
      </c>
      <c r="AQ118" s="42" t="s">
        <v>1398</v>
      </c>
      <c r="AR118" s="42" t="s">
        <v>82</v>
      </c>
      <c r="AS118" s="50">
        <v>100</v>
      </c>
      <c r="AT118" s="39">
        <v>0</v>
      </c>
      <c r="AU118" s="39" t="s">
        <v>83</v>
      </c>
      <c r="AV118" s="49">
        <v>50</v>
      </c>
      <c r="AW118" s="39" t="s">
        <v>221</v>
      </c>
      <c r="AX118" s="39">
        <v>10</v>
      </c>
      <c r="AY118" s="30">
        <v>74999.520000000004</v>
      </c>
      <c r="AZ118" s="42" t="s">
        <v>405</v>
      </c>
    </row>
    <row r="119" spans="1:52" ht="58.5" customHeight="1" x14ac:dyDescent="0.25">
      <c r="A119" s="46" t="s">
        <v>1399</v>
      </c>
      <c r="B119" s="48">
        <v>45289</v>
      </c>
      <c r="C119" s="42">
        <v>1416</v>
      </c>
      <c r="D119" s="37" t="s">
        <v>1400</v>
      </c>
      <c r="E119" s="41" t="s">
        <v>1401</v>
      </c>
      <c r="F119" s="38">
        <v>45327</v>
      </c>
      <c r="G119" s="39" t="s">
        <v>1402</v>
      </c>
      <c r="H119" s="42" t="s">
        <v>309</v>
      </c>
      <c r="I119" s="42" t="s">
        <v>1403</v>
      </c>
      <c r="J119" s="56">
        <v>695313219.03999996</v>
      </c>
      <c r="K119" s="56">
        <v>695313219.03999996</v>
      </c>
      <c r="L119" s="56">
        <v>0</v>
      </c>
      <c r="M119" s="56">
        <v>0</v>
      </c>
      <c r="N119" s="44">
        <v>0</v>
      </c>
      <c r="O119" s="45">
        <v>0</v>
      </c>
      <c r="P119" s="43">
        <v>695313219.03999996</v>
      </c>
      <c r="Q119" s="45">
        <v>0</v>
      </c>
      <c r="R119" s="43">
        <v>695313219.03999996</v>
      </c>
      <c r="S119" s="30">
        <v>695313219.03999996</v>
      </c>
      <c r="T119" s="30">
        <v>695313219.03999996</v>
      </c>
      <c r="U119" s="30">
        <v>1212.97</v>
      </c>
      <c r="V119" s="43">
        <v>1212.97</v>
      </c>
      <c r="W119" s="43" t="e">
        <v>#VALUE!</v>
      </c>
      <c r="X119" s="43">
        <v>573232</v>
      </c>
      <c r="Y119" s="43">
        <v>573232</v>
      </c>
      <c r="Z119" s="43">
        <v>0</v>
      </c>
      <c r="AA119" s="43">
        <v>0</v>
      </c>
      <c r="AB119" s="43">
        <v>3920</v>
      </c>
      <c r="AC119" s="43">
        <v>4754842.4000000004</v>
      </c>
      <c r="AD119" s="43">
        <v>569312</v>
      </c>
      <c r="AE119" s="43">
        <v>690558376.63999999</v>
      </c>
      <c r="AF119" s="43" t="e">
        <v>#VALUE!</v>
      </c>
      <c r="AG119" s="43" t="e">
        <v>#VALUE!</v>
      </c>
      <c r="AH119" s="38">
        <v>45383</v>
      </c>
      <c r="AI119" s="38"/>
      <c r="AJ119" s="38"/>
      <c r="AK119" s="38">
        <v>45413</v>
      </c>
      <c r="AL119" s="38"/>
      <c r="AM119" s="48"/>
      <c r="AN119" s="42"/>
      <c r="AO119" s="42" t="s">
        <v>1404</v>
      </c>
      <c r="AP119" s="42" t="s">
        <v>1405</v>
      </c>
      <c r="AQ119" s="42" t="s">
        <v>1406</v>
      </c>
      <c r="AR119" s="42" t="s">
        <v>82</v>
      </c>
      <c r="AS119" s="50">
        <v>100</v>
      </c>
      <c r="AT119" s="39">
        <v>0</v>
      </c>
      <c r="AU119" s="39" t="s">
        <v>389</v>
      </c>
      <c r="AV119" s="53" t="s">
        <v>1407</v>
      </c>
      <c r="AW119" s="39" t="s">
        <v>62</v>
      </c>
      <c r="AX119" s="39">
        <v>10</v>
      </c>
      <c r="AY119" s="30">
        <v>69531321.903999999</v>
      </c>
      <c r="AZ119" s="42" t="s">
        <v>405</v>
      </c>
    </row>
    <row r="120" spans="1:52" ht="58.5" customHeight="1" x14ac:dyDescent="0.25">
      <c r="A120" s="46" t="s">
        <v>1408</v>
      </c>
      <c r="B120" s="48">
        <v>45289</v>
      </c>
      <c r="C120" s="42">
        <v>1416</v>
      </c>
      <c r="D120" s="37" t="s">
        <v>1409</v>
      </c>
      <c r="E120" s="41" t="s">
        <v>1410</v>
      </c>
      <c r="F120" s="38">
        <v>45320</v>
      </c>
      <c r="G120" s="39" t="s">
        <v>1411</v>
      </c>
      <c r="H120" s="42" t="s">
        <v>54</v>
      </c>
      <c r="I120" s="42" t="s">
        <v>1412</v>
      </c>
      <c r="J120" s="56">
        <v>3614799</v>
      </c>
      <c r="K120" s="56">
        <v>3614799</v>
      </c>
      <c r="L120" s="56">
        <v>0</v>
      </c>
      <c r="M120" s="56">
        <v>0</v>
      </c>
      <c r="N120" s="44">
        <v>0</v>
      </c>
      <c r="O120" s="45">
        <v>0</v>
      </c>
      <c r="P120" s="43">
        <v>3614799</v>
      </c>
      <c r="Q120" s="45">
        <v>0</v>
      </c>
      <c r="R120" s="43">
        <v>3614799</v>
      </c>
      <c r="S120" s="30">
        <v>3614799</v>
      </c>
      <c r="T120" s="30">
        <v>3614799</v>
      </c>
      <c r="U120" s="30">
        <v>197.53</v>
      </c>
      <c r="V120" s="43">
        <v>197.53</v>
      </c>
      <c r="W120" s="43">
        <v>19753</v>
      </c>
      <c r="X120" s="43">
        <v>18300</v>
      </c>
      <c r="Y120" s="43">
        <v>18300</v>
      </c>
      <c r="Z120" s="43">
        <v>0</v>
      </c>
      <c r="AA120" s="43">
        <v>0</v>
      </c>
      <c r="AB120" s="43">
        <v>14700</v>
      </c>
      <c r="AC120" s="43">
        <v>2903691</v>
      </c>
      <c r="AD120" s="43">
        <v>3600</v>
      </c>
      <c r="AE120" s="43">
        <v>711108</v>
      </c>
      <c r="AF120" s="43">
        <v>183</v>
      </c>
      <c r="AG120" s="43">
        <v>183</v>
      </c>
      <c r="AH120" s="38">
        <v>45352</v>
      </c>
      <c r="AI120" s="38"/>
      <c r="AJ120" s="38"/>
      <c r="AK120" s="38">
        <v>45383</v>
      </c>
      <c r="AL120" s="38"/>
      <c r="AM120" s="48"/>
      <c r="AN120" s="42"/>
      <c r="AO120" s="42" t="s">
        <v>1413</v>
      </c>
      <c r="AP120" s="42" t="s">
        <v>1414</v>
      </c>
      <c r="AQ120" s="42" t="s">
        <v>1415</v>
      </c>
      <c r="AR120" s="42" t="s">
        <v>1416</v>
      </c>
      <c r="AS120" s="50">
        <v>0</v>
      </c>
      <c r="AT120" s="39">
        <v>100</v>
      </c>
      <c r="AU120" s="39" t="s">
        <v>327</v>
      </c>
      <c r="AV120" s="49">
        <v>100</v>
      </c>
      <c r="AW120" s="39" t="s">
        <v>62</v>
      </c>
      <c r="AX120" s="39">
        <v>10</v>
      </c>
      <c r="AY120" s="30">
        <v>361479.9</v>
      </c>
      <c r="AZ120" s="42" t="s">
        <v>405</v>
      </c>
    </row>
    <row r="121" spans="1:52" ht="58.5" customHeight="1" x14ac:dyDescent="0.25">
      <c r="A121" s="46" t="s">
        <v>1417</v>
      </c>
      <c r="B121" s="48">
        <v>45289</v>
      </c>
      <c r="C121" s="42">
        <v>1416</v>
      </c>
      <c r="D121" s="37" t="s">
        <v>1418</v>
      </c>
      <c r="E121" s="41" t="s">
        <v>1419</v>
      </c>
      <c r="F121" s="38">
        <v>45322</v>
      </c>
      <c r="G121" s="39" t="s">
        <v>1420</v>
      </c>
      <c r="H121" s="42" t="s">
        <v>1199</v>
      </c>
      <c r="I121" s="42" t="s">
        <v>1421</v>
      </c>
      <c r="J121" s="56">
        <v>87974803.200000003</v>
      </c>
      <c r="K121" s="56">
        <v>87974803.200000003</v>
      </c>
      <c r="L121" s="56">
        <v>0</v>
      </c>
      <c r="M121" s="56">
        <v>0</v>
      </c>
      <c r="N121" s="44">
        <v>2.0000000181870234</v>
      </c>
      <c r="O121" s="45">
        <v>1759496.0799999982</v>
      </c>
      <c r="P121" s="43">
        <v>86215307.120000005</v>
      </c>
      <c r="Q121" s="45">
        <v>17960472</v>
      </c>
      <c r="R121" s="43">
        <v>70014331.200000003</v>
      </c>
      <c r="S121" s="30">
        <v>70014331.200000003</v>
      </c>
      <c r="T121" s="30">
        <v>70014331.200000003</v>
      </c>
      <c r="U121" s="30">
        <v>88.88000000000001</v>
      </c>
      <c r="V121" s="43">
        <v>88.88000000000001</v>
      </c>
      <c r="W121" s="43">
        <v>5332.8</v>
      </c>
      <c r="X121" s="43">
        <v>787740</v>
      </c>
      <c r="Y121" s="43">
        <v>383880</v>
      </c>
      <c r="Z121" s="43">
        <v>403860</v>
      </c>
      <c r="AA121" s="43">
        <v>0</v>
      </c>
      <c r="AB121" s="43">
        <v>80460</v>
      </c>
      <c r="AC121" s="43">
        <v>7151284.8000000007</v>
      </c>
      <c r="AD121" s="43">
        <v>707280</v>
      </c>
      <c r="AE121" s="43">
        <v>62863046.400000006</v>
      </c>
      <c r="AF121" s="43">
        <v>13129</v>
      </c>
      <c r="AG121" s="43">
        <v>13129</v>
      </c>
      <c r="AH121" s="38">
        <v>45352</v>
      </c>
      <c r="AI121" s="38">
        <v>45474</v>
      </c>
      <c r="AJ121" s="38"/>
      <c r="AK121" s="38">
        <v>45383</v>
      </c>
      <c r="AL121" s="38">
        <v>45505</v>
      </c>
      <c r="AM121" s="48"/>
      <c r="AN121" s="42"/>
      <c r="AO121" s="42" t="s">
        <v>1201</v>
      </c>
      <c r="AP121" s="42" t="s">
        <v>1422</v>
      </c>
      <c r="AQ121" s="42" t="s">
        <v>1203</v>
      </c>
      <c r="AR121" s="42" t="s">
        <v>82</v>
      </c>
      <c r="AS121" s="50">
        <v>100</v>
      </c>
      <c r="AT121" s="39">
        <v>0</v>
      </c>
      <c r="AU121" s="39" t="s">
        <v>389</v>
      </c>
      <c r="AV121" s="49">
        <v>60</v>
      </c>
      <c r="AW121" s="39" t="s">
        <v>62</v>
      </c>
      <c r="AX121" s="39">
        <v>10</v>
      </c>
      <c r="AY121" s="30">
        <v>8797480.3200000003</v>
      </c>
      <c r="AZ121" s="42" t="s">
        <v>405</v>
      </c>
    </row>
    <row r="122" spans="1:52" ht="58.5" customHeight="1" x14ac:dyDescent="0.25">
      <c r="A122" s="46" t="s">
        <v>1423</v>
      </c>
      <c r="B122" s="48">
        <v>45289</v>
      </c>
      <c r="C122" s="42">
        <v>1416</v>
      </c>
      <c r="D122" s="37" t="s">
        <v>1424</v>
      </c>
      <c r="E122" s="41" t="s">
        <v>1425</v>
      </c>
      <c r="F122" s="38">
        <v>45320</v>
      </c>
      <c r="G122" s="39" t="s">
        <v>1426</v>
      </c>
      <c r="H122" s="42" t="s">
        <v>54</v>
      </c>
      <c r="I122" s="42" t="s">
        <v>1427</v>
      </c>
      <c r="J122" s="56">
        <v>165786.4</v>
      </c>
      <c r="K122" s="56">
        <v>165786.4</v>
      </c>
      <c r="L122" s="56">
        <v>0</v>
      </c>
      <c r="M122" s="56">
        <v>0</v>
      </c>
      <c r="N122" s="44">
        <v>0</v>
      </c>
      <c r="O122" s="45">
        <v>0</v>
      </c>
      <c r="P122" s="43">
        <v>165786.4</v>
      </c>
      <c r="Q122" s="45">
        <v>0</v>
      </c>
      <c r="R122" s="43">
        <v>165786.4</v>
      </c>
      <c r="S122" s="30">
        <v>165786.4</v>
      </c>
      <c r="T122" s="30">
        <v>165786.4</v>
      </c>
      <c r="U122" s="30">
        <v>218.14</v>
      </c>
      <c r="V122" s="43">
        <v>218.14</v>
      </c>
      <c r="W122" s="43">
        <v>8725.5999999999985</v>
      </c>
      <c r="X122" s="43">
        <v>760</v>
      </c>
      <c r="Y122" s="43">
        <v>760</v>
      </c>
      <c r="Z122" s="43">
        <v>0</v>
      </c>
      <c r="AA122" s="43">
        <v>0</v>
      </c>
      <c r="AB122" s="43">
        <v>760</v>
      </c>
      <c r="AC122" s="43">
        <v>165786.4</v>
      </c>
      <c r="AD122" s="43">
        <v>0</v>
      </c>
      <c r="AE122" s="43">
        <v>0</v>
      </c>
      <c r="AF122" s="43">
        <v>19</v>
      </c>
      <c r="AG122" s="43">
        <v>19</v>
      </c>
      <c r="AH122" s="38">
        <v>45352</v>
      </c>
      <c r="AI122" s="38"/>
      <c r="AJ122" s="38"/>
      <c r="AK122" s="38">
        <v>45383</v>
      </c>
      <c r="AL122" s="38"/>
      <c r="AM122" s="48"/>
      <c r="AN122" s="42"/>
      <c r="AO122" s="42" t="s">
        <v>189</v>
      </c>
      <c r="AP122" s="42" t="s">
        <v>1428</v>
      </c>
      <c r="AQ122" s="42" t="s">
        <v>1429</v>
      </c>
      <c r="AR122" s="42" t="s">
        <v>1416</v>
      </c>
      <c r="AS122" s="50">
        <v>0</v>
      </c>
      <c r="AT122" s="39">
        <v>100</v>
      </c>
      <c r="AU122" s="39" t="s">
        <v>327</v>
      </c>
      <c r="AV122" s="49">
        <v>40</v>
      </c>
      <c r="AW122" s="39" t="s">
        <v>221</v>
      </c>
      <c r="AX122" s="39">
        <v>10</v>
      </c>
      <c r="AY122" s="30">
        <v>16578.64</v>
      </c>
      <c r="AZ122" s="42" t="s">
        <v>405</v>
      </c>
    </row>
    <row r="123" spans="1:52" ht="58.5" customHeight="1" x14ac:dyDescent="0.25">
      <c r="A123" s="46" t="s">
        <v>1430</v>
      </c>
      <c r="B123" s="48">
        <v>45289</v>
      </c>
      <c r="C123" s="42">
        <v>1416</v>
      </c>
      <c r="D123" s="37" t="s">
        <v>1431</v>
      </c>
      <c r="E123" s="41" t="s">
        <v>1432</v>
      </c>
      <c r="F123" s="38">
        <v>45322</v>
      </c>
      <c r="G123" s="39" t="s">
        <v>1433</v>
      </c>
      <c r="H123" s="42" t="s">
        <v>226</v>
      </c>
      <c r="I123" s="42" t="s">
        <v>1434</v>
      </c>
      <c r="J123" s="56">
        <v>17068912</v>
      </c>
      <c r="K123" s="56">
        <v>17068912</v>
      </c>
      <c r="L123" s="56">
        <v>0</v>
      </c>
      <c r="M123" s="56">
        <v>0</v>
      </c>
      <c r="N123" s="44">
        <v>0.50590219224283306</v>
      </c>
      <c r="O123" s="45">
        <v>86352</v>
      </c>
      <c r="P123" s="43">
        <v>16982560</v>
      </c>
      <c r="Q123" s="45">
        <v>86352</v>
      </c>
      <c r="R123" s="43">
        <v>16982560</v>
      </c>
      <c r="S123" s="30">
        <v>16982560</v>
      </c>
      <c r="T123" s="30">
        <v>16982560</v>
      </c>
      <c r="U123" s="30">
        <v>11.8</v>
      </c>
      <c r="V123" s="43">
        <v>11.8</v>
      </c>
      <c r="W123" s="43">
        <v>1180</v>
      </c>
      <c r="X123" s="43">
        <v>1439200</v>
      </c>
      <c r="Y123" s="43">
        <v>1439200</v>
      </c>
      <c r="Z123" s="43">
        <v>0</v>
      </c>
      <c r="AA123" s="43">
        <v>0</v>
      </c>
      <c r="AB123" s="43">
        <v>142900</v>
      </c>
      <c r="AC123" s="43">
        <v>1686220</v>
      </c>
      <c r="AD123" s="43">
        <v>1296300</v>
      </c>
      <c r="AE123" s="43">
        <v>15296340</v>
      </c>
      <c r="AF123" s="43">
        <v>14392</v>
      </c>
      <c r="AG123" s="43">
        <v>14392</v>
      </c>
      <c r="AH123" s="38">
        <v>45352</v>
      </c>
      <c r="AI123" s="38"/>
      <c r="AJ123" s="38"/>
      <c r="AK123" s="38">
        <v>45383</v>
      </c>
      <c r="AL123" s="38"/>
      <c r="AM123" s="48"/>
      <c r="AN123" s="42"/>
      <c r="AO123" s="42" t="s">
        <v>1435</v>
      </c>
      <c r="AP123" s="42" t="s">
        <v>1436</v>
      </c>
      <c r="AQ123" s="42" t="s">
        <v>1437</v>
      </c>
      <c r="AR123" s="42" t="s">
        <v>82</v>
      </c>
      <c r="AS123" s="50">
        <v>100</v>
      </c>
      <c r="AT123" s="39">
        <v>0</v>
      </c>
      <c r="AU123" s="39" t="s">
        <v>389</v>
      </c>
      <c r="AV123" s="49">
        <v>100</v>
      </c>
      <c r="AW123" s="39" t="s">
        <v>62</v>
      </c>
      <c r="AX123" s="39">
        <v>10</v>
      </c>
      <c r="AY123" s="30">
        <v>1706891.2</v>
      </c>
      <c r="AZ123" s="42" t="s">
        <v>405</v>
      </c>
    </row>
    <row r="124" spans="1:52" ht="58.5" customHeight="1" x14ac:dyDescent="0.25">
      <c r="A124" s="46" t="s">
        <v>1438</v>
      </c>
      <c r="B124" s="48">
        <v>45289</v>
      </c>
      <c r="C124" s="42">
        <v>1416</v>
      </c>
      <c r="D124" s="37" t="s">
        <v>1439</v>
      </c>
      <c r="E124" s="41" t="s">
        <v>1440</v>
      </c>
      <c r="F124" s="38">
        <v>45317</v>
      </c>
      <c r="G124" s="39" t="s">
        <v>1441</v>
      </c>
      <c r="H124" s="42" t="s">
        <v>54</v>
      </c>
      <c r="I124" s="42" t="s">
        <v>611</v>
      </c>
      <c r="J124" s="56">
        <v>13163854000</v>
      </c>
      <c r="K124" s="56">
        <v>13163854000</v>
      </c>
      <c r="L124" s="56">
        <v>6581927000</v>
      </c>
      <c r="M124" s="56">
        <v>6581927000</v>
      </c>
      <c r="N124" s="44">
        <v>0</v>
      </c>
      <c r="O124" s="45">
        <v>0</v>
      </c>
      <c r="P124" s="43">
        <v>13163854000</v>
      </c>
      <c r="Q124" s="45">
        <v>0</v>
      </c>
      <c r="R124" s="43">
        <v>6581927000</v>
      </c>
      <c r="S124" s="30">
        <v>6581927000</v>
      </c>
      <c r="T124" s="30">
        <v>13163854000</v>
      </c>
      <c r="U124" s="30">
        <v>22696.3</v>
      </c>
      <c r="V124" s="43">
        <v>22696.3</v>
      </c>
      <c r="W124" s="43">
        <v>226963</v>
      </c>
      <c r="X124" s="43">
        <v>580000</v>
      </c>
      <c r="Y124" s="43">
        <v>290000</v>
      </c>
      <c r="Z124" s="43">
        <v>0</v>
      </c>
      <c r="AA124" s="43">
        <v>0</v>
      </c>
      <c r="AB124" s="43">
        <v>1560</v>
      </c>
      <c r="AC124" s="43">
        <v>35406228</v>
      </c>
      <c r="AD124" s="43">
        <v>288440</v>
      </c>
      <c r="AE124" s="43">
        <v>6546520772</v>
      </c>
      <c r="AF124" s="43">
        <v>58000</v>
      </c>
      <c r="AG124" s="43">
        <v>58000</v>
      </c>
      <c r="AH124" s="38">
        <v>45352</v>
      </c>
      <c r="AI124" s="38">
        <v>45717</v>
      </c>
      <c r="AJ124" s="38"/>
      <c r="AK124" s="38">
        <v>45383</v>
      </c>
      <c r="AL124" s="38">
        <v>45748</v>
      </c>
      <c r="AM124" s="48"/>
      <c r="AN124" s="42"/>
      <c r="AO124" s="42" t="s">
        <v>1442</v>
      </c>
      <c r="AP124" s="42" t="s">
        <v>1443</v>
      </c>
      <c r="AQ124" s="42" t="s">
        <v>1444</v>
      </c>
      <c r="AR124" s="42" t="s">
        <v>94</v>
      </c>
      <c r="AS124" s="50">
        <v>0</v>
      </c>
      <c r="AT124" s="39">
        <v>100</v>
      </c>
      <c r="AU124" s="39" t="s">
        <v>83</v>
      </c>
      <c r="AV124" s="49">
        <v>10</v>
      </c>
      <c r="AW124" s="39" t="s">
        <v>62</v>
      </c>
      <c r="AX124" s="39">
        <v>10</v>
      </c>
      <c r="AY124" s="30">
        <v>1316385400</v>
      </c>
      <c r="AZ124" s="42" t="s">
        <v>405</v>
      </c>
    </row>
    <row r="125" spans="1:52" ht="58.5" customHeight="1" x14ac:dyDescent="0.25">
      <c r="A125" s="46" t="s">
        <v>1445</v>
      </c>
      <c r="B125" s="48">
        <v>45289</v>
      </c>
      <c r="C125" s="42">
        <v>1416</v>
      </c>
      <c r="D125" s="37" t="s">
        <v>1446</v>
      </c>
      <c r="E125" s="41" t="s">
        <v>1447</v>
      </c>
      <c r="F125" s="38">
        <v>45320</v>
      </c>
      <c r="G125" s="39" t="s">
        <v>1448</v>
      </c>
      <c r="H125" s="42" t="s">
        <v>226</v>
      </c>
      <c r="I125" s="42" t="s">
        <v>1449</v>
      </c>
      <c r="J125" s="56">
        <v>8914257</v>
      </c>
      <c r="K125" s="56">
        <v>8914257</v>
      </c>
      <c r="L125" s="56">
        <v>0</v>
      </c>
      <c r="M125" s="56">
        <v>0</v>
      </c>
      <c r="N125" s="44">
        <v>0</v>
      </c>
      <c r="O125" s="45">
        <v>0</v>
      </c>
      <c r="P125" s="43">
        <v>8914257</v>
      </c>
      <c r="Q125" s="45">
        <v>0</v>
      </c>
      <c r="R125" s="43">
        <v>8914257</v>
      </c>
      <c r="S125" s="30">
        <v>8914257</v>
      </c>
      <c r="T125" s="30">
        <v>8914257</v>
      </c>
      <c r="U125" s="30">
        <v>41.91</v>
      </c>
      <c r="V125" s="43">
        <v>41.91</v>
      </c>
      <c r="W125" s="43">
        <v>2095.5</v>
      </c>
      <c r="X125" s="43">
        <v>212700</v>
      </c>
      <c r="Y125" s="43">
        <v>212700</v>
      </c>
      <c r="Z125" s="43">
        <v>0</v>
      </c>
      <c r="AA125" s="43">
        <v>0</v>
      </c>
      <c r="AB125" s="43">
        <v>7300</v>
      </c>
      <c r="AC125" s="43">
        <v>305943</v>
      </c>
      <c r="AD125" s="43">
        <v>205400</v>
      </c>
      <c r="AE125" s="43">
        <v>8608314</v>
      </c>
      <c r="AF125" s="43">
        <v>4254</v>
      </c>
      <c r="AG125" s="43">
        <v>4254</v>
      </c>
      <c r="AH125" s="38">
        <v>45383</v>
      </c>
      <c r="AI125" s="38"/>
      <c r="AJ125" s="38"/>
      <c r="AK125" s="38">
        <v>45413</v>
      </c>
      <c r="AL125" s="38"/>
      <c r="AM125" s="48"/>
      <c r="AN125" s="42"/>
      <c r="AO125" s="42" t="s">
        <v>1450</v>
      </c>
      <c r="AP125" s="42" t="s">
        <v>1451</v>
      </c>
      <c r="AQ125" s="42" t="s">
        <v>1452</v>
      </c>
      <c r="AR125" s="42" t="s">
        <v>82</v>
      </c>
      <c r="AS125" s="50">
        <v>100</v>
      </c>
      <c r="AT125" s="39">
        <v>0</v>
      </c>
      <c r="AU125" s="39" t="s">
        <v>389</v>
      </c>
      <c r="AV125" s="49">
        <v>50</v>
      </c>
      <c r="AW125" s="39" t="s">
        <v>62</v>
      </c>
      <c r="AX125" s="39">
        <v>10</v>
      </c>
      <c r="AY125" s="30">
        <v>891425.7</v>
      </c>
      <c r="AZ125" s="42" t="s">
        <v>405</v>
      </c>
    </row>
    <row r="126" spans="1:52" ht="58.5" customHeight="1" x14ac:dyDescent="0.25">
      <c r="A126" s="46" t="s">
        <v>1456</v>
      </c>
      <c r="B126" s="48">
        <v>45289</v>
      </c>
      <c r="C126" s="42">
        <v>1416</v>
      </c>
      <c r="D126" s="37" t="s">
        <v>1457</v>
      </c>
      <c r="E126" s="41" t="s">
        <v>1458</v>
      </c>
      <c r="F126" s="38">
        <v>45324</v>
      </c>
      <c r="G126" s="39" t="s">
        <v>1459</v>
      </c>
      <c r="H126" s="42" t="s">
        <v>141</v>
      </c>
      <c r="I126" s="42" t="s">
        <v>1460</v>
      </c>
      <c r="J126" s="56">
        <v>11061180</v>
      </c>
      <c r="K126" s="56">
        <v>11061180</v>
      </c>
      <c r="L126" s="56">
        <v>0</v>
      </c>
      <c r="M126" s="56">
        <v>0</v>
      </c>
      <c r="N126" s="44">
        <v>0</v>
      </c>
      <c r="O126" s="45">
        <v>0</v>
      </c>
      <c r="P126" s="43">
        <v>11061180</v>
      </c>
      <c r="Q126" s="45">
        <v>0</v>
      </c>
      <c r="R126" s="43">
        <v>11061180</v>
      </c>
      <c r="S126" s="30">
        <v>11061180</v>
      </c>
      <c r="T126" s="30">
        <v>11061180</v>
      </c>
      <c r="U126" s="30">
        <v>13.04</v>
      </c>
      <c r="V126" s="43">
        <v>13.04</v>
      </c>
      <c r="W126" s="43">
        <v>3260</v>
      </c>
      <c r="X126" s="43">
        <v>848250</v>
      </c>
      <c r="Y126" s="43">
        <v>848250</v>
      </c>
      <c r="Z126" s="43">
        <v>0</v>
      </c>
      <c r="AA126" s="43">
        <v>0</v>
      </c>
      <c r="AB126" s="43">
        <v>835000</v>
      </c>
      <c r="AC126" s="43">
        <v>10888400</v>
      </c>
      <c r="AD126" s="43">
        <v>13250</v>
      </c>
      <c r="AE126" s="43">
        <v>172780</v>
      </c>
      <c r="AF126" s="43">
        <v>3393</v>
      </c>
      <c r="AG126" s="43">
        <v>3393</v>
      </c>
      <c r="AH126" s="38">
        <v>45473</v>
      </c>
      <c r="AI126" s="38"/>
      <c r="AJ126" s="38"/>
      <c r="AK126" s="38">
        <v>45505</v>
      </c>
      <c r="AL126" s="38"/>
      <c r="AM126" s="48"/>
      <c r="AN126" s="42"/>
      <c r="AO126" s="42" t="s">
        <v>1461</v>
      </c>
      <c r="AP126" s="42" t="s">
        <v>1462</v>
      </c>
      <c r="AQ126" s="42" t="s">
        <v>1463</v>
      </c>
      <c r="AR126" s="42" t="s">
        <v>295</v>
      </c>
      <c r="AS126" s="50">
        <v>0</v>
      </c>
      <c r="AT126" s="39">
        <v>100</v>
      </c>
      <c r="AU126" s="39" t="s">
        <v>95</v>
      </c>
      <c r="AV126" s="49">
        <v>250</v>
      </c>
      <c r="AW126" s="39" t="s">
        <v>62</v>
      </c>
      <c r="AX126" s="39">
        <v>10</v>
      </c>
      <c r="AY126" s="30">
        <v>1106118</v>
      </c>
      <c r="AZ126" s="42" t="s">
        <v>405</v>
      </c>
    </row>
    <row r="127" spans="1:52" ht="58.5" customHeight="1" x14ac:dyDescent="0.25">
      <c r="A127" s="46" t="s">
        <v>1464</v>
      </c>
      <c r="B127" s="48">
        <v>45289</v>
      </c>
      <c r="C127" s="42">
        <v>1416</v>
      </c>
      <c r="D127" s="37" t="s">
        <v>1465</v>
      </c>
      <c r="E127" s="41" t="s">
        <v>1466</v>
      </c>
      <c r="F127" s="38">
        <v>45320</v>
      </c>
      <c r="G127" s="39" t="s">
        <v>1467</v>
      </c>
      <c r="H127" s="42" t="s">
        <v>1216</v>
      </c>
      <c r="I127" s="42" t="s">
        <v>1468</v>
      </c>
      <c r="J127" s="56">
        <v>353355.52000000002</v>
      </c>
      <c r="K127" s="56">
        <v>353355.52000000002</v>
      </c>
      <c r="L127" s="56">
        <v>0</v>
      </c>
      <c r="M127" s="56">
        <v>0</v>
      </c>
      <c r="N127" s="44">
        <v>0</v>
      </c>
      <c r="O127" s="45">
        <v>0</v>
      </c>
      <c r="P127" s="43">
        <v>353355.52000000002</v>
      </c>
      <c r="Q127" s="45">
        <v>0</v>
      </c>
      <c r="R127" s="43">
        <v>353355.52000000002</v>
      </c>
      <c r="S127" s="30">
        <v>353355.52000000002</v>
      </c>
      <c r="T127" s="30">
        <v>353355.52000000002</v>
      </c>
      <c r="U127" s="30">
        <v>97.72</v>
      </c>
      <c r="V127" s="43">
        <v>97.72</v>
      </c>
      <c r="W127" s="43">
        <v>4886</v>
      </c>
      <c r="X127" s="43">
        <v>3616</v>
      </c>
      <c r="Y127" s="43">
        <v>3616</v>
      </c>
      <c r="Z127" s="43">
        <v>0</v>
      </c>
      <c r="AA127" s="43">
        <v>0</v>
      </c>
      <c r="AB127" s="43">
        <v>366</v>
      </c>
      <c r="AC127" s="43">
        <v>35765.519999999997</v>
      </c>
      <c r="AD127" s="43">
        <v>3250</v>
      </c>
      <c r="AE127" s="43">
        <v>317590</v>
      </c>
      <c r="AF127" s="43">
        <v>72.319999999999993</v>
      </c>
      <c r="AG127" s="43">
        <v>73</v>
      </c>
      <c r="AH127" s="38">
        <v>45352</v>
      </c>
      <c r="AI127" s="38"/>
      <c r="AJ127" s="38"/>
      <c r="AK127" s="38">
        <v>45383</v>
      </c>
      <c r="AL127" s="38"/>
      <c r="AM127" s="48"/>
      <c r="AN127" s="42"/>
      <c r="AO127" s="42" t="s">
        <v>1469</v>
      </c>
      <c r="AP127" s="42" t="s">
        <v>1470</v>
      </c>
      <c r="AQ127" s="42" t="s">
        <v>1471</v>
      </c>
      <c r="AR127" s="42" t="s">
        <v>82</v>
      </c>
      <c r="AS127" s="50">
        <v>100</v>
      </c>
      <c r="AT127" s="39">
        <v>0</v>
      </c>
      <c r="AU127" s="39" t="s">
        <v>389</v>
      </c>
      <c r="AV127" s="49">
        <v>50</v>
      </c>
      <c r="AW127" s="39" t="s">
        <v>221</v>
      </c>
      <c r="AX127" s="39">
        <v>10</v>
      </c>
      <c r="AY127" s="30">
        <v>35335.552000000003</v>
      </c>
      <c r="AZ127" s="42" t="s">
        <v>405</v>
      </c>
    </row>
    <row r="128" spans="1:52" ht="58.5" customHeight="1" x14ac:dyDescent="0.25">
      <c r="A128" s="46" t="s">
        <v>1472</v>
      </c>
      <c r="B128" s="48">
        <v>45289</v>
      </c>
      <c r="C128" s="42">
        <v>1416</v>
      </c>
      <c r="D128" s="37" t="s">
        <v>1473</v>
      </c>
      <c r="E128" s="41" t="s">
        <v>1474</v>
      </c>
      <c r="F128" s="38">
        <v>45320</v>
      </c>
      <c r="G128" s="39" t="s">
        <v>1475</v>
      </c>
      <c r="H128" s="42" t="s">
        <v>226</v>
      </c>
      <c r="I128" s="42" t="s">
        <v>1476</v>
      </c>
      <c r="J128" s="56">
        <v>19324800</v>
      </c>
      <c r="K128" s="56">
        <v>19324800</v>
      </c>
      <c r="L128" s="56">
        <v>0</v>
      </c>
      <c r="M128" s="56">
        <v>0</v>
      </c>
      <c r="N128" s="44">
        <v>0</v>
      </c>
      <c r="O128" s="45">
        <v>0</v>
      </c>
      <c r="P128" s="43">
        <v>19324800</v>
      </c>
      <c r="Q128" s="45">
        <v>0</v>
      </c>
      <c r="R128" s="43">
        <v>19324800</v>
      </c>
      <c r="S128" s="30">
        <v>19324800</v>
      </c>
      <c r="T128" s="30">
        <v>19324800</v>
      </c>
      <c r="U128" s="30">
        <v>24</v>
      </c>
      <c r="V128" s="43">
        <v>24</v>
      </c>
      <c r="W128" s="43">
        <v>1200</v>
      </c>
      <c r="X128" s="43">
        <v>805200</v>
      </c>
      <c r="Y128" s="43">
        <v>805200</v>
      </c>
      <c r="Z128" s="43">
        <v>0</v>
      </c>
      <c r="AA128" s="43">
        <v>0</v>
      </c>
      <c r="AB128" s="43">
        <v>25050</v>
      </c>
      <c r="AC128" s="43">
        <v>601200</v>
      </c>
      <c r="AD128" s="43">
        <v>780150</v>
      </c>
      <c r="AE128" s="43">
        <v>18723600</v>
      </c>
      <c r="AF128" s="43">
        <v>16104</v>
      </c>
      <c r="AG128" s="43">
        <v>16104</v>
      </c>
      <c r="AH128" s="38">
        <v>45354</v>
      </c>
      <c r="AI128" s="38"/>
      <c r="AJ128" s="38"/>
      <c r="AK128" s="38">
        <v>45385</v>
      </c>
      <c r="AL128" s="38"/>
      <c r="AM128" s="48"/>
      <c r="AN128" s="42"/>
      <c r="AO128" s="42" t="s">
        <v>879</v>
      </c>
      <c r="AP128" s="42" t="s">
        <v>1477</v>
      </c>
      <c r="AQ128" s="42" t="s">
        <v>881</v>
      </c>
      <c r="AR128" s="42" t="s">
        <v>82</v>
      </c>
      <c r="AS128" s="50">
        <v>100</v>
      </c>
      <c r="AT128" s="39">
        <v>0</v>
      </c>
      <c r="AU128" s="39" t="s">
        <v>389</v>
      </c>
      <c r="AV128" s="49">
        <v>50</v>
      </c>
      <c r="AW128" s="39" t="s">
        <v>62</v>
      </c>
      <c r="AX128" s="39">
        <v>10</v>
      </c>
      <c r="AY128" s="30">
        <v>1932480</v>
      </c>
      <c r="AZ128" s="42" t="s">
        <v>405</v>
      </c>
    </row>
    <row r="129" spans="1:52" ht="58.5" customHeight="1" x14ac:dyDescent="0.25">
      <c r="A129" s="46" t="s">
        <v>1478</v>
      </c>
      <c r="B129" s="48">
        <v>45289</v>
      </c>
      <c r="C129" s="42">
        <v>1416</v>
      </c>
      <c r="D129" s="37" t="s">
        <v>1479</v>
      </c>
      <c r="E129" s="41" t="s">
        <v>1480</v>
      </c>
      <c r="F129" s="38">
        <v>45320</v>
      </c>
      <c r="G129" s="39" t="s">
        <v>1481</v>
      </c>
      <c r="H129" s="42" t="s">
        <v>88</v>
      </c>
      <c r="I129" s="42" t="s">
        <v>1482</v>
      </c>
      <c r="J129" s="56">
        <v>438990662.5</v>
      </c>
      <c r="K129" s="56">
        <v>438990662.5</v>
      </c>
      <c r="L129" s="56">
        <v>0</v>
      </c>
      <c r="M129" s="56">
        <v>0</v>
      </c>
      <c r="N129" s="44">
        <v>0</v>
      </c>
      <c r="O129" s="45">
        <v>0</v>
      </c>
      <c r="P129" s="43">
        <v>438990662.5</v>
      </c>
      <c r="Q129" s="45">
        <v>0</v>
      </c>
      <c r="R129" s="43">
        <v>438990662.5</v>
      </c>
      <c r="S129" s="30">
        <v>438990662.5</v>
      </c>
      <c r="T129" s="30">
        <v>438990662.5</v>
      </c>
      <c r="U129" s="30">
        <v>24.05</v>
      </c>
      <c r="V129" s="43">
        <v>24.05</v>
      </c>
      <c r="W129" s="43">
        <v>24050</v>
      </c>
      <c r="X129" s="43">
        <v>18253250</v>
      </c>
      <c r="Y129" s="43">
        <v>18253250</v>
      </c>
      <c r="Z129" s="43">
        <v>0</v>
      </c>
      <c r="AA129" s="43">
        <v>0</v>
      </c>
      <c r="AB129" s="43">
        <v>6453500</v>
      </c>
      <c r="AC129" s="43">
        <v>155206675</v>
      </c>
      <c r="AD129" s="43">
        <v>11799750</v>
      </c>
      <c r="AE129" s="43">
        <v>283783987.5</v>
      </c>
      <c r="AF129" s="43">
        <v>18253.25</v>
      </c>
      <c r="AG129" s="43">
        <v>18254</v>
      </c>
      <c r="AH129" s="38">
        <v>45412</v>
      </c>
      <c r="AI129" s="38"/>
      <c r="AJ129" s="38"/>
      <c r="AK129" s="38">
        <v>45444</v>
      </c>
      <c r="AL129" s="38"/>
      <c r="AM129" s="48"/>
      <c r="AN129" s="42"/>
      <c r="AO129" s="42" t="s">
        <v>1483</v>
      </c>
      <c r="AP129" s="42" t="s">
        <v>1484</v>
      </c>
      <c r="AQ129" s="42" t="s">
        <v>1485</v>
      </c>
      <c r="AR129" s="42" t="s">
        <v>788</v>
      </c>
      <c r="AS129" s="50">
        <v>0</v>
      </c>
      <c r="AT129" s="39">
        <v>100</v>
      </c>
      <c r="AU129" s="39" t="s">
        <v>95</v>
      </c>
      <c r="AV129" s="49">
        <v>1000</v>
      </c>
      <c r="AW129" s="39" t="s">
        <v>62</v>
      </c>
      <c r="AX129" s="39">
        <v>10</v>
      </c>
      <c r="AY129" s="30">
        <v>43899066.25</v>
      </c>
      <c r="AZ129" s="42" t="s">
        <v>405</v>
      </c>
    </row>
    <row r="130" spans="1:52" ht="58.5" customHeight="1" x14ac:dyDescent="0.25">
      <c r="A130" s="46" t="s">
        <v>1513</v>
      </c>
      <c r="B130" s="48">
        <v>45289</v>
      </c>
      <c r="C130" s="42">
        <v>1416</v>
      </c>
      <c r="D130" s="37" t="s">
        <v>1514</v>
      </c>
      <c r="E130" s="41" t="s">
        <v>1515</v>
      </c>
      <c r="F130" s="38">
        <v>45322</v>
      </c>
      <c r="G130" s="39" t="s">
        <v>1516</v>
      </c>
      <c r="H130" s="42" t="s">
        <v>1199</v>
      </c>
      <c r="I130" s="42" t="s">
        <v>1517</v>
      </c>
      <c r="J130" s="56">
        <v>15950302.199999999</v>
      </c>
      <c r="K130" s="56">
        <v>15950302.199999999</v>
      </c>
      <c r="L130" s="56">
        <v>0</v>
      </c>
      <c r="M130" s="56">
        <v>0</v>
      </c>
      <c r="N130" s="44">
        <v>1.9999999749220998</v>
      </c>
      <c r="O130" s="45">
        <v>319006.03999999911</v>
      </c>
      <c r="P130" s="43">
        <v>15631296.16</v>
      </c>
      <c r="Q130" s="45">
        <v>3255571.7999999989</v>
      </c>
      <c r="R130" s="43">
        <v>12694730.4</v>
      </c>
      <c r="S130" s="30">
        <v>12694730.4</v>
      </c>
      <c r="T130" s="30">
        <v>12694730.4</v>
      </c>
      <c r="U130" s="30">
        <v>133.32</v>
      </c>
      <c r="V130" s="43">
        <v>133.32</v>
      </c>
      <c r="W130" s="43">
        <v>7999.2</v>
      </c>
      <c r="X130" s="43">
        <v>95220</v>
      </c>
      <c r="Y130" s="43">
        <v>41640</v>
      </c>
      <c r="Z130" s="43">
        <v>53580</v>
      </c>
      <c r="AA130" s="43">
        <v>0</v>
      </c>
      <c r="AB130" s="43">
        <v>8700</v>
      </c>
      <c r="AC130" s="43">
        <v>1159884</v>
      </c>
      <c r="AD130" s="43">
        <v>86520</v>
      </c>
      <c r="AE130" s="43">
        <v>11534846.399999999</v>
      </c>
      <c r="AF130" s="43">
        <v>1587</v>
      </c>
      <c r="AG130" s="43">
        <v>1587</v>
      </c>
      <c r="AH130" s="38">
        <v>45352</v>
      </c>
      <c r="AI130" s="38">
        <v>45474</v>
      </c>
      <c r="AJ130" s="38"/>
      <c r="AK130" s="38">
        <v>45383</v>
      </c>
      <c r="AL130" s="38">
        <v>45505</v>
      </c>
      <c r="AM130" s="48"/>
      <c r="AN130" s="42"/>
      <c r="AO130" s="42" t="s">
        <v>1201</v>
      </c>
      <c r="AP130" s="42" t="s">
        <v>1518</v>
      </c>
      <c r="AQ130" s="42" t="s">
        <v>1203</v>
      </c>
      <c r="AR130" s="42" t="s">
        <v>82</v>
      </c>
      <c r="AS130" s="50">
        <v>100</v>
      </c>
      <c r="AT130" s="39">
        <v>0</v>
      </c>
      <c r="AU130" s="39" t="s">
        <v>389</v>
      </c>
      <c r="AV130" s="49">
        <v>60</v>
      </c>
      <c r="AW130" s="39" t="s">
        <v>62</v>
      </c>
      <c r="AX130" s="39">
        <v>10</v>
      </c>
      <c r="AY130" s="30">
        <v>1595030.22</v>
      </c>
      <c r="AZ130" s="42" t="s">
        <v>405</v>
      </c>
    </row>
    <row r="131" spans="1:52" ht="48" customHeight="1" x14ac:dyDescent="0.25">
      <c r="A131" s="61" t="s">
        <v>1885</v>
      </c>
      <c r="B131" s="62">
        <v>45323</v>
      </c>
      <c r="C131" s="42">
        <v>1416</v>
      </c>
      <c r="D131" s="37"/>
      <c r="E131" s="41" t="s">
        <v>1886</v>
      </c>
      <c r="F131" s="38"/>
      <c r="G131" s="39"/>
      <c r="H131" s="42"/>
      <c r="I131" s="64" t="s">
        <v>1887</v>
      </c>
      <c r="J131" s="63">
        <v>491040</v>
      </c>
      <c r="K131" s="43">
        <v>0</v>
      </c>
      <c r="L131" s="56">
        <v>0</v>
      </c>
      <c r="M131" s="56">
        <v>0</v>
      </c>
      <c r="N131" s="44">
        <v>100</v>
      </c>
      <c r="O131" s="45">
        <v>491040</v>
      </c>
      <c r="P131" s="43"/>
      <c r="Q131" s="45">
        <v>491040</v>
      </c>
      <c r="R131" s="43">
        <v>0</v>
      </c>
      <c r="S131" s="30">
        <v>0</v>
      </c>
      <c r="T131" s="30">
        <v>0</v>
      </c>
      <c r="U131" s="30">
        <v>10.56</v>
      </c>
      <c r="V131" s="43">
        <v>0</v>
      </c>
      <c r="W131" s="43">
        <v>0</v>
      </c>
      <c r="X131" s="43">
        <v>46500</v>
      </c>
      <c r="Y131" s="43">
        <v>46500</v>
      </c>
      <c r="Z131" s="43">
        <v>0</v>
      </c>
      <c r="AA131" s="43">
        <v>0</v>
      </c>
      <c r="AB131" s="43">
        <v>10500</v>
      </c>
      <c r="AC131" s="43">
        <v>0</v>
      </c>
      <c r="AD131" s="43">
        <v>36000</v>
      </c>
      <c r="AE131" s="43">
        <v>0</v>
      </c>
      <c r="AF131" s="43" t="e">
        <v>#DIV/0!</v>
      </c>
      <c r="AG131" s="43" t="e">
        <v>#DIV/0!</v>
      </c>
      <c r="AH131" s="38">
        <v>45366</v>
      </c>
      <c r="AI131" s="38"/>
      <c r="AJ131" s="38"/>
      <c r="AK131" s="38"/>
      <c r="AL131" s="38"/>
      <c r="AM131" s="48"/>
      <c r="AN131" s="42"/>
      <c r="AO131" s="42"/>
      <c r="AP131" s="42"/>
      <c r="AQ131" s="42"/>
      <c r="AR131" s="42"/>
      <c r="AS131" s="50"/>
      <c r="AT131" s="39"/>
      <c r="AU131" s="39"/>
      <c r="AV131" s="49"/>
      <c r="AW131" s="39"/>
      <c r="AX131" s="39">
        <v>10</v>
      </c>
      <c r="AY131" s="30">
        <v>49104</v>
      </c>
      <c r="AZ131" s="42"/>
    </row>
    <row r="132" spans="1:52" ht="48" customHeight="1" x14ac:dyDescent="0.25">
      <c r="A132" s="61" t="s">
        <v>1888</v>
      </c>
      <c r="B132" s="62">
        <v>45323</v>
      </c>
      <c r="C132" s="42">
        <v>1416</v>
      </c>
      <c r="D132" s="37"/>
      <c r="E132" s="41" t="s">
        <v>1889</v>
      </c>
      <c r="F132" s="38"/>
      <c r="G132" s="39"/>
      <c r="H132" s="42"/>
      <c r="I132" s="64" t="s">
        <v>1890</v>
      </c>
      <c r="J132" s="63">
        <v>94198500</v>
      </c>
      <c r="K132" s="43">
        <v>0</v>
      </c>
      <c r="L132" s="56">
        <v>0</v>
      </c>
      <c r="M132" s="56">
        <v>0</v>
      </c>
      <c r="N132" s="44">
        <v>100</v>
      </c>
      <c r="O132" s="45">
        <v>94198500</v>
      </c>
      <c r="P132" s="43"/>
      <c r="Q132" s="45">
        <v>94198500</v>
      </c>
      <c r="R132" s="43">
        <v>0</v>
      </c>
      <c r="S132" s="30">
        <v>0</v>
      </c>
      <c r="T132" s="30">
        <v>0</v>
      </c>
      <c r="U132" s="30">
        <v>7.26</v>
      </c>
      <c r="V132" s="43">
        <v>0</v>
      </c>
      <c r="W132" s="43">
        <v>0</v>
      </c>
      <c r="X132" s="43">
        <v>2185800</v>
      </c>
      <c r="Y132" s="43">
        <v>10800</v>
      </c>
      <c r="Z132" s="43">
        <v>2175000</v>
      </c>
      <c r="AA132" s="43">
        <v>0</v>
      </c>
      <c r="AB132" s="43">
        <v>0</v>
      </c>
      <c r="AC132" s="43">
        <v>0</v>
      </c>
      <c r="AD132" s="43">
        <v>12975000</v>
      </c>
      <c r="AE132" s="43">
        <v>0</v>
      </c>
      <c r="AF132" s="43" t="e">
        <v>#DIV/0!</v>
      </c>
      <c r="AG132" s="43" t="e">
        <v>#DIV/0!</v>
      </c>
      <c r="AH132" s="38">
        <v>45366</v>
      </c>
      <c r="AI132" s="38">
        <v>45432</v>
      </c>
      <c r="AJ132" s="38"/>
      <c r="AK132" s="38"/>
      <c r="AL132" s="38"/>
      <c r="AM132" s="48"/>
      <c r="AN132" s="42"/>
      <c r="AO132" s="42"/>
      <c r="AP132" s="42"/>
      <c r="AQ132" s="42"/>
      <c r="AR132" s="42"/>
      <c r="AS132" s="50"/>
      <c r="AT132" s="39"/>
      <c r="AU132" s="39"/>
      <c r="AV132" s="49"/>
      <c r="AW132" s="39"/>
      <c r="AX132" s="39">
        <v>10</v>
      </c>
      <c r="AY132" s="30">
        <v>9419850</v>
      </c>
      <c r="AZ132" s="42"/>
    </row>
    <row r="133" spans="1:52" ht="48" customHeight="1" x14ac:dyDescent="0.25">
      <c r="A133" s="61" t="s">
        <v>1894</v>
      </c>
      <c r="B133" s="62">
        <v>45323</v>
      </c>
      <c r="C133" s="42">
        <v>1416</v>
      </c>
      <c r="D133" s="37"/>
      <c r="E133" s="41" t="s">
        <v>1895</v>
      </c>
      <c r="F133" s="38"/>
      <c r="G133" s="39"/>
      <c r="H133" s="42"/>
      <c r="I133" s="64" t="s">
        <v>1896</v>
      </c>
      <c r="J133" s="63">
        <v>1349562136</v>
      </c>
      <c r="K133" s="43">
        <v>0</v>
      </c>
      <c r="L133" s="56">
        <v>0</v>
      </c>
      <c r="M133" s="56">
        <v>0</v>
      </c>
      <c r="N133" s="44">
        <v>100</v>
      </c>
      <c r="O133" s="45">
        <v>1349562136</v>
      </c>
      <c r="P133" s="43"/>
      <c r="Q133" s="45">
        <v>1349562136</v>
      </c>
      <c r="R133" s="43">
        <v>0</v>
      </c>
      <c r="S133" s="30">
        <v>0</v>
      </c>
      <c r="T133" s="30">
        <v>0</v>
      </c>
      <c r="U133" s="30" t="s">
        <v>1897</v>
      </c>
      <c r="V133" s="43">
        <v>0</v>
      </c>
      <c r="W133" s="43">
        <v>0</v>
      </c>
      <c r="X133" s="43">
        <v>53279200</v>
      </c>
      <c r="Y133" s="43">
        <v>53279200</v>
      </c>
      <c r="Z133" s="43">
        <v>0</v>
      </c>
      <c r="AA133" s="43">
        <v>0</v>
      </c>
      <c r="AB133" s="43">
        <v>37443200</v>
      </c>
      <c r="AC133" s="43">
        <v>0</v>
      </c>
      <c r="AD133" s="43">
        <v>15836000</v>
      </c>
      <c r="AE133" s="43">
        <v>0</v>
      </c>
      <c r="AF133" s="43" t="e">
        <v>#DIV/0!</v>
      </c>
      <c r="AG133" s="43" t="e">
        <v>#DIV/0!</v>
      </c>
      <c r="AH133" s="38">
        <v>45383</v>
      </c>
      <c r="AI133" s="38"/>
      <c r="AJ133" s="38"/>
      <c r="AK133" s="38"/>
      <c r="AL133" s="38"/>
      <c r="AM133" s="48"/>
      <c r="AN133" s="42"/>
      <c r="AO133" s="42"/>
      <c r="AP133" s="42"/>
      <c r="AQ133" s="42"/>
      <c r="AR133" s="42"/>
      <c r="AS133" s="50"/>
      <c r="AT133" s="39"/>
      <c r="AU133" s="39"/>
      <c r="AV133" s="49"/>
      <c r="AW133" s="39"/>
      <c r="AX133" s="39">
        <v>10</v>
      </c>
      <c r="AY133" s="30">
        <v>134956213.59999999</v>
      </c>
      <c r="AZ133" s="42"/>
    </row>
    <row r="134" spans="1:52" ht="48" customHeight="1" x14ac:dyDescent="0.25">
      <c r="A134" s="61" t="s">
        <v>1898</v>
      </c>
      <c r="B134" s="62">
        <v>45323</v>
      </c>
      <c r="C134" s="42">
        <v>1416</v>
      </c>
      <c r="D134" s="37" t="s">
        <v>434</v>
      </c>
      <c r="E134" s="41" t="s">
        <v>1899</v>
      </c>
      <c r="F134" s="38" t="s">
        <v>434</v>
      </c>
      <c r="G134" s="39" t="s">
        <v>434</v>
      </c>
      <c r="H134" s="42" t="s">
        <v>434</v>
      </c>
      <c r="I134" s="64" t="s">
        <v>1900</v>
      </c>
      <c r="J134" s="63">
        <v>3107256738.3000002</v>
      </c>
      <c r="K134" s="43">
        <v>0</v>
      </c>
      <c r="L134" s="56">
        <v>0</v>
      </c>
      <c r="M134" s="56">
        <v>0</v>
      </c>
      <c r="N134" s="44">
        <v>100</v>
      </c>
      <c r="O134" s="45">
        <v>3107256738.3000002</v>
      </c>
      <c r="P134" s="43"/>
      <c r="Q134" s="45">
        <v>3107256738.3000002</v>
      </c>
      <c r="R134" s="43">
        <v>0</v>
      </c>
      <c r="S134" s="30">
        <v>0</v>
      </c>
      <c r="T134" s="30">
        <v>0</v>
      </c>
      <c r="U134" s="30">
        <v>63582.09</v>
      </c>
      <c r="V134" s="43">
        <v>0</v>
      </c>
      <c r="W134" s="43">
        <v>0</v>
      </c>
      <c r="X134" s="43">
        <v>48870</v>
      </c>
      <c r="Y134" s="43">
        <v>10500</v>
      </c>
      <c r="Z134" s="43">
        <v>38370</v>
      </c>
      <c r="AA134" s="43">
        <v>0</v>
      </c>
      <c r="AB134" s="43"/>
      <c r="AC134" s="43">
        <v>0</v>
      </c>
      <c r="AD134" s="43"/>
      <c r="AE134" s="43">
        <v>0</v>
      </c>
      <c r="AF134" s="43" t="e">
        <v>#DIV/0!</v>
      </c>
      <c r="AG134" s="43" t="e">
        <v>#DIV/0!</v>
      </c>
      <c r="AH134" s="38">
        <v>45366</v>
      </c>
      <c r="AI134" s="38">
        <v>45443</v>
      </c>
      <c r="AJ134" s="38"/>
      <c r="AK134" s="38"/>
      <c r="AL134" s="38"/>
      <c r="AM134" s="48"/>
      <c r="AN134" s="42"/>
      <c r="AO134" s="42"/>
      <c r="AP134" s="42"/>
      <c r="AQ134" s="42"/>
      <c r="AR134" s="42"/>
      <c r="AS134" s="50"/>
      <c r="AT134" s="39"/>
      <c r="AU134" s="39"/>
      <c r="AV134" s="49"/>
      <c r="AW134" s="39"/>
      <c r="AX134" s="39">
        <v>10</v>
      </c>
      <c r="AY134" s="30">
        <v>310725673.82999998</v>
      </c>
      <c r="AZ134" s="42" t="s">
        <v>434</v>
      </c>
    </row>
    <row r="135" spans="1:52" ht="48" customHeight="1" x14ac:dyDescent="0.25">
      <c r="A135" s="61" t="s">
        <v>1904</v>
      </c>
      <c r="B135" s="62">
        <v>45323</v>
      </c>
      <c r="C135" s="42">
        <v>1416</v>
      </c>
      <c r="D135" s="37"/>
      <c r="E135" s="41" t="s">
        <v>1905</v>
      </c>
      <c r="F135" s="38"/>
      <c r="G135" s="39"/>
      <c r="H135" s="42"/>
      <c r="I135" s="64" t="s">
        <v>1890</v>
      </c>
      <c r="J135" s="63">
        <v>116475810</v>
      </c>
      <c r="K135" s="43">
        <v>0</v>
      </c>
      <c r="L135" s="56">
        <v>0</v>
      </c>
      <c r="M135" s="56">
        <v>0</v>
      </c>
      <c r="N135" s="44">
        <v>100</v>
      </c>
      <c r="O135" s="45">
        <v>116475810</v>
      </c>
      <c r="P135" s="43"/>
      <c r="Q135" s="45">
        <v>116475810</v>
      </c>
      <c r="R135" s="43">
        <v>0</v>
      </c>
      <c r="S135" s="30">
        <v>0</v>
      </c>
      <c r="T135" s="30">
        <v>0</v>
      </c>
      <c r="U135" s="30">
        <v>7.26</v>
      </c>
      <c r="V135" s="43">
        <v>0</v>
      </c>
      <c r="W135" s="43">
        <v>0</v>
      </c>
      <c r="X135" s="43">
        <v>16043500</v>
      </c>
      <c r="Y135" s="43">
        <v>16043500</v>
      </c>
      <c r="Z135" s="43">
        <v>0</v>
      </c>
      <c r="AA135" s="43">
        <v>0</v>
      </c>
      <c r="AB135" s="43">
        <v>16043500</v>
      </c>
      <c r="AC135" s="43">
        <v>0</v>
      </c>
      <c r="AD135" s="43">
        <v>0</v>
      </c>
      <c r="AE135" s="43">
        <v>0</v>
      </c>
      <c r="AF135" s="43" t="e">
        <v>#DIV/0!</v>
      </c>
      <c r="AG135" s="43" t="e">
        <v>#DIV/0!</v>
      </c>
      <c r="AH135" s="38">
        <v>45366</v>
      </c>
      <c r="AI135" s="38"/>
      <c r="AJ135" s="38"/>
      <c r="AK135" s="38"/>
      <c r="AL135" s="38"/>
      <c r="AM135" s="48"/>
      <c r="AN135" s="42"/>
      <c r="AO135" s="42"/>
      <c r="AP135" s="42"/>
      <c r="AQ135" s="42"/>
      <c r="AR135" s="42"/>
      <c r="AS135" s="50"/>
      <c r="AT135" s="39"/>
      <c r="AU135" s="39"/>
      <c r="AV135" s="49"/>
      <c r="AW135" s="39"/>
      <c r="AX135" s="39">
        <v>10</v>
      </c>
      <c r="AY135" s="30">
        <v>11647581</v>
      </c>
      <c r="AZ135" s="42"/>
    </row>
    <row r="136" spans="1:52" ht="48" customHeight="1" x14ac:dyDescent="0.25">
      <c r="A136" s="61" t="s">
        <v>1906</v>
      </c>
      <c r="B136" s="62">
        <v>45323</v>
      </c>
      <c r="C136" s="42">
        <v>1416</v>
      </c>
      <c r="D136" s="37"/>
      <c r="E136" s="41" t="s">
        <v>1907</v>
      </c>
      <c r="F136" s="38"/>
      <c r="G136" s="39"/>
      <c r="H136" s="42"/>
      <c r="I136" s="64" t="s">
        <v>1908</v>
      </c>
      <c r="J136" s="63">
        <v>18636961.5</v>
      </c>
      <c r="K136" s="43">
        <v>0</v>
      </c>
      <c r="L136" s="56">
        <v>0</v>
      </c>
      <c r="M136" s="56">
        <v>0</v>
      </c>
      <c r="N136" s="44">
        <v>100</v>
      </c>
      <c r="O136" s="45">
        <v>18636961.5</v>
      </c>
      <c r="P136" s="43"/>
      <c r="Q136" s="45">
        <v>18636961.5</v>
      </c>
      <c r="R136" s="43">
        <v>0</v>
      </c>
      <c r="S136" s="30">
        <v>0</v>
      </c>
      <c r="T136" s="30">
        <v>0</v>
      </c>
      <c r="U136" s="30">
        <v>22.71</v>
      </c>
      <c r="V136" s="43">
        <v>0</v>
      </c>
      <c r="W136" s="43">
        <v>0</v>
      </c>
      <c r="X136" s="43">
        <v>820650</v>
      </c>
      <c r="Y136" s="43">
        <v>820650</v>
      </c>
      <c r="Z136" s="43">
        <v>0</v>
      </c>
      <c r="AA136" s="43">
        <v>0</v>
      </c>
      <c r="AB136" s="43">
        <v>33950</v>
      </c>
      <c r="AC136" s="43">
        <v>0</v>
      </c>
      <c r="AD136" s="43">
        <v>786700</v>
      </c>
      <c r="AE136" s="43">
        <v>0</v>
      </c>
      <c r="AF136" s="43" t="e">
        <v>#DIV/0!</v>
      </c>
      <c r="AG136" s="43" t="e">
        <v>#DIV/0!</v>
      </c>
      <c r="AH136" s="38">
        <v>45366</v>
      </c>
      <c r="AI136" s="38"/>
      <c r="AJ136" s="38"/>
      <c r="AK136" s="38"/>
      <c r="AL136" s="38"/>
      <c r="AM136" s="48"/>
      <c r="AN136" s="42"/>
      <c r="AO136" s="42"/>
      <c r="AP136" s="42"/>
      <c r="AQ136" s="42"/>
      <c r="AR136" s="42"/>
      <c r="AS136" s="50"/>
      <c r="AT136" s="39"/>
      <c r="AU136" s="39"/>
      <c r="AV136" s="49"/>
      <c r="AW136" s="39"/>
      <c r="AX136" s="39">
        <v>10</v>
      </c>
      <c r="AY136" s="30">
        <v>1863696.15</v>
      </c>
      <c r="AZ136" s="42"/>
    </row>
    <row r="137" spans="1:52" ht="48" customHeight="1" x14ac:dyDescent="0.25">
      <c r="A137" s="61" t="s">
        <v>1909</v>
      </c>
      <c r="B137" s="62">
        <v>45323</v>
      </c>
      <c r="C137" s="42">
        <v>1416</v>
      </c>
      <c r="D137" s="37"/>
      <c r="E137" s="41" t="s">
        <v>1910</v>
      </c>
      <c r="F137" s="38"/>
      <c r="G137" s="39"/>
      <c r="H137" s="42"/>
      <c r="I137" s="64" t="s">
        <v>1911</v>
      </c>
      <c r="J137" s="63">
        <v>63183728.159999996</v>
      </c>
      <c r="K137" s="43">
        <v>0</v>
      </c>
      <c r="L137" s="56">
        <v>0</v>
      </c>
      <c r="M137" s="56">
        <v>0</v>
      </c>
      <c r="N137" s="44">
        <v>100</v>
      </c>
      <c r="O137" s="45">
        <v>63183728.159999996</v>
      </c>
      <c r="P137" s="43"/>
      <c r="Q137" s="45">
        <v>63183728.159999996</v>
      </c>
      <c r="R137" s="43">
        <v>0</v>
      </c>
      <c r="S137" s="30">
        <v>0</v>
      </c>
      <c r="T137" s="30">
        <v>0</v>
      </c>
      <c r="U137" s="30">
        <v>12792.3</v>
      </c>
      <c r="V137" s="43">
        <v>0</v>
      </c>
      <c r="W137" s="43">
        <v>0</v>
      </c>
      <c r="X137" s="43">
        <v>4939.2</v>
      </c>
      <c r="Y137" s="43">
        <v>4939.2</v>
      </c>
      <c r="Z137" s="43">
        <v>0</v>
      </c>
      <c r="AA137" s="43">
        <v>0</v>
      </c>
      <c r="AB137" s="43">
        <v>3705.6</v>
      </c>
      <c r="AC137" s="43">
        <v>0</v>
      </c>
      <c r="AD137" s="43">
        <v>1233.5999999999999</v>
      </c>
      <c r="AE137" s="43">
        <v>0</v>
      </c>
      <c r="AF137" s="43" t="e">
        <v>#DIV/0!</v>
      </c>
      <c r="AG137" s="43" t="e">
        <v>#DIV/0!</v>
      </c>
      <c r="AH137" s="38">
        <v>45427</v>
      </c>
      <c r="AI137" s="38"/>
      <c r="AJ137" s="38"/>
      <c r="AK137" s="38"/>
      <c r="AL137" s="38"/>
      <c r="AM137" s="48"/>
      <c r="AN137" s="42"/>
      <c r="AO137" s="42"/>
      <c r="AP137" s="42"/>
      <c r="AQ137" s="42"/>
      <c r="AR137" s="42"/>
      <c r="AS137" s="50"/>
      <c r="AT137" s="39"/>
      <c r="AU137" s="39"/>
      <c r="AV137" s="49"/>
      <c r="AW137" s="39"/>
      <c r="AX137" s="39">
        <v>10</v>
      </c>
      <c r="AY137" s="30">
        <v>6318372.8159999987</v>
      </c>
      <c r="AZ137" s="42"/>
    </row>
    <row r="138" spans="1:52" ht="48" customHeight="1" x14ac:dyDescent="0.25">
      <c r="A138" s="61" t="s">
        <v>1912</v>
      </c>
      <c r="B138" s="62">
        <v>45323</v>
      </c>
      <c r="C138" s="42">
        <v>1416</v>
      </c>
      <c r="D138" s="37"/>
      <c r="E138" s="41" t="s">
        <v>1913</v>
      </c>
      <c r="F138" s="38"/>
      <c r="G138" s="39"/>
      <c r="H138" s="42"/>
      <c r="I138" s="64" t="s">
        <v>1914</v>
      </c>
      <c r="J138" s="63">
        <v>146587500</v>
      </c>
      <c r="K138" s="43">
        <v>0</v>
      </c>
      <c r="L138" s="56">
        <v>0</v>
      </c>
      <c r="M138" s="56">
        <v>0</v>
      </c>
      <c r="N138" s="44">
        <v>100</v>
      </c>
      <c r="O138" s="45">
        <v>146587500</v>
      </c>
      <c r="P138" s="43"/>
      <c r="Q138" s="45">
        <v>146587500</v>
      </c>
      <c r="R138" s="43">
        <v>0</v>
      </c>
      <c r="S138" s="30">
        <v>0</v>
      </c>
      <c r="T138" s="30">
        <v>0</v>
      </c>
      <c r="U138" s="30">
        <v>13.03</v>
      </c>
      <c r="V138" s="43">
        <v>0</v>
      </c>
      <c r="W138" s="43">
        <v>0</v>
      </c>
      <c r="X138" s="43">
        <v>11250000</v>
      </c>
      <c r="Y138" s="43">
        <v>11250000</v>
      </c>
      <c r="Z138" s="43">
        <v>0</v>
      </c>
      <c r="AA138" s="43">
        <v>0</v>
      </c>
      <c r="AB138" s="43">
        <v>7194500</v>
      </c>
      <c r="AC138" s="43">
        <v>0</v>
      </c>
      <c r="AD138" s="43">
        <v>4055500</v>
      </c>
      <c r="AE138" s="43">
        <v>0</v>
      </c>
      <c r="AF138" s="43" t="e">
        <v>#DIV/0!</v>
      </c>
      <c r="AG138" s="43" t="e">
        <v>#DIV/0!</v>
      </c>
      <c r="AH138" s="38">
        <v>45382</v>
      </c>
      <c r="AI138" s="38"/>
      <c r="AJ138" s="38"/>
      <c r="AK138" s="38"/>
      <c r="AL138" s="38"/>
      <c r="AM138" s="48"/>
      <c r="AN138" s="42"/>
      <c r="AO138" s="42"/>
      <c r="AP138" s="42"/>
      <c r="AQ138" s="42"/>
      <c r="AR138" s="42"/>
      <c r="AS138" s="50"/>
      <c r="AT138" s="39"/>
      <c r="AU138" s="39"/>
      <c r="AV138" s="49"/>
      <c r="AW138" s="39"/>
      <c r="AX138" s="39">
        <v>10</v>
      </c>
      <c r="AY138" s="30">
        <v>14658750</v>
      </c>
      <c r="AZ138" s="42"/>
    </row>
    <row r="139" spans="1:52" ht="48" customHeight="1" x14ac:dyDescent="0.25">
      <c r="A139" s="61" t="s">
        <v>1924</v>
      </c>
      <c r="B139" s="62">
        <v>45324</v>
      </c>
      <c r="C139" s="42">
        <v>1416</v>
      </c>
      <c r="D139" s="37"/>
      <c r="E139" s="41" t="s">
        <v>1925</v>
      </c>
      <c r="F139" s="38"/>
      <c r="G139" s="39"/>
      <c r="H139" s="42"/>
      <c r="I139" s="64" t="s">
        <v>1926</v>
      </c>
      <c r="J139" s="63">
        <v>763941360</v>
      </c>
      <c r="K139" s="43">
        <v>0</v>
      </c>
      <c r="L139" s="56">
        <v>0</v>
      </c>
      <c r="M139" s="56">
        <v>0</v>
      </c>
      <c r="N139" s="44">
        <v>100</v>
      </c>
      <c r="O139" s="45">
        <v>763941360</v>
      </c>
      <c r="P139" s="43"/>
      <c r="Q139" s="45">
        <v>763941360</v>
      </c>
      <c r="R139" s="43">
        <v>0</v>
      </c>
      <c r="S139" s="30">
        <v>0</v>
      </c>
      <c r="T139" s="30">
        <v>0</v>
      </c>
      <c r="U139" s="30">
        <v>7.28</v>
      </c>
      <c r="V139" s="43">
        <v>0</v>
      </c>
      <c r="W139" s="43">
        <v>0</v>
      </c>
      <c r="X139" s="43">
        <v>104937000</v>
      </c>
      <c r="Y139" s="43">
        <v>73121000</v>
      </c>
      <c r="Z139" s="43">
        <v>31816000</v>
      </c>
      <c r="AA139" s="43">
        <v>0</v>
      </c>
      <c r="AB139" s="43">
        <v>0</v>
      </c>
      <c r="AC139" s="43">
        <v>0</v>
      </c>
      <c r="AD139" s="43">
        <v>104937000</v>
      </c>
      <c r="AE139" s="43">
        <v>0</v>
      </c>
      <c r="AF139" s="43" t="e">
        <v>#DIV/0!</v>
      </c>
      <c r="AG139" s="43" t="e">
        <v>#DIV/0!</v>
      </c>
      <c r="AH139" s="38">
        <v>45366</v>
      </c>
      <c r="AI139" s="38">
        <v>45432</v>
      </c>
      <c r="AJ139" s="38"/>
      <c r="AK139" s="38"/>
      <c r="AL139" s="38"/>
      <c r="AM139" s="48"/>
      <c r="AN139" s="42"/>
      <c r="AO139" s="42"/>
      <c r="AP139" s="42"/>
      <c r="AQ139" s="42"/>
      <c r="AR139" s="42"/>
      <c r="AS139" s="50"/>
      <c r="AT139" s="39"/>
      <c r="AU139" s="39"/>
      <c r="AV139" s="49"/>
      <c r="AW139" s="39"/>
      <c r="AX139" s="39">
        <v>10</v>
      </c>
      <c r="AY139" s="30">
        <v>76394136</v>
      </c>
      <c r="AZ139" s="42"/>
    </row>
    <row r="140" spans="1:52" ht="48" customHeight="1" x14ac:dyDescent="0.25">
      <c r="A140" s="61" t="s">
        <v>1927</v>
      </c>
      <c r="B140" s="62">
        <v>45324</v>
      </c>
      <c r="C140" s="42">
        <v>1416</v>
      </c>
      <c r="D140" s="37" t="s">
        <v>434</v>
      </c>
      <c r="E140" s="41" t="s">
        <v>1928</v>
      </c>
      <c r="F140" s="38" t="s">
        <v>434</v>
      </c>
      <c r="G140" s="39" t="s">
        <v>434</v>
      </c>
      <c r="H140" s="42" t="s">
        <v>434</v>
      </c>
      <c r="I140" s="64" t="s">
        <v>1929</v>
      </c>
      <c r="J140" s="63">
        <v>169078328.09999999</v>
      </c>
      <c r="K140" s="43">
        <v>0</v>
      </c>
      <c r="L140" s="56">
        <v>0</v>
      </c>
      <c r="M140" s="56">
        <v>0</v>
      </c>
      <c r="N140" s="44">
        <v>100</v>
      </c>
      <c r="O140" s="45">
        <v>169078328.09999999</v>
      </c>
      <c r="P140" s="43"/>
      <c r="Q140" s="45">
        <v>169078328.09999999</v>
      </c>
      <c r="R140" s="43">
        <v>0</v>
      </c>
      <c r="S140" s="30">
        <v>0</v>
      </c>
      <c r="T140" s="30">
        <v>0</v>
      </c>
      <c r="U140" s="30">
        <v>3221.46</v>
      </c>
      <c r="V140" s="43">
        <v>0</v>
      </c>
      <c r="W140" s="43">
        <v>0</v>
      </c>
      <c r="X140" s="43">
        <v>52485</v>
      </c>
      <c r="Y140" s="43">
        <v>17665</v>
      </c>
      <c r="Z140" s="43">
        <v>34820</v>
      </c>
      <c r="AA140" s="43">
        <v>0</v>
      </c>
      <c r="AB140" s="43"/>
      <c r="AC140" s="43">
        <v>0</v>
      </c>
      <c r="AD140" s="43">
        <v>0</v>
      </c>
      <c r="AE140" s="43">
        <v>0</v>
      </c>
      <c r="AF140" s="43" t="e">
        <v>#DIV/0!</v>
      </c>
      <c r="AG140" s="43" t="e">
        <v>#DIV/0!</v>
      </c>
      <c r="AH140" s="38">
        <v>45352</v>
      </c>
      <c r="AI140" s="38">
        <v>45444</v>
      </c>
      <c r="AJ140" s="38"/>
      <c r="AK140" s="38"/>
      <c r="AL140" s="38"/>
      <c r="AM140" s="48"/>
      <c r="AN140" s="42"/>
      <c r="AO140" s="42"/>
      <c r="AP140" s="42"/>
      <c r="AQ140" s="42"/>
      <c r="AR140" s="42"/>
      <c r="AS140" s="50"/>
      <c r="AT140" s="39"/>
      <c r="AU140" s="39"/>
      <c r="AV140" s="49"/>
      <c r="AW140" s="39"/>
      <c r="AX140" s="39">
        <v>10</v>
      </c>
      <c r="AY140" s="30">
        <v>16907832.809999999</v>
      </c>
      <c r="AZ140" s="42" t="s">
        <v>434</v>
      </c>
    </row>
    <row r="141" spans="1:52" ht="63.75" customHeight="1" x14ac:dyDescent="0.25">
      <c r="A141" s="46" t="s">
        <v>1930</v>
      </c>
      <c r="B141" s="38">
        <v>45327</v>
      </c>
      <c r="C141" s="39">
        <v>1416</v>
      </c>
      <c r="D141" s="37"/>
      <c r="E141" s="41" t="s">
        <v>1931</v>
      </c>
      <c r="F141" s="38"/>
      <c r="G141" s="39"/>
      <c r="H141" s="42"/>
      <c r="I141" s="42" t="s">
        <v>724</v>
      </c>
      <c r="J141" s="43">
        <v>251473040</v>
      </c>
      <c r="K141" s="43">
        <v>0</v>
      </c>
      <c r="L141" s="56">
        <v>0</v>
      </c>
      <c r="M141" s="56">
        <v>0</v>
      </c>
      <c r="N141" s="44">
        <v>100</v>
      </c>
      <c r="O141" s="45">
        <v>251473040</v>
      </c>
      <c r="P141" s="43"/>
      <c r="Q141" s="45">
        <v>251473040</v>
      </c>
      <c r="R141" s="43">
        <v>0</v>
      </c>
      <c r="S141" s="30">
        <v>0</v>
      </c>
      <c r="T141" s="30">
        <v>0</v>
      </c>
      <c r="U141" s="30">
        <v>7.28</v>
      </c>
      <c r="V141" s="43">
        <v>0</v>
      </c>
      <c r="W141" s="43">
        <v>0</v>
      </c>
      <c r="X141" s="43">
        <v>34543000</v>
      </c>
      <c r="Y141" s="43">
        <v>34543000</v>
      </c>
      <c r="Z141" s="43">
        <v>0</v>
      </c>
      <c r="AA141" s="43">
        <v>0</v>
      </c>
      <c r="AB141" s="43">
        <v>34543000</v>
      </c>
      <c r="AC141" s="43">
        <v>0</v>
      </c>
      <c r="AD141" s="43">
        <v>0</v>
      </c>
      <c r="AE141" s="43">
        <v>0</v>
      </c>
      <c r="AF141" s="43" t="e">
        <v>#DIV/0!</v>
      </c>
      <c r="AG141" s="43" t="e">
        <v>#DIV/0!</v>
      </c>
      <c r="AH141" s="38">
        <v>45366</v>
      </c>
      <c r="AI141" s="38"/>
      <c r="AJ141" s="38"/>
      <c r="AK141" s="38">
        <v>45397</v>
      </c>
      <c r="AL141" s="38"/>
      <c r="AM141" s="48"/>
      <c r="AN141" s="42"/>
      <c r="AO141" s="42"/>
      <c r="AP141" s="42"/>
      <c r="AQ141" s="42"/>
      <c r="AR141" s="42"/>
      <c r="AS141" s="50"/>
      <c r="AT141" s="39"/>
      <c r="AU141" s="39"/>
      <c r="AV141" s="49"/>
      <c r="AW141" s="39"/>
      <c r="AX141" s="39">
        <v>10</v>
      </c>
      <c r="AY141" s="30">
        <v>25147304</v>
      </c>
      <c r="AZ141" s="42"/>
    </row>
    <row r="142" spans="1:52" ht="41.25" customHeight="1" x14ac:dyDescent="0.25">
      <c r="A142" s="37" t="s">
        <v>2068</v>
      </c>
      <c r="B142" s="38">
        <v>45337</v>
      </c>
      <c r="C142" s="39">
        <v>1416</v>
      </c>
      <c r="D142" s="37"/>
      <c r="E142" s="41" t="s">
        <v>2069</v>
      </c>
      <c r="F142" s="38"/>
      <c r="G142" s="39"/>
      <c r="H142" s="42"/>
      <c r="I142" s="36" t="s">
        <v>2070</v>
      </c>
      <c r="J142" s="43">
        <v>661467276.47000003</v>
      </c>
      <c r="K142" s="43">
        <v>0</v>
      </c>
      <c r="L142" s="56">
        <v>0</v>
      </c>
      <c r="M142" s="56">
        <v>0</v>
      </c>
      <c r="N142" s="44">
        <v>100</v>
      </c>
      <c r="O142" s="45">
        <v>661467276.47000003</v>
      </c>
      <c r="P142" s="43"/>
      <c r="Q142" s="45">
        <v>661467276.47000003</v>
      </c>
      <c r="R142" s="43">
        <v>0</v>
      </c>
      <c r="S142" s="30">
        <v>0</v>
      </c>
      <c r="T142" s="30">
        <v>0</v>
      </c>
      <c r="U142" s="30" t="e">
        <v>#DIV/0!</v>
      </c>
      <c r="V142" s="43" t="e">
        <v>#DIV/0!</v>
      </c>
      <c r="W142" s="43" t="e">
        <v>#DIV/0!</v>
      </c>
      <c r="X142" s="43">
        <v>0</v>
      </c>
      <c r="Y142" s="43">
        <v>0</v>
      </c>
      <c r="Z142" s="43">
        <v>0</v>
      </c>
      <c r="AA142" s="43">
        <v>0</v>
      </c>
      <c r="AB142" s="43"/>
      <c r="AC142" s="43" t="e">
        <v>#DIV/0!</v>
      </c>
      <c r="AD142" s="43"/>
      <c r="AE142" s="43" t="e">
        <v>#DIV/0!</v>
      </c>
      <c r="AF142" s="43" t="e">
        <v>#DIV/0!</v>
      </c>
      <c r="AG142" s="43" t="e">
        <v>#DIV/0!</v>
      </c>
      <c r="AH142" s="38">
        <v>45474</v>
      </c>
      <c r="AI142" s="38"/>
      <c r="AJ142" s="38"/>
      <c r="AK142" s="38"/>
      <c r="AL142" s="38"/>
      <c r="AM142" s="48"/>
      <c r="AN142" s="42"/>
      <c r="AO142" s="42"/>
      <c r="AP142" s="42"/>
      <c r="AQ142" s="42"/>
      <c r="AR142" s="42"/>
      <c r="AS142" s="50"/>
      <c r="AT142" s="39"/>
      <c r="AU142" s="39"/>
      <c r="AV142" s="49"/>
      <c r="AW142" s="39"/>
      <c r="AX142" s="39">
        <v>10</v>
      </c>
      <c r="AY142" s="30">
        <v>66146727.647000007</v>
      </c>
      <c r="AZ142" s="42"/>
    </row>
    <row r="143" spans="1:52" ht="41.25" customHeight="1" x14ac:dyDescent="0.25">
      <c r="A143" s="37" t="s">
        <v>2077</v>
      </c>
      <c r="B143" s="38">
        <v>45337</v>
      </c>
      <c r="C143" s="39">
        <v>1416</v>
      </c>
      <c r="D143" s="37"/>
      <c r="E143" s="41" t="s">
        <v>2078</v>
      </c>
      <c r="F143" s="38"/>
      <c r="G143" s="39"/>
      <c r="H143" s="42"/>
      <c r="I143" s="36" t="s">
        <v>2079</v>
      </c>
      <c r="J143" s="43">
        <v>626565718.35000002</v>
      </c>
      <c r="K143" s="43">
        <v>0</v>
      </c>
      <c r="L143" s="56">
        <v>0</v>
      </c>
      <c r="M143" s="56">
        <v>0</v>
      </c>
      <c r="N143" s="44">
        <v>100</v>
      </c>
      <c r="O143" s="45">
        <v>626565718.35000002</v>
      </c>
      <c r="P143" s="43"/>
      <c r="Q143" s="45">
        <v>626565718.35000002</v>
      </c>
      <c r="R143" s="43">
        <v>0</v>
      </c>
      <c r="S143" s="30">
        <v>0</v>
      </c>
      <c r="T143" s="30">
        <v>0</v>
      </c>
      <c r="U143" s="30" t="e">
        <v>#DIV/0!</v>
      </c>
      <c r="V143" s="43" t="e">
        <v>#DIV/0!</v>
      </c>
      <c r="W143" s="43" t="e">
        <v>#DIV/0!</v>
      </c>
      <c r="X143" s="43">
        <v>0</v>
      </c>
      <c r="Y143" s="43">
        <v>0</v>
      </c>
      <c r="Z143" s="43">
        <v>0</v>
      </c>
      <c r="AA143" s="43">
        <v>0</v>
      </c>
      <c r="AB143" s="43"/>
      <c r="AC143" s="43" t="e">
        <v>#DIV/0!</v>
      </c>
      <c r="AD143" s="43"/>
      <c r="AE143" s="43" t="e">
        <v>#DIV/0!</v>
      </c>
      <c r="AF143" s="43" t="e">
        <v>#DIV/0!</v>
      </c>
      <c r="AG143" s="43" t="e">
        <v>#DIV/0!</v>
      </c>
      <c r="AH143" s="38">
        <v>45413</v>
      </c>
      <c r="AI143" s="38"/>
      <c r="AJ143" s="38"/>
      <c r="AK143" s="38"/>
      <c r="AL143" s="38"/>
      <c r="AM143" s="48"/>
      <c r="AN143" s="42"/>
      <c r="AO143" s="42"/>
      <c r="AP143" s="42"/>
      <c r="AQ143" s="42"/>
      <c r="AR143" s="42"/>
      <c r="AS143" s="50"/>
      <c r="AT143" s="39"/>
      <c r="AU143" s="39"/>
      <c r="AV143" s="49"/>
      <c r="AW143" s="39"/>
      <c r="AX143" s="39">
        <v>10</v>
      </c>
      <c r="AY143" s="30">
        <v>62656571.835000001</v>
      </c>
      <c r="AZ143" s="42"/>
    </row>
    <row r="144" spans="1:52" ht="41.25" customHeight="1" x14ac:dyDescent="0.25">
      <c r="A144" s="37" t="s">
        <v>2080</v>
      </c>
      <c r="B144" s="38">
        <v>45337</v>
      </c>
      <c r="C144" s="42" t="s">
        <v>2081</v>
      </c>
      <c r="D144" s="37" t="s">
        <v>434</v>
      </c>
      <c r="E144" s="41" t="s">
        <v>2082</v>
      </c>
      <c r="F144" s="37" t="s">
        <v>434</v>
      </c>
      <c r="G144" s="37" t="s">
        <v>434</v>
      </c>
      <c r="H144" s="37" t="s">
        <v>434</v>
      </c>
      <c r="I144" s="36" t="s">
        <v>2070</v>
      </c>
      <c r="J144" s="43">
        <v>9023426.2799999993</v>
      </c>
      <c r="K144" s="43">
        <v>0</v>
      </c>
      <c r="L144" s="56">
        <v>0</v>
      </c>
      <c r="M144" s="56">
        <v>0</v>
      </c>
      <c r="N144" s="44">
        <v>100</v>
      </c>
      <c r="O144" s="45">
        <v>9023426.2799999993</v>
      </c>
      <c r="P144" s="43"/>
      <c r="Q144" s="45">
        <v>9023426.2799999993</v>
      </c>
      <c r="R144" s="43">
        <v>0</v>
      </c>
      <c r="S144" s="30">
        <v>0</v>
      </c>
      <c r="T144" s="30">
        <v>0</v>
      </c>
      <c r="U144" s="30" t="e">
        <v>#DIV/0!</v>
      </c>
      <c r="V144" s="43" t="e">
        <v>#DIV/0!</v>
      </c>
      <c r="W144" s="43" t="e">
        <v>#DIV/0!</v>
      </c>
      <c r="X144" s="43">
        <v>0</v>
      </c>
      <c r="Y144" s="43">
        <v>0</v>
      </c>
      <c r="Z144" s="43">
        <v>0</v>
      </c>
      <c r="AA144" s="43">
        <v>0</v>
      </c>
      <c r="AB144" s="43"/>
      <c r="AC144" s="43" t="e">
        <v>#DIV/0!</v>
      </c>
      <c r="AD144" s="43"/>
      <c r="AE144" s="43" t="e">
        <v>#DIV/0!</v>
      </c>
      <c r="AF144" s="43" t="e">
        <v>#DIV/0!</v>
      </c>
      <c r="AG144" s="43" t="e">
        <v>#DIV/0!</v>
      </c>
      <c r="AH144" s="38">
        <v>45474</v>
      </c>
      <c r="AI144" s="38"/>
      <c r="AJ144" s="38"/>
      <c r="AK144" s="38"/>
      <c r="AL144" s="38"/>
      <c r="AM144" s="48"/>
      <c r="AN144" s="42"/>
      <c r="AO144" s="42"/>
      <c r="AP144" s="42"/>
      <c r="AQ144" s="42"/>
      <c r="AR144" s="42"/>
      <c r="AS144" s="50"/>
      <c r="AT144" s="39"/>
      <c r="AU144" s="39"/>
      <c r="AV144" s="49"/>
      <c r="AW144" s="39"/>
      <c r="AX144" s="39">
        <v>10</v>
      </c>
      <c r="AY144" s="30">
        <v>902342.62800000003</v>
      </c>
      <c r="AZ144" s="42" t="s">
        <v>434</v>
      </c>
    </row>
    <row r="145" spans="1:52" ht="41.25" customHeight="1" x14ac:dyDescent="0.25">
      <c r="A145" s="37" t="s">
        <v>2083</v>
      </c>
      <c r="B145" s="38">
        <v>45337</v>
      </c>
      <c r="C145" s="42" t="s">
        <v>2081</v>
      </c>
      <c r="D145" s="37" t="s">
        <v>434</v>
      </c>
      <c r="E145" s="41" t="s">
        <v>2084</v>
      </c>
      <c r="F145" s="37" t="s">
        <v>434</v>
      </c>
      <c r="G145" s="37" t="s">
        <v>434</v>
      </c>
      <c r="H145" s="37" t="s">
        <v>434</v>
      </c>
      <c r="I145" s="36" t="s">
        <v>2085</v>
      </c>
      <c r="J145" s="43">
        <v>62977.5</v>
      </c>
      <c r="K145" s="43">
        <v>0</v>
      </c>
      <c r="L145" s="56">
        <v>0</v>
      </c>
      <c r="M145" s="56">
        <v>0</v>
      </c>
      <c r="N145" s="44">
        <v>100</v>
      </c>
      <c r="O145" s="45">
        <v>62977.5</v>
      </c>
      <c r="P145" s="43"/>
      <c r="Q145" s="45">
        <v>62977.5</v>
      </c>
      <c r="R145" s="43">
        <v>0</v>
      </c>
      <c r="S145" s="30">
        <v>0</v>
      </c>
      <c r="T145" s="30">
        <v>0</v>
      </c>
      <c r="U145" s="30" t="e">
        <v>#DIV/0!</v>
      </c>
      <c r="V145" s="43" t="e">
        <v>#DIV/0!</v>
      </c>
      <c r="W145" s="43" t="e">
        <v>#DIV/0!</v>
      </c>
      <c r="X145" s="43">
        <v>0</v>
      </c>
      <c r="Y145" s="43">
        <v>0</v>
      </c>
      <c r="Z145" s="43">
        <v>0</v>
      </c>
      <c r="AA145" s="43">
        <v>0</v>
      </c>
      <c r="AB145" s="43"/>
      <c r="AC145" s="43" t="e">
        <v>#DIV/0!</v>
      </c>
      <c r="AD145" s="43"/>
      <c r="AE145" s="43" t="e">
        <v>#DIV/0!</v>
      </c>
      <c r="AF145" s="43" t="e">
        <v>#DIV/0!</v>
      </c>
      <c r="AG145" s="43" t="e">
        <v>#DIV/0!</v>
      </c>
      <c r="AH145" s="38">
        <v>45397</v>
      </c>
      <c r="AI145" s="38"/>
      <c r="AJ145" s="38"/>
      <c r="AK145" s="38"/>
      <c r="AL145" s="38"/>
      <c r="AM145" s="48"/>
      <c r="AN145" s="42"/>
      <c r="AO145" s="42"/>
      <c r="AP145" s="42"/>
      <c r="AQ145" s="42"/>
      <c r="AR145" s="42"/>
      <c r="AS145" s="50"/>
      <c r="AT145" s="39"/>
      <c r="AU145" s="39"/>
      <c r="AV145" s="49"/>
      <c r="AW145" s="39"/>
      <c r="AX145" s="39">
        <v>10</v>
      </c>
      <c r="AY145" s="30">
        <v>6297.75</v>
      </c>
      <c r="AZ145" s="42" t="s">
        <v>434</v>
      </c>
    </row>
    <row r="146" spans="1:52" ht="41.25" customHeight="1" x14ac:dyDescent="0.25">
      <c r="A146" s="37" t="s">
        <v>2091</v>
      </c>
      <c r="B146" s="38">
        <v>45337</v>
      </c>
      <c r="C146" s="42" t="s">
        <v>2081</v>
      </c>
      <c r="D146" s="37"/>
      <c r="E146" s="41" t="s">
        <v>2092</v>
      </c>
      <c r="F146" s="38"/>
      <c r="G146" s="39"/>
      <c r="H146" s="42"/>
      <c r="I146" s="36" t="s">
        <v>2079</v>
      </c>
      <c r="J146" s="43">
        <v>3802660.95</v>
      </c>
      <c r="K146" s="43">
        <v>0</v>
      </c>
      <c r="L146" s="56">
        <v>0</v>
      </c>
      <c r="M146" s="56">
        <v>0</v>
      </c>
      <c r="N146" s="44">
        <v>100</v>
      </c>
      <c r="O146" s="45">
        <v>3802660.95</v>
      </c>
      <c r="P146" s="43"/>
      <c r="Q146" s="45">
        <v>3802660.95</v>
      </c>
      <c r="R146" s="43">
        <v>0</v>
      </c>
      <c r="S146" s="30">
        <v>0</v>
      </c>
      <c r="T146" s="30">
        <v>0</v>
      </c>
      <c r="U146" s="30" t="e">
        <v>#DIV/0!</v>
      </c>
      <c r="V146" s="43" t="e">
        <v>#DIV/0!</v>
      </c>
      <c r="W146" s="43" t="e">
        <v>#DIV/0!</v>
      </c>
      <c r="X146" s="43">
        <v>0</v>
      </c>
      <c r="Y146" s="43">
        <v>0</v>
      </c>
      <c r="Z146" s="43">
        <v>0</v>
      </c>
      <c r="AA146" s="43">
        <v>0</v>
      </c>
      <c r="AB146" s="43"/>
      <c r="AC146" s="43" t="e">
        <v>#DIV/0!</v>
      </c>
      <c r="AD146" s="43"/>
      <c r="AE146" s="43" t="e">
        <v>#DIV/0!</v>
      </c>
      <c r="AF146" s="43" t="e">
        <v>#DIV/0!</v>
      </c>
      <c r="AG146" s="43" t="e">
        <v>#DIV/0!</v>
      </c>
      <c r="AH146" s="38">
        <v>45413</v>
      </c>
      <c r="AI146" s="38"/>
      <c r="AJ146" s="38"/>
      <c r="AK146" s="38"/>
      <c r="AL146" s="38"/>
      <c r="AM146" s="48"/>
      <c r="AN146" s="42"/>
      <c r="AO146" s="42"/>
      <c r="AP146" s="42"/>
      <c r="AQ146" s="42"/>
      <c r="AR146" s="42"/>
      <c r="AS146" s="50"/>
      <c r="AT146" s="39"/>
      <c r="AU146" s="39"/>
      <c r="AV146" s="49"/>
      <c r="AW146" s="39"/>
      <c r="AX146" s="39">
        <v>10</v>
      </c>
      <c r="AY146" s="30">
        <v>380266.09499999997</v>
      </c>
      <c r="AZ146" s="42"/>
    </row>
    <row r="147" spans="1:52" ht="41.25" customHeight="1" x14ac:dyDescent="0.25">
      <c r="A147" s="61" t="s">
        <v>2097</v>
      </c>
      <c r="B147" s="62">
        <v>45338</v>
      </c>
      <c r="C147" s="39">
        <v>1416</v>
      </c>
      <c r="D147" s="37"/>
      <c r="E147" s="42"/>
      <c r="F147" s="38"/>
      <c r="G147" s="39"/>
      <c r="H147" s="42"/>
      <c r="I147" s="64" t="s">
        <v>1041</v>
      </c>
      <c r="J147" s="63">
        <v>2708640</v>
      </c>
      <c r="K147" s="43"/>
      <c r="L147" s="56"/>
      <c r="M147" s="56"/>
      <c r="N147" s="44"/>
      <c r="O147" s="45"/>
      <c r="P147" s="43"/>
      <c r="Q147" s="45"/>
      <c r="R147" s="43"/>
      <c r="S147" s="30"/>
      <c r="T147" s="30"/>
      <c r="U147" s="30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38">
        <v>45474</v>
      </c>
      <c r="AI147" s="38"/>
      <c r="AJ147" s="38"/>
      <c r="AK147" s="38"/>
      <c r="AL147" s="38"/>
      <c r="AM147" s="48"/>
      <c r="AN147" s="42"/>
      <c r="AO147" s="42"/>
      <c r="AP147" s="42"/>
      <c r="AQ147" s="42"/>
      <c r="AR147" s="42"/>
      <c r="AS147" s="50"/>
      <c r="AT147" s="39"/>
      <c r="AU147" s="39"/>
      <c r="AV147" s="49"/>
      <c r="AW147" s="39"/>
      <c r="AX147" s="39"/>
      <c r="AY147" s="30"/>
      <c r="AZ147" s="42"/>
    </row>
    <row r="148" spans="1:52" ht="48" customHeight="1" x14ac:dyDescent="0.25">
      <c r="A148" s="61" t="s">
        <v>2114</v>
      </c>
      <c r="B148" s="62">
        <v>45341</v>
      </c>
      <c r="C148" s="39">
        <v>1416</v>
      </c>
      <c r="D148" s="37"/>
      <c r="E148" s="42"/>
      <c r="F148" s="38"/>
      <c r="G148" s="39"/>
      <c r="H148" s="42"/>
      <c r="I148" s="64" t="s">
        <v>2115</v>
      </c>
      <c r="J148" s="63">
        <v>454968600</v>
      </c>
      <c r="K148" s="43">
        <v>0</v>
      </c>
      <c r="L148" s="56">
        <v>0</v>
      </c>
      <c r="M148" s="56">
        <v>0</v>
      </c>
      <c r="N148" s="44">
        <v>100</v>
      </c>
      <c r="O148" s="45">
        <v>454968600</v>
      </c>
      <c r="P148" s="43"/>
      <c r="Q148" s="45">
        <v>454968600</v>
      </c>
      <c r="R148" s="43">
        <v>0</v>
      </c>
      <c r="S148" s="30">
        <v>0</v>
      </c>
      <c r="T148" s="30">
        <v>0</v>
      </c>
      <c r="U148" s="30" t="e">
        <v>#DIV/0!</v>
      </c>
      <c r="V148" s="43" t="e">
        <v>#DIV/0!</v>
      </c>
      <c r="W148" s="43" t="e">
        <v>#DIV/0!</v>
      </c>
      <c r="X148" s="43">
        <v>0</v>
      </c>
      <c r="Y148" s="43">
        <v>0</v>
      </c>
      <c r="Z148" s="43">
        <v>0</v>
      </c>
      <c r="AA148" s="43">
        <v>0</v>
      </c>
      <c r="AB148" s="43"/>
      <c r="AC148" s="43" t="e">
        <v>#DIV/0!</v>
      </c>
      <c r="AD148" s="43"/>
      <c r="AE148" s="43" t="e">
        <v>#DIV/0!</v>
      </c>
      <c r="AF148" s="43" t="e">
        <v>#DIV/0!</v>
      </c>
      <c r="AG148" s="43" t="e">
        <v>#DIV/0!</v>
      </c>
      <c r="AH148" s="38">
        <v>45397</v>
      </c>
      <c r="AI148" s="38">
        <v>45443</v>
      </c>
      <c r="AJ148" s="38"/>
      <c r="AK148" s="38"/>
      <c r="AL148" s="38"/>
      <c r="AM148" s="48"/>
      <c r="AN148" s="42"/>
      <c r="AO148" s="42"/>
      <c r="AP148" s="42"/>
      <c r="AQ148" s="42"/>
      <c r="AR148" s="42"/>
      <c r="AS148" s="50"/>
      <c r="AT148" s="39"/>
      <c r="AU148" s="39"/>
      <c r="AV148" s="49"/>
      <c r="AW148" s="39"/>
      <c r="AX148" s="39">
        <v>10</v>
      </c>
      <c r="AY148" s="30">
        <v>45496860</v>
      </c>
      <c r="AZ148" s="42"/>
    </row>
    <row r="149" spans="1:52" ht="48" customHeight="1" x14ac:dyDescent="0.25">
      <c r="A149" s="61" t="s">
        <v>2116</v>
      </c>
      <c r="B149" s="62">
        <v>45341</v>
      </c>
      <c r="C149" s="39">
        <v>1416</v>
      </c>
      <c r="D149" s="37"/>
      <c r="E149" s="42"/>
      <c r="F149" s="38"/>
      <c r="G149" s="39"/>
      <c r="H149" s="42"/>
      <c r="I149" s="64" t="s">
        <v>2085</v>
      </c>
      <c r="J149" s="63">
        <v>6465690</v>
      </c>
      <c r="K149" s="43">
        <v>0</v>
      </c>
      <c r="L149" s="56">
        <v>0</v>
      </c>
      <c r="M149" s="56">
        <v>0</v>
      </c>
      <c r="N149" s="44">
        <v>100</v>
      </c>
      <c r="O149" s="45">
        <v>6465690</v>
      </c>
      <c r="P149" s="43"/>
      <c r="Q149" s="45">
        <v>6465690</v>
      </c>
      <c r="R149" s="43">
        <v>0</v>
      </c>
      <c r="S149" s="30">
        <v>0</v>
      </c>
      <c r="T149" s="30">
        <v>0</v>
      </c>
      <c r="U149" s="30" t="e">
        <v>#DIV/0!</v>
      </c>
      <c r="V149" s="43" t="e">
        <v>#DIV/0!</v>
      </c>
      <c r="W149" s="43" t="e">
        <v>#DIV/0!</v>
      </c>
      <c r="X149" s="43">
        <v>0</v>
      </c>
      <c r="Y149" s="43">
        <v>0</v>
      </c>
      <c r="Z149" s="43">
        <v>0</v>
      </c>
      <c r="AA149" s="43">
        <v>0</v>
      </c>
      <c r="AB149" s="43"/>
      <c r="AC149" s="43" t="e">
        <v>#DIV/0!</v>
      </c>
      <c r="AD149" s="43"/>
      <c r="AE149" s="43" t="e">
        <v>#DIV/0!</v>
      </c>
      <c r="AF149" s="43" t="e">
        <v>#DIV/0!</v>
      </c>
      <c r="AG149" s="43" t="e">
        <v>#DIV/0!</v>
      </c>
      <c r="AH149" s="38">
        <v>45397</v>
      </c>
      <c r="AI149" s="38"/>
      <c r="AJ149" s="38"/>
      <c r="AK149" s="38"/>
      <c r="AL149" s="38"/>
      <c r="AM149" s="48"/>
      <c r="AN149" s="42"/>
      <c r="AO149" s="42"/>
      <c r="AP149" s="42"/>
      <c r="AQ149" s="42"/>
      <c r="AR149" s="42"/>
      <c r="AS149" s="50"/>
      <c r="AT149" s="39"/>
      <c r="AU149" s="39"/>
      <c r="AV149" s="49"/>
      <c r="AW149" s="39"/>
      <c r="AX149" s="39">
        <v>10</v>
      </c>
      <c r="AY149" s="30">
        <v>646569</v>
      </c>
      <c r="AZ149" s="42"/>
    </row>
    <row r="150" spans="1:52" ht="48" customHeight="1" x14ac:dyDescent="0.25">
      <c r="A150" s="61" t="s">
        <v>2117</v>
      </c>
      <c r="B150" s="62">
        <v>45341</v>
      </c>
      <c r="C150" s="39">
        <v>1416</v>
      </c>
      <c r="D150" s="37"/>
      <c r="E150" s="42"/>
      <c r="F150" s="38"/>
      <c r="G150" s="39"/>
      <c r="H150" s="42"/>
      <c r="I150" s="64" t="s">
        <v>2118</v>
      </c>
      <c r="J150" s="63">
        <v>680150160</v>
      </c>
      <c r="K150" s="43">
        <v>0</v>
      </c>
      <c r="L150" s="56">
        <v>0</v>
      </c>
      <c r="M150" s="56">
        <v>0</v>
      </c>
      <c r="N150" s="44">
        <v>100</v>
      </c>
      <c r="O150" s="45">
        <v>680150160</v>
      </c>
      <c r="P150" s="43"/>
      <c r="Q150" s="45">
        <v>680150160</v>
      </c>
      <c r="R150" s="43">
        <v>0</v>
      </c>
      <c r="S150" s="30">
        <v>0</v>
      </c>
      <c r="T150" s="30">
        <v>0</v>
      </c>
      <c r="U150" s="30" t="e">
        <v>#DIV/0!</v>
      </c>
      <c r="V150" s="43" t="e">
        <v>#DIV/0!</v>
      </c>
      <c r="W150" s="43" t="e">
        <v>#DIV/0!</v>
      </c>
      <c r="X150" s="43">
        <v>0</v>
      </c>
      <c r="Y150" s="43">
        <v>0</v>
      </c>
      <c r="Z150" s="43">
        <v>0</v>
      </c>
      <c r="AA150" s="43">
        <v>0</v>
      </c>
      <c r="AB150" s="43"/>
      <c r="AC150" s="43" t="e">
        <v>#DIV/0!</v>
      </c>
      <c r="AD150" s="43"/>
      <c r="AE150" s="43" t="e">
        <v>#DIV/0!</v>
      </c>
      <c r="AF150" s="43" t="e">
        <v>#DIV/0!</v>
      </c>
      <c r="AG150" s="43" t="e">
        <v>#DIV/0!</v>
      </c>
      <c r="AH150" s="38">
        <v>45397</v>
      </c>
      <c r="AI150" s="38"/>
      <c r="AJ150" s="38"/>
      <c r="AK150" s="38"/>
      <c r="AL150" s="38"/>
      <c r="AM150" s="48"/>
      <c r="AN150" s="42"/>
      <c r="AO150" s="42"/>
      <c r="AP150" s="42"/>
      <c r="AQ150" s="42"/>
      <c r="AR150" s="42"/>
      <c r="AS150" s="50"/>
      <c r="AT150" s="39"/>
      <c r="AU150" s="39"/>
      <c r="AV150" s="49"/>
      <c r="AW150" s="39"/>
      <c r="AX150" s="39">
        <v>10</v>
      </c>
      <c r="AY150" s="30">
        <v>68015016</v>
      </c>
      <c r="AZ150" s="42"/>
    </row>
    <row r="151" spans="1:52" ht="48" customHeight="1" x14ac:dyDescent="0.25">
      <c r="A151" s="61" t="s">
        <v>2141</v>
      </c>
      <c r="B151" s="62">
        <v>45343</v>
      </c>
      <c r="C151" s="39">
        <v>1416</v>
      </c>
      <c r="D151" s="37"/>
      <c r="E151" s="42"/>
      <c r="F151" s="38"/>
      <c r="G151" s="39"/>
      <c r="H151" s="42"/>
      <c r="I151" s="64" t="s">
        <v>2142</v>
      </c>
      <c r="J151" s="63">
        <v>2041600</v>
      </c>
      <c r="K151" s="43">
        <v>0</v>
      </c>
      <c r="L151" s="56">
        <v>0</v>
      </c>
      <c r="M151" s="56">
        <v>0</v>
      </c>
      <c r="N151" s="44">
        <v>100</v>
      </c>
      <c r="O151" s="45">
        <v>2041600</v>
      </c>
      <c r="P151" s="43"/>
      <c r="Q151" s="45">
        <v>2041600</v>
      </c>
      <c r="R151" s="43">
        <v>0</v>
      </c>
      <c r="S151" s="30">
        <v>0</v>
      </c>
      <c r="T151" s="30">
        <v>0</v>
      </c>
      <c r="U151" s="30" t="e">
        <v>#DIV/0!</v>
      </c>
      <c r="V151" s="43" t="e">
        <v>#DIV/0!</v>
      </c>
      <c r="W151" s="43" t="e">
        <v>#DIV/0!</v>
      </c>
      <c r="X151" s="43">
        <v>0</v>
      </c>
      <c r="Y151" s="43">
        <v>0</v>
      </c>
      <c r="Z151" s="43">
        <v>0</v>
      </c>
      <c r="AA151" s="43">
        <v>0</v>
      </c>
      <c r="AB151" s="43"/>
      <c r="AC151" s="43" t="e">
        <v>#DIV/0!</v>
      </c>
      <c r="AD151" s="43"/>
      <c r="AE151" s="43" t="e">
        <v>#DIV/0!</v>
      </c>
      <c r="AF151" s="43" t="e">
        <v>#DIV/0!</v>
      </c>
      <c r="AG151" s="43" t="e">
        <v>#DIV/0!</v>
      </c>
      <c r="AH151" s="38">
        <v>45397</v>
      </c>
      <c r="AI151" s="38"/>
      <c r="AJ151" s="38"/>
      <c r="AK151" s="38"/>
      <c r="AL151" s="38"/>
      <c r="AM151" s="48"/>
      <c r="AN151" s="42"/>
      <c r="AO151" s="42"/>
      <c r="AP151" s="42"/>
      <c r="AQ151" s="42"/>
      <c r="AR151" s="42"/>
      <c r="AS151" s="50"/>
      <c r="AT151" s="39"/>
      <c r="AU151" s="39"/>
      <c r="AV151" s="49"/>
      <c r="AW151" s="39"/>
      <c r="AX151" s="39">
        <v>10</v>
      </c>
      <c r="AY151" s="30">
        <v>204160</v>
      </c>
      <c r="AZ151" s="42"/>
    </row>
    <row r="152" spans="1:52" ht="39" customHeight="1" x14ac:dyDescent="0.25">
      <c r="A152" s="61" t="s">
        <v>2148</v>
      </c>
      <c r="B152" s="62">
        <v>45343</v>
      </c>
      <c r="C152" s="39">
        <v>1416</v>
      </c>
      <c r="D152" s="37"/>
      <c r="E152" s="42"/>
      <c r="F152" s="38"/>
      <c r="G152" s="39"/>
      <c r="H152" s="42"/>
      <c r="I152" s="64" t="s">
        <v>2149</v>
      </c>
      <c r="J152" s="63">
        <v>45157260</v>
      </c>
      <c r="K152" s="43">
        <v>0</v>
      </c>
      <c r="L152" s="56">
        <v>0</v>
      </c>
      <c r="M152" s="56">
        <v>0</v>
      </c>
      <c r="N152" s="44">
        <v>100</v>
      </c>
      <c r="O152" s="45">
        <v>45157260</v>
      </c>
      <c r="P152" s="43"/>
      <c r="Q152" s="45">
        <v>45157260</v>
      </c>
      <c r="R152" s="43">
        <v>0</v>
      </c>
      <c r="S152" s="30">
        <v>0</v>
      </c>
      <c r="T152" s="30">
        <v>0</v>
      </c>
      <c r="U152" s="30" t="e">
        <v>#DIV/0!</v>
      </c>
      <c r="V152" s="43" t="e">
        <v>#DIV/0!</v>
      </c>
      <c r="W152" s="43" t="e">
        <v>#DIV/0!</v>
      </c>
      <c r="X152" s="43">
        <v>0</v>
      </c>
      <c r="Y152" s="43">
        <v>0</v>
      </c>
      <c r="Z152" s="43">
        <v>0</v>
      </c>
      <c r="AA152" s="43">
        <v>0</v>
      </c>
      <c r="AB152" s="43"/>
      <c r="AC152" s="43" t="e">
        <v>#DIV/0!</v>
      </c>
      <c r="AD152" s="43"/>
      <c r="AE152" s="43" t="e">
        <v>#DIV/0!</v>
      </c>
      <c r="AF152" s="43" t="e">
        <v>#DIV/0!</v>
      </c>
      <c r="AG152" s="43" t="e">
        <v>#DIV/0!</v>
      </c>
      <c r="AH152" s="38">
        <v>45397</v>
      </c>
      <c r="AI152" s="38">
        <v>45443</v>
      </c>
      <c r="AJ152" s="38"/>
      <c r="AK152" s="38"/>
      <c r="AL152" s="38"/>
      <c r="AM152" s="48"/>
      <c r="AN152" s="42"/>
      <c r="AO152" s="42"/>
      <c r="AP152" s="42"/>
      <c r="AQ152" s="42"/>
      <c r="AR152" s="42"/>
      <c r="AS152" s="50"/>
      <c r="AT152" s="39"/>
      <c r="AU152" s="39"/>
      <c r="AV152" s="49"/>
      <c r="AW152" s="39"/>
      <c r="AX152" s="39">
        <v>10</v>
      </c>
      <c r="AY152" s="30">
        <v>4515726</v>
      </c>
      <c r="AZ152" s="42"/>
    </row>
    <row r="153" spans="1:52" ht="39" customHeight="1" x14ac:dyDescent="0.25">
      <c r="A153" s="61" t="s">
        <v>2151</v>
      </c>
      <c r="B153" s="62">
        <v>45343</v>
      </c>
      <c r="C153" s="39">
        <v>1416</v>
      </c>
      <c r="D153" s="37"/>
      <c r="E153" s="42"/>
      <c r="F153" s="38"/>
      <c r="G153" s="39"/>
      <c r="H153" s="42"/>
      <c r="I153" s="64" t="s">
        <v>2152</v>
      </c>
      <c r="J153" s="63">
        <v>217068760</v>
      </c>
      <c r="K153" s="43">
        <v>0</v>
      </c>
      <c r="L153" s="56">
        <v>0</v>
      </c>
      <c r="M153" s="56">
        <v>0</v>
      </c>
      <c r="N153" s="44">
        <v>100</v>
      </c>
      <c r="O153" s="45">
        <v>217068760</v>
      </c>
      <c r="P153" s="43"/>
      <c r="Q153" s="45">
        <v>217068760</v>
      </c>
      <c r="R153" s="43">
        <v>0</v>
      </c>
      <c r="S153" s="30">
        <v>0</v>
      </c>
      <c r="T153" s="30">
        <v>0</v>
      </c>
      <c r="U153" s="30" t="e">
        <v>#DIV/0!</v>
      </c>
      <c r="V153" s="43" t="e">
        <v>#DIV/0!</v>
      </c>
      <c r="W153" s="43" t="e">
        <v>#DIV/0!</v>
      </c>
      <c r="X153" s="43">
        <v>0</v>
      </c>
      <c r="Y153" s="43">
        <v>0</v>
      </c>
      <c r="Z153" s="43">
        <v>0</v>
      </c>
      <c r="AA153" s="43">
        <v>0</v>
      </c>
      <c r="AB153" s="43"/>
      <c r="AC153" s="43" t="e">
        <v>#DIV/0!</v>
      </c>
      <c r="AD153" s="43"/>
      <c r="AE153" s="43" t="e">
        <v>#DIV/0!</v>
      </c>
      <c r="AF153" s="43" t="e">
        <v>#DIV/0!</v>
      </c>
      <c r="AG153" s="43" t="e">
        <v>#DIV/0!</v>
      </c>
      <c r="AH153" s="38">
        <v>45397</v>
      </c>
      <c r="AI153" s="38"/>
      <c r="AJ153" s="38"/>
      <c r="AK153" s="38"/>
      <c r="AL153" s="38"/>
      <c r="AM153" s="48"/>
      <c r="AN153" s="42"/>
      <c r="AO153" s="42"/>
      <c r="AP153" s="42"/>
      <c r="AQ153" s="42"/>
      <c r="AR153" s="42"/>
      <c r="AS153" s="50"/>
      <c r="AT153" s="39"/>
      <c r="AU153" s="39"/>
      <c r="AV153" s="49"/>
      <c r="AW153" s="39"/>
      <c r="AX153" s="39">
        <v>10</v>
      </c>
      <c r="AY153" s="30">
        <v>21706876</v>
      </c>
      <c r="AZ153" s="42"/>
    </row>
    <row r="154" spans="1:52" ht="39" customHeight="1" x14ac:dyDescent="0.25">
      <c r="A154" s="61" t="s">
        <v>2153</v>
      </c>
      <c r="B154" s="62">
        <v>45343</v>
      </c>
      <c r="C154" s="39">
        <v>1416</v>
      </c>
      <c r="D154" s="37"/>
      <c r="E154" s="42"/>
      <c r="F154" s="38"/>
      <c r="G154" s="39"/>
      <c r="H154" s="42"/>
      <c r="I154" s="64" t="s">
        <v>2154</v>
      </c>
      <c r="J154" s="63">
        <v>351221410</v>
      </c>
      <c r="K154" s="43">
        <v>0</v>
      </c>
      <c r="L154" s="56">
        <v>0</v>
      </c>
      <c r="M154" s="56">
        <v>0</v>
      </c>
      <c r="N154" s="44">
        <v>100</v>
      </c>
      <c r="O154" s="45">
        <v>351221410</v>
      </c>
      <c r="P154" s="43"/>
      <c r="Q154" s="45">
        <v>351221410</v>
      </c>
      <c r="R154" s="43">
        <v>0</v>
      </c>
      <c r="S154" s="30">
        <v>0</v>
      </c>
      <c r="T154" s="30">
        <v>0</v>
      </c>
      <c r="U154" s="30" t="e">
        <v>#DIV/0!</v>
      </c>
      <c r="V154" s="43" t="e">
        <v>#DIV/0!</v>
      </c>
      <c r="W154" s="43" t="e">
        <v>#DIV/0!</v>
      </c>
      <c r="X154" s="43">
        <v>0</v>
      </c>
      <c r="Y154" s="43">
        <v>0</v>
      </c>
      <c r="Z154" s="43">
        <v>0</v>
      </c>
      <c r="AA154" s="43">
        <v>0</v>
      </c>
      <c r="AB154" s="43"/>
      <c r="AC154" s="43" t="e">
        <v>#DIV/0!</v>
      </c>
      <c r="AD154" s="43"/>
      <c r="AE154" s="43" t="e">
        <v>#DIV/0!</v>
      </c>
      <c r="AF154" s="43" t="e">
        <v>#DIV/0!</v>
      </c>
      <c r="AG154" s="43" t="e">
        <v>#DIV/0!</v>
      </c>
      <c r="AH154" s="38">
        <v>45397</v>
      </c>
      <c r="AI154" s="38"/>
      <c r="AJ154" s="38"/>
      <c r="AK154" s="38"/>
      <c r="AL154" s="38"/>
      <c r="AM154" s="48"/>
      <c r="AN154" s="42"/>
      <c r="AO154" s="42"/>
      <c r="AP154" s="42"/>
      <c r="AQ154" s="42"/>
      <c r="AR154" s="42"/>
      <c r="AS154" s="50"/>
      <c r="AT154" s="39"/>
      <c r="AU154" s="39"/>
      <c r="AV154" s="49"/>
      <c r="AW154" s="39"/>
      <c r="AX154" s="39">
        <v>10</v>
      </c>
      <c r="AY154" s="30">
        <v>35122141</v>
      </c>
      <c r="AZ154" s="42"/>
    </row>
    <row r="155" spans="1:52" ht="39" customHeight="1" x14ac:dyDescent="0.25">
      <c r="A155" s="61" t="s">
        <v>2158</v>
      </c>
      <c r="B155" s="62">
        <v>45343</v>
      </c>
      <c r="C155" s="42" t="s">
        <v>2081</v>
      </c>
      <c r="D155" s="37"/>
      <c r="E155" s="42"/>
      <c r="F155" s="38"/>
      <c r="G155" s="39"/>
      <c r="H155" s="42"/>
      <c r="I155" s="64" t="s">
        <v>1449</v>
      </c>
      <c r="J155" s="63">
        <v>435864</v>
      </c>
      <c r="K155" s="43">
        <v>0</v>
      </c>
      <c r="L155" s="56">
        <v>0</v>
      </c>
      <c r="M155" s="56">
        <v>0</v>
      </c>
      <c r="N155" s="44">
        <v>100</v>
      </c>
      <c r="O155" s="45">
        <v>435864</v>
      </c>
      <c r="P155" s="43"/>
      <c r="Q155" s="45">
        <v>435864</v>
      </c>
      <c r="R155" s="43">
        <v>0</v>
      </c>
      <c r="S155" s="30">
        <v>0</v>
      </c>
      <c r="T155" s="30">
        <v>0</v>
      </c>
      <c r="U155" s="30" t="e">
        <v>#DIV/0!</v>
      </c>
      <c r="V155" s="43" t="e">
        <v>#DIV/0!</v>
      </c>
      <c r="W155" s="43" t="e">
        <v>#DIV/0!</v>
      </c>
      <c r="X155" s="43">
        <v>0</v>
      </c>
      <c r="Y155" s="43">
        <v>0</v>
      </c>
      <c r="Z155" s="43">
        <v>0</v>
      </c>
      <c r="AA155" s="43">
        <v>0</v>
      </c>
      <c r="AB155" s="43"/>
      <c r="AC155" s="43" t="e">
        <v>#DIV/0!</v>
      </c>
      <c r="AD155" s="43"/>
      <c r="AE155" s="43" t="e">
        <v>#DIV/0!</v>
      </c>
      <c r="AF155" s="43" t="e">
        <v>#DIV/0!</v>
      </c>
      <c r="AG155" s="43" t="e">
        <v>#DIV/0!</v>
      </c>
      <c r="AH155" s="38">
        <v>45397</v>
      </c>
      <c r="AI155" s="38"/>
      <c r="AJ155" s="38"/>
      <c r="AK155" s="38"/>
      <c r="AL155" s="38"/>
      <c r="AM155" s="48"/>
      <c r="AN155" s="42"/>
      <c r="AO155" s="42"/>
      <c r="AP155" s="42"/>
      <c r="AQ155" s="42"/>
      <c r="AR155" s="42"/>
      <c r="AS155" s="50"/>
      <c r="AT155" s="39"/>
      <c r="AU155" s="39"/>
      <c r="AV155" s="49"/>
      <c r="AW155" s="39"/>
      <c r="AX155" s="39">
        <v>10</v>
      </c>
      <c r="AY155" s="30">
        <v>43586.400000000001</v>
      </c>
      <c r="AZ155" s="42"/>
    </row>
    <row r="156" spans="1:52" ht="39" customHeight="1" x14ac:dyDescent="0.25">
      <c r="A156" s="61" t="s">
        <v>2159</v>
      </c>
      <c r="B156" s="62">
        <v>45343</v>
      </c>
      <c r="C156" s="39">
        <v>1416</v>
      </c>
      <c r="D156" s="37"/>
      <c r="E156" s="42"/>
      <c r="F156" s="38"/>
      <c r="G156" s="39"/>
      <c r="H156" s="42"/>
      <c r="I156" s="64" t="s">
        <v>2160</v>
      </c>
      <c r="J156" s="63">
        <v>205846080</v>
      </c>
      <c r="K156" s="43">
        <v>0</v>
      </c>
      <c r="L156" s="56">
        <v>0</v>
      </c>
      <c r="M156" s="56">
        <v>0</v>
      </c>
      <c r="N156" s="44">
        <v>100</v>
      </c>
      <c r="O156" s="45">
        <v>205846080</v>
      </c>
      <c r="P156" s="43"/>
      <c r="Q156" s="45">
        <v>205846080</v>
      </c>
      <c r="R156" s="43">
        <v>0</v>
      </c>
      <c r="S156" s="30">
        <v>0</v>
      </c>
      <c r="T156" s="30">
        <v>0</v>
      </c>
      <c r="U156" s="30" t="e">
        <v>#DIV/0!</v>
      </c>
      <c r="V156" s="43" t="e">
        <v>#DIV/0!</v>
      </c>
      <c r="W156" s="43" t="e">
        <v>#DIV/0!</v>
      </c>
      <c r="X156" s="43">
        <v>0</v>
      </c>
      <c r="Y156" s="43">
        <v>0</v>
      </c>
      <c r="Z156" s="43">
        <v>0</v>
      </c>
      <c r="AA156" s="43">
        <v>0</v>
      </c>
      <c r="AB156" s="43"/>
      <c r="AC156" s="43" t="e">
        <v>#DIV/0!</v>
      </c>
      <c r="AD156" s="43"/>
      <c r="AE156" s="43" t="e">
        <v>#DIV/0!</v>
      </c>
      <c r="AF156" s="43" t="e">
        <v>#DIV/0!</v>
      </c>
      <c r="AG156" s="43" t="e">
        <v>#DIV/0!</v>
      </c>
      <c r="AH156" s="38">
        <v>45397</v>
      </c>
      <c r="AI156" s="38"/>
      <c r="AJ156" s="38"/>
      <c r="AK156" s="38"/>
      <c r="AL156" s="38"/>
      <c r="AM156" s="48"/>
      <c r="AN156" s="42"/>
      <c r="AO156" s="42"/>
      <c r="AP156" s="42"/>
      <c r="AQ156" s="42"/>
      <c r="AR156" s="42"/>
      <c r="AS156" s="50"/>
      <c r="AT156" s="39"/>
      <c r="AU156" s="39"/>
      <c r="AV156" s="49"/>
      <c r="AW156" s="39"/>
      <c r="AX156" s="39">
        <v>10</v>
      </c>
      <c r="AY156" s="30">
        <v>20584608</v>
      </c>
      <c r="AZ156" s="42"/>
    </row>
    <row r="157" spans="1:52" ht="39" customHeight="1" x14ac:dyDescent="0.25">
      <c r="A157" s="61" t="s">
        <v>2170</v>
      </c>
      <c r="B157" s="62">
        <v>45343</v>
      </c>
      <c r="C157" s="39">
        <v>1416</v>
      </c>
      <c r="D157" s="37"/>
      <c r="E157" s="42"/>
      <c r="F157" s="38"/>
      <c r="G157" s="39"/>
      <c r="H157" s="42"/>
      <c r="I157" s="64" t="s">
        <v>2171</v>
      </c>
      <c r="J157" s="63">
        <v>194060560</v>
      </c>
      <c r="K157" s="43">
        <v>0</v>
      </c>
      <c r="L157" s="56">
        <v>0</v>
      </c>
      <c r="M157" s="56">
        <v>0</v>
      </c>
      <c r="N157" s="44">
        <v>100</v>
      </c>
      <c r="O157" s="45">
        <v>194060560</v>
      </c>
      <c r="P157" s="43"/>
      <c r="Q157" s="45">
        <v>194060560</v>
      </c>
      <c r="R157" s="43">
        <v>0</v>
      </c>
      <c r="S157" s="30">
        <v>0</v>
      </c>
      <c r="T157" s="30">
        <v>0</v>
      </c>
      <c r="U157" s="30" t="e">
        <v>#DIV/0!</v>
      </c>
      <c r="V157" s="43" t="e">
        <v>#DIV/0!</v>
      </c>
      <c r="W157" s="43" t="e">
        <v>#DIV/0!</v>
      </c>
      <c r="X157" s="43">
        <v>0</v>
      </c>
      <c r="Y157" s="43">
        <v>0</v>
      </c>
      <c r="Z157" s="43">
        <v>0</v>
      </c>
      <c r="AA157" s="43">
        <v>0</v>
      </c>
      <c r="AB157" s="43"/>
      <c r="AC157" s="43" t="e">
        <v>#DIV/0!</v>
      </c>
      <c r="AD157" s="43"/>
      <c r="AE157" s="43" t="e">
        <v>#DIV/0!</v>
      </c>
      <c r="AF157" s="43" t="e">
        <v>#DIV/0!</v>
      </c>
      <c r="AG157" s="43" t="e">
        <v>#DIV/0!</v>
      </c>
      <c r="AH157" s="38">
        <v>45397</v>
      </c>
      <c r="AI157" s="38"/>
      <c r="AJ157" s="38"/>
      <c r="AK157" s="38"/>
      <c r="AL157" s="38"/>
      <c r="AM157" s="48"/>
      <c r="AN157" s="42"/>
      <c r="AO157" s="42"/>
      <c r="AP157" s="42"/>
      <c r="AQ157" s="42"/>
      <c r="AR157" s="42"/>
      <c r="AS157" s="50"/>
      <c r="AT157" s="39"/>
      <c r="AU157" s="39"/>
      <c r="AV157" s="49"/>
      <c r="AW157" s="39"/>
      <c r="AX157" s="39">
        <v>10</v>
      </c>
      <c r="AY157" s="30">
        <v>19406056</v>
      </c>
      <c r="AZ157" s="42"/>
    </row>
    <row r="158" spans="1:52" ht="39" customHeight="1" x14ac:dyDescent="0.25">
      <c r="A158" s="61" t="s">
        <v>2172</v>
      </c>
      <c r="B158" s="62">
        <v>45343</v>
      </c>
      <c r="C158" s="39">
        <v>1416</v>
      </c>
      <c r="D158" s="37"/>
      <c r="E158" s="42"/>
      <c r="F158" s="38"/>
      <c r="G158" s="39"/>
      <c r="H158" s="42"/>
      <c r="I158" s="64" t="s">
        <v>2173</v>
      </c>
      <c r="J158" s="63">
        <v>57676320</v>
      </c>
      <c r="K158" s="43">
        <v>0</v>
      </c>
      <c r="L158" s="56">
        <v>0</v>
      </c>
      <c r="M158" s="56">
        <v>0</v>
      </c>
      <c r="N158" s="44">
        <v>100</v>
      </c>
      <c r="O158" s="45">
        <v>57676320</v>
      </c>
      <c r="P158" s="43"/>
      <c r="Q158" s="45">
        <v>57676320</v>
      </c>
      <c r="R158" s="43">
        <v>0</v>
      </c>
      <c r="S158" s="30">
        <v>0</v>
      </c>
      <c r="T158" s="30">
        <v>0</v>
      </c>
      <c r="U158" s="30" t="e">
        <v>#DIV/0!</v>
      </c>
      <c r="V158" s="43" t="e">
        <v>#DIV/0!</v>
      </c>
      <c r="W158" s="43" t="e">
        <v>#DIV/0!</v>
      </c>
      <c r="X158" s="43">
        <v>0</v>
      </c>
      <c r="Y158" s="43">
        <v>0</v>
      </c>
      <c r="Z158" s="43">
        <v>0</v>
      </c>
      <c r="AA158" s="43">
        <v>0</v>
      </c>
      <c r="AB158" s="43"/>
      <c r="AC158" s="43" t="e">
        <v>#DIV/0!</v>
      </c>
      <c r="AD158" s="43"/>
      <c r="AE158" s="43" t="e">
        <v>#DIV/0!</v>
      </c>
      <c r="AF158" s="43" t="e">
        <v>#DIV/0!</v>
      </c>
      <c r="AG158" s="43" t="e">
        <v>#DIV/0!</v>
      </c>
      <c r="AH158" s="38">
        <v>45397</v>
      </c>
      <c r="AI158" s="38"/>
      <c r="AJ158" s="38"/>
      <c r="AK158" s="38"/>
      <c r="AL158" s="38"/>
      <c r="AM158" s="48"/>
      <c r="AN158" s="42"/>
      <c r="AO158" s="42"/>
      <c r="AP158" s="42"/>
      <c r="AQ158" s="42"/>
      <c r="AR158" s="42"/>
      <c r="AS158" s="50"/>
      <c r="AT158" s="39"/>
      <c r="AU158" s="39"/>
      <c r="AV158" s="49"/>
      <c r="AW158" s="39"/>
      <c r="AX158" s="39">
        <v>10</v>
      </c>
      <c r="AY158" s="30">
        <v>5767632</v>
      </c>
      <c r="AZ158" s="42"/>
    </row>
    <row r="159" spans="1:52" ht="15.75" customHeight="1" x14ac:dyDescent="0.25">
      <c r="A159" s="61" t="s">
        <v>2178</v>
      </c>
      <c r="B159" s="62">
        <v>45344</v>
      </c>
      <c r="C159" s="39">
        <v>1416</v>
      </c>
      <c r="D159" s="37"/>
      <c r="E159" s="42"/>
      <c r="F159" s="38"/>
      <c r="G159" s="39"/>
      <c r="H159" s="42"/>
      <c r="I159" s="64" t="s">
        <v>778</v>
      </c>
      <c r="J159" s="63">
        <v>1175551149.8499999</v>
      </c>
      <c r="K159" s="43">
        <v>0</v>
      </c>
      <c r="L159" s="56">
        <v>0</v>
      </c>
      <c r="M159" s="56">
        <v>0</v>
      </c>
      <c r="N159" s="44">
        <v>100</v>
      </c>
      <c r="O159" s="45">
        <v>1175551149.8499999</v>
      </c>
      <c r="P159" s="43"/>
      <c r="Q159" s="45">
        <v>1175551149.8499999</v>
      </c>
      <c r="R159" s="43">
        <v>0</v>
      </c>
      <c r="S159" s="30">
        <v>0</v>
      </c>
      <c r="T159" s="30">
        <v>0</v>
      </c>
      <c r="U159" s="30" t="e">
        <v>#DIV/0!</v>
      </c>
      <c r="V159" s="43" t="e">
        <v>#DIV/0!</v>
      </c>
      <c r="W159" s="43" t="e">
        <v>#DIV/0!</v>
      </c>
      <c r="X159" s="43">
        <v>0</v>
      </c>
      <c r="Y159" s="43">
        <v>0</v>
      </c>
      <c r="Z159" s="43">
        <v>0</v>
      </c>
      <c r="AA159" s="43">
        <v>0</v>
      </c>
      <c r="AB159" s="43"/>
      <c r="AC159" s="43" t="e">
        <v>#DIV/0!</v>
      </c>
      <c r="AD159" s="43"/>
      <c r="AE159" s="43" t="e">
        <v>#DIV/0!</v>
      </c>
      <c r="AF159" s="43" t="e">
        <v>#DIV/0!</v>
      </c>
      <c r="AG159" s="43" t="e">
        <v>#DIV/0!</v>
      </c>
      <c r="AH159" s="38"/>
      <c r="AI159" s="38"/>
      <c r="AJ159" s="38"/>
      <c r="AK159" s="38"/>
      <c r="AL159" s="38"/>
      <c r="AM159" s="48"/>
      <c r="AN159" s="42"/>
      <c r="AO159" s="42"/>
      <c r="AP159" s="42"/>
      <c r="AQ159" s="42"/>
      <c r="AR159" s="42"/>
      <c r="AS159" s="50"/>
      <c r="AT159" s="39"/>
      <c r="AU159" s="39"/>
      <c r="AV159" s="49"/>
      <c r="AW159" s="39"/>
      <c r="AX159" s="39">
        <v>10</v>
      </c>
      <c r="AY159" s="30">
        <v>117555114.985</v>
      </c>
      <c r="AZ159" s="42"/>
    </row>
    <row r="160" spans="1:52" ht="15.75" customHeight="1" x14ac:dyDescent="0.25">
      <c r="A160" s="61" t="s">
        <v>2181</v>
      </c>
      <c r="B160" s="62">
        <v>45344</v>
      </c>
      <c r="C160" s="39">
        <v>1416</v>
      </c>
      <c r="D160" s="37"/>
      <c r="E160" s="42"/>
      <c r="F160" s="38"/>
      <c r="G160" s="39"/>
      <c r="H160" s="42"/>
      <c r="I160" s="64" t="s">
        <v>2182</v>
      </c>
      <c r="J160" s="63">
        <v>124614128</v>
      </c>
      <c r="K160" s="43">
        <v>0</v>
      </c>
      <c r="L160" s="56">
        <v>0</v>
      </c>
      <c r="M160" s="56">
        <v>0</v>
      </c>
      <c r="N160" s="44">
        <v>100</v>
      </c>
      <c r="O160" s="45">
        <v>124614128</v>
      </c>
      <c r="P160" s="43"/>
      <c r="Q160" s="45">
        <v>124614128</v>
      </c>
      <c r="R160" s="43">
        <v>0</v>
      </c>
      <c r="S160" s="30">
        <v>0</v>
      </c>
      <c r="T160" s="30">
        <v>0</v>
      </c>
      <c r="U160" s="30" t="e">
        <v>#DIV/0!</v>
      </c>
      <c r="V160" s="43" t="e">
        <v>#DIV/0!</v>
      </c>
      <c r="W160" s="43" t="e">
        <v>#DIV/0!</v>
      </c>
      <c r="X160" s="43">
        <v>0</v>
      </c>
      <c r="Y160" s="43">
        <v>0</v>
      </c>
      <c r="Z160" s="43">
        <v>0</v>
      </c>
      <c r="AA160" s="43">
        <v>0</v>
      </c>
      <c r="AB160" s="43"/>
      <c r="AC160" s="43" t="e">
        <v>#DIV/0!</v>
      </c>
      <c r="AD160" s="43"/>
      <c r="AE160" s="43" t="e">
        <v>#DIV/0!</v>
      </c>
      <c r="AF160" s="43" t="e">
        <v>#DIV/0!</v>
      </c>
      <c r="AG160" s="43" t="e">
        <v>#DIV/0!</v>
      </c>
      <c r="AH160" s="38"/>
      <c r="AI160" s="38"/>
      <c r="AJ160" s="38"/>
      <c r="AK160" s="38"/>
      <c r="AL160" s="38"/>
      <c r="AM160" s="48"/>
      <c r="AN160" s="42"/>
      <c r="AO160" s="42"/>
      <c r="AP160" s="42"/>
      <c r="AQ160" s="42"/>
      <c r="AR160" s="42"/>
      <c r="AS160" s="50"/>
      <c r="AT160" s="39"/>
      <c r="AU160" s="39"/>
      <c r="AV160" s="49"/>
      <c r="AW160" s="39"/>
      <c r="AX160" s="39">
        <v>10</v>
      </c>
      <c r="AY160" s="30">
        <v>12461412.800000001</v>
      </c>
      <c r="AZ160" s="42"/>
    </row>
    <row r="161" spans="1:52" ht="15.75" customHeight="1" x14ac:dyDescent="0.25">
      <c r="A161" s="61" t="s">
        <v>2185</v>
      </c>
      <c r="B161" s="62">
        <v>45344</v>
      </c>
      <c r="C161" s="39">
        <v>1416</v>
      </c>
      <c r="D161" s="37"/>
      <c r="E161" s="42"/>
      <c r="F161" s="38"/>
      <c r="G161" s="39"/>
      <c r="H161" s="42"/>
      <c r="I161" s="64" t="s">
        <v>2186</v>
      </c>
      <c r="J161" s="63">
        <v>70148691.599999994</v>
      </c>
      <c r="K161" s="43">
        <v>0</v>
      </c>
      <c r="L161" s="56">
        <v>0</v>
      </c>
      <c r="M161" s="56">
        <v>0</v>
      </c>
      <c r="N161" s="44">
        <v>100</v>
      </c>
      <c r="O161" s="45">
        <v>70148691.599999994</v>
      </c>
      <c r="P161" s="43"/>
      <c r="Q161" s="45">
        <v>70148691.599999994</v>
      </c>
      <c r="R161" s="43">
        <v>0</v>
      </c>
      <c r="S161" s="30">
        <v>0</v>
      </c>
      <c r="T161" s="30">
        <v>0</v>
      </c>
      <c r="U161" s="30" t="e">
        <v>#DIV/0!</v>
      </c>
      <c r="V161" s="43" t="e">
        <v>#DIV/0!</v>
      </c>
      <c r="W161" s="43" t="e">
        <v>#DIV/0!</v>
      </c>
      <c r="X161" s="43">
        <v>0</v>
      </c>
      <c r="Y161" s="43">
        <v>0</v>
      </c>
      <c r="Z161" s="43">
        <v>0</v>
      </c>
      <c r="AA161" s="43">
        <v>0</v>
      </c>
      <c r="AB161" s="43"/>
      <c r="AC161" s="43" t="e">
        <v>#DIV/0!</v>
      </c>
      <c r="AD161" s="43"/>
      <c r="AE161" s="43" t="e">
        <v>#DIV/0!</v>
      </c>
      <c r="AF161" s="43" t="e">
        <v>#DIV/0!</v>
      </c>
      <c r="AG161" s="43" t="e">
        <v>#DIV/0!</v>
      </c>
      <c r="AH161" s="38"/>
      <c r="AI161" s="38"/>
      <c r="AJ161" s="38"/>
      <c r="AK161" s="38"/>
      <c r="AL161" s="38"/>
      <c r="AM161" s="48"/>
      <c r="AN161" s="42"/>
      <c r="AO161" s="42"/>
      <c r="AP161" s="42"/>
      <c r="AQ161" s="42"/>
      <c r="AR161" s="42"/>
      <c r="AS161" s="50"/>
      <c r="AT161" s="39"/>
      <c r="AU161" s="39"/>
      <c r="AV161" s="49"/>
      <c r="AW161" s="39"/>
      <c r="AX161" s="39">
        <v>10</v>
      </c>
      <c r="AY161" s="30">
        <v>7014869.1600000001</v>
      </c>
      <c r="AZ161" s="42"/>
    </row>
    <row r="162" spans="1:52" ht="15.75" customHeight="1" x14ac:dyDescent="0.25">
      <c r="A162" s="61" t="s">
        <v>2189</v>
      </c>
      <c r="B162" s="62">
        <v>45344</v>
      </c>
      <c r="C162" s="39">
        <v>1416</v>
      </c>
      <c r="D162" s="37"/>
      <c r="E162" s="42"/>
      <c r="F162" s="38"/>
      <c r="G162" s="39"/>
      <c r="H162" s="42"/>
      <c r="I162" s="64" t="s">
        <v>1104</v>
      </c>
      <c r="J162" s="63">
        <v>233179952.59999999</v>
      </c>
      <c r="K162" s="43">
        <v>0</v>
      </c>
      <c r="L162" s="56">
        <v>0</v>
      </c>
      <c r="M162" s="56">
        <v>0</v>
      </c>
      <c r="N162" s="44">
        <v>100</v>
      </c>
      <c r="O162" s="45">
        <v>233179952.59999999</v>
      </c>
      <c r="P162" s="43"/>
      <c r="Q162" s="45">
        <v>233179952.59999999</v>
      </c>
      <c r="R162" s="43">
        <v>0</v>
      </c>
      <c r="S162" s="30">
        <v>0</v>
      </c>
      <c r="T162" s="30">
        <v>0</v>
      </c>
      <c r="U162" s="30" t="e">
        <v>#DIV/0!</v>
      </c>
      <c r="V162" s="43" t="e">
        <v>#DIV/0!</v>
      </c>
      <c r="W162" s="43" t="e">
        <v>#DIV/0!</v>
      </c>
      <c r="X162" s="43">
        <v>0</v>
      </c>
      <c r="Y162" s="43">
        <v>0</v>
      </c>
      <c r="Z162" s="43">
        <v>0</v>
      </c>
      <c r="AA162" s="43">
        <v>0</v>
      </c>
      <c r="AB162" s="43"/>
      <c r="AC162" s="43" t="e">
        <v>#DIV/0!</v>
      </c>
      <c r="AD162" s="43"/>
      <c r="AE162" s="43" t="e">
        <v>#DIV/0!</v>
      </c>
      <c r="AF162" s="43" t="e">
        <v>#DIV/0!</v>
      </c>
      <c r="AG162" s="43" t="e">
        <v>#DIV/0!</v>
      </c>
      <c r="AH162" s="38"/>
      <c r="AI162" s="38"/>
      <c r="AJ162" s="38"/>
      <c r="AK162" s="38"/>
      <c r="AL162" s="38"/>
      <c r="AM162" s="48"/>
      <c r="AN162" s="42"/>
      <c r="AO162" s="42"/>
      <c r="AP162" s="42"/>
      <c r="AQ162" s="42"/>
      <c r="AR162" s="42"/>
      <c r="AS162" s="50"/>
      <c r="AT162" s="39"/>
      <c r="AU162" s="39"/>
      <c r="AV162" s="49"/>
      <c r="AW162" s="39"/>
      <c r="AX162" s="39">
        <v>10</v>
      </c>
      <c r="AY162" s="30">
        <v>23317995.260000002</v>
      </c>
      <c r="AZ162" s="42"/>
    </row>
    <row r="163" spans="1:52" ht="15.75" customHeight="1" x14ac:dyDescent="0.25">
      <c r="A163" s="61" t="s">
        <v>2192</v>
      </c>
      <c r="B163" s="62">
        <v>45344</v>
      </c>
      <c r="C163" s="39">
        <v>1416</v>
      </c>
      <c r="D163" s="37"/>
      <c r="E163" s="42"/>
      <c r="F163" s="38"/>
      <c r="G163" s="39"/>
      <c r="H163" s="42"/>
      <c r="I163" s="64" t="s">
        <v>1154</v>
      </c>
      <c r="J163" s="68" t="s">
        <v>2193</v>
      </c>
      <c r="K163" s="43">
        <v>0</v>
      </c>
      <c r="L163" s="56">
        <v>0</v>
      </c>
      <c r="M163" s="56">
        <v>0</v>
      </c>
      <c r="N163" s="44" t="e">
        <v>#VALUE!</v>
      </c>
      <c r="O163" s="45" t="e">
        <v>#VALUE!</v>
      </c>
      <c r="P163" s="43"/>
      <c r="Q163" s="45" t="e">
        <v>#VALUE!</v>
      </c>
      <c r="R163" s="43">
        <v>0</v>
      </c>
      <c r="S163" s="30">
        <v>0</v>
      </c>
      <c r="T163" s="30">
        <v>0</v>
      </c>
      <c r="U163" s="30" t="e">
        <v>#DIV/0!</v>
      </c>
      <c r="V163" s="43" t="e">
        <v>#DIV/0!</v>
      </c>
      <c r="W163" s="43" t="e">
        <v>#DIV/0!</v>
      </c>
      <c r="X163" s="43">
        <v>0</v>
      </c>
      <c r="Y163" s="43">
        <v>0</v>
      </c>
      <c r="Z163" s="43">
        <v>0</v>
      </c>
      <c r="AA163" s="43">
        <v>0</v>
      </c>
      <c r="AB163" s="43"/>
      <c r="AC163" s="43" t="e">
        <v>#DIV/0!</v>
      </c>
      <c r="AD163" s="43"/>
      <c r="AE163" s="43" t="e">
        <v>#DIV/0!</v>
      </c>
      <c r="AF163" s="43" t="e">
        <v>#DIV/0!</v>
      </c>
      <c r="AG163" s="43" t="e">
        <v>#DIV/0!</v>
      </c>
      <c r="AH163" s="38"/>
      <c r="AI163" s="38"/>
      <c r="AJ163" s="38"/>
      <c r="AK163" s="38"/>
      <c r="AL163" s="38"/>
      <c r="AM163" s="48"/>
      <c r="AN163" s="42"/>
      <c r="AO163" s="42"/>
      <c r="AP163" s="42"/>
      <c r="AQ163" s="42"/>
      <c r="AR163" s="42"/>
      <c r="AS163" s="50"/>
      <c r="AT163" s="39"/>
      <c r="AU163" s="39"/>
      <c r="AV163" s="49"/>
      <c r="AW163" s="39"/>
      <c r="AX163" s="39">
        <v>10</v>
      </c>
      <c r="AY163" s="30" t="e">
        <v>#VALUE!</v>
      </c>
      <c r="AZ163" s="42"/>
    </row>
    <row r="164" spans="1:52" ht="15.75" customHeight="1" x14ac:dyDescent="0.25">
      <c r="A164" s="61" t="s">
        <v>2197</v>
      </c>
      <c r="B164" s="62">
        <v>45344</v>
      </c>
      <c r="C164" s="39">
        <v>1416</v>
      </c>
      <c r="D164" s="37"/>
      <c r="E164" s="42"/>
      <c r="F164" s="38"/>
      <c r="G164" s="39"/>
      <c r="H164" s="42"/>
      <c r="I164" s="64" t="s">
        <v>2198</v>
      </c>
      <c r="J164" s="63">
        <v>173661265.13999999</v>
      </c>
      <c r="K164" s="43">
        <v>0</v>
      </c>
      <c r="L164" s="56">
        <v>0</v>
      </c>
      <c r="M164" s="56">
        <v>0</v>
      </c>
      <c r="N164" s="44">
        <v>100</v>
      </c>
      <c r="O164" s="45">
        <v>173661265.13999999</v>
      </c>
      <c r="P164" s="43"/>
      <c r="Q164" s="45">
        <v>173661265.13999999</v>
      </c>
      <c r="R164" s="43">
        <v>0</v>
      </c>
      <c r="S164" s="30">
        <v>0</v>
      </c>
      <c r="T164" s="30">
        <v>0</v>
      </c>
      <c r="U164" s="30" t="e">
        <v>#DIV/0!</v>
      </c>
      <c r="V164" s="43" t="e">
        <v>#DIV/0!</v>
      </c>
      <c r="W164" s="43" t="e">
        <v>#DIV/0!</v>
      </c>
      <c r="X164" s="43">
        <v>0</v>
      </c>
      <c r="Y164" s="43">
        <v>0</v>
      </c>
      <c r="Z164" s="43">
        <v>0</v>
      </c>
      <c r="AA164" s="43">
        <v>0</v>
      </c>
      <c r="AB164" s="43"/>
      <c r="AC164" s="43" t="e">
        <v>#DIV/0!</v>
      </c>
      <c r="AD164" s="43"/>
      <c r="AE164" s="43" t="e">
        <v>#DIV/0!</v>
      </c>
      <c r="AF164" s="43" t="e">
        <v>#DIV/0!</v>
      </c>
      <c r="AG164" s="43" t="e">
        <v>#DIV/0!</v>
      </c>
      <c r="AH164" s="38"/>
      <c r="AI164" s="38"/>
      <c r="AJ164" s="38"/>
      <c r="AK164" s="38"/>
      <c r="AL164" s="38"/>
      <c r="AM164" s="48"/>
      <c r="AN164" s="42"/>
      <c r="AO164" s="42"/>
      <c r="AP164" s="42"/>
      <c r="AQ164" s="42"/>
      <c r="AR164" s="42"/>
      <c r="AS164" s="50"/>
      <c r="AT164" s="39"/>
      <c r="AU164" s="39"/>
      <c r="AV164" s="49"/>
      <c r="AW164" s="39"/>
      <c r="AX164" s="39">
        <v>10</v>
      </c>
      <c r="AY164" s="30">
        <v>17366126.513999999</v>
      </c>
      <c r="AZ164" s="42"/>
    </row>
    <row r="165" spans="1:52" x14ac:dyDescent="0.25">
      <c r="AE165" s="43">
        <f t="shared" ref="AE150:AE187" si="0">AD165*V165</f>
        <v>0</v>
      </c>
    </row>
    <row r="166" spans="1:52" x14ac:dyDescent="0.25">
      <c r="AE166" s="43">
        <f t="shared" si="0"/>
        <v>0</v>
      </c>
    </row>
    <row r="167" spans="1:52" x14ac:dyDescent="0.25">
      <c r="AE167" s="43">
        <f t="shared" si="0"/>
        <v>0</v>
      </c>
    </row>
    <row r="168" spans="1:52" x14ac:dyDescent="0.25">
      <c r="AE168" s="43">
        <f t="shared" si="0"/>
        <v>0</v>
      </c>
    </row>
    <row r="169" spans="1:52" x14ac:dyDescent="0.25">
      <c r="AE169" s="43">
        <f t="shared" si="0"/>
        <v>0</v>
      </c>
    </row>
    <row r="170" spans="1:52" x14ac:dyDescent="0.25">
      <c r="AE170" s="43">
        <f t="shared" si="0"/>
        <v>0</v>
      </c>
    </row>
    <row r="171" spans="1:52" x14ac:dyDescent="0.25">
      <c r="AE171" s="43">
        <f t="shared" si="0"/>
        <v>0</v>
      </c>
    </row>
    <row r="172" spans="1:52" x14ac:dyDescent="0.25">
      <c r="AE172" s="43">
        <f t="shared" si="0"/>
        <v>0</v>
      </c>
    </row>
    <row r="173" spans="1:52" x14ac:dyDescent="0.25">
      <c r="AE173" s="43">
        <f t="shared" si="0"/>
        <v>0</v>
      </c>
    </row>
    <row r="174" spans="1:52" x14ac:dyDescent="0.25">
      <c r="AE174" s="43">
        <f t="shared" si="0"/>
        <v>0</v>
      </c>
    </row>
    <row r="175" spans="1:52" x14ac:dyDescent="0.25">
      <c r="AE175" s="43">
        <f t="shared" si="0"/>
        <v>0</v>
      </c>
    </row>
    <row r="176" spans="1:52" x14ac:dyDescent="0.25">
      <c r="AE176" s="43">
        <f t="shared" si="0"/>
        <v>0</v>
      </c>
    </row>
    <row r="177" spans="31:31" x14ac:dyDescent="0.25">
      <c r="AE177" s="43">
        <f t="shared" si="0"/>
        <v>0</v>
      </c>
    </row>
    <row r="178" spans="31:31" x14ac:dyDescent="0.25">
      <c r="AE178" s="43">
        <f t="shared" si="0"/>
        <v>0</v>
      </c>
    </row>
    <row r="179" spans="31:31" x14ac:dyDescent="0.25">
      <c r="AE179" s="43">
        <f t="shared" si="0"/>
        <v>0</v>
      </c>
    </row>
    <row r="180" spans="31:31" x14ac:dyDescent="0.25">
      <c r="AE180" s="43">
        <f t="shared" si="0"/>
        <v>0</v>
      </c>
    </row>
    <row r="181" spans="31:31" x14ac:dyDescent="0.25">
      <c r="AE181" s="43">
        <f t="shared" si="0"/>
        <v>0</v>
      </c>
    </row>
    <row r="182" spans="31:31" x14ac:dyDescent="0.25">
      <c r="AE182" s="43">
        <f t="shared" si="0"/>
        <v>0</v>
      </c>
    </row>
    <row r="183" spans="31:31" x14ac:dyDescent="0.25">
      <c r="AE183" s="43">
        <f t="shared" si="0"/>
        <v>0</v>
      </c>
    </row>
    <row r="184" spans="31:31" x14ac:dyDescent="0.25">
      <c r="AE184" s="43">
        <f t="shared" si="0"/>
        <v>0</v>
      </c>
    </row>
    <row r="185" spans="31:31" x14ac:dyDescent="0.25">
      <c r="AE185" s="43">
        <f t="shared" si="0"/>
        <v>0</v>
      </c>
    </row>
  </sheetData>
  <autoFilter ref="A2:AZ95" xr:uid="{00000000-0009-0000-0000-000002000000}"/>
  <mergeCells count="24">
    <mergeCell ref="AR1:AR2"/>
    <mergeCell ref="AS1:AS2"/>
    <mergeCell ref="AT1:AT2"/>
    <mergeCell ref="AU1:AU2"/>
    <mergeCell ref="AV1:AV2"/>
    <mergeCell ref="AZ1:AZ2"/>
    <mergeCell ref="U1:U2"/>
    <mergeCell ref="V1:V2"/>
    <mergeCell ref="W1:W2"/>
    <mergeCell ref="AO1:AO2"/>
    <mergeCell ref="AP1:AP2"/>
    <mergeCell ref="AQ1:AQ2"/>
    <mergeCell ref="O1:O2"/>
    <mergeCell ref="P1:P2"/>
    <mergeCell ref="Q1:Q2"/>
    <mergeCell ref="R1:R2"/>
    <mergeCell ref="S1:S2"/>
    <mergeCell ref="T1:T2"/>
    <mergeCell ref="A1:A2"/>
    <mergeCell ref="B1:B2"/>
    <mergeCell ref="C1:C2"/>
    <mergeCell ref="I1:I2"/>
    <mergeCell ref="J1:J2"/>
    <mergeCell ref="N1:N2"/>
  </mergeCells>
  <hyperlinks>
    <hyperlink ref="E11" r:id="rId1" xr:uid="{B1E2BECA-63A3-458C-AAED-4B7749B60F18}"/>
    <hyperlink ref="E20" r:id="rId2" xr:uid="{13B64CC5-550C-4E6B-81BD-158D93F10CF0}"/>
    <hyperlink ref="E4" r:id="rId3" xr:uid="{08F8673E-E6C1-4F91-AF51-2981FA01FC86}"/>
    <hyperlink ref="E3" r:id="rId4" xr:uid="{B9E2DA49-D585-4396-B01A-1073212294C5}"/>
    <hyperlink ref="E26" r:id="rId5" xr:uid="{E9F6850B-787B-499C-A9AD-421E42C4DFCD}"/>
    <hyperlink ref="E5" r:id="rId6" xr:uid="{6E9815C5-5821-4DFE-B84F-311B0EE62F90}"/>
    <hyperlink ref="E31" r:id="rId7" xr:uid="{8F6E2A8B-06C3-4ECF-B7E7-2B96958935B0}"/>
    <hyperlink ref="E32" r:id="rId8" xr:uid="{F64DBB80-8B43-4672-951E-AD94EB753D4E}"/>
    <hyperlink ref="E33" r:id="rId9" xr:uid="{07855256-2386-48FB-8F37-21627CFAA404}"/>
    <hyperlink ref="E34" r:id="rId10" xr:uid="{10C55D92-CDC2-4E14-995A-DC56E758632E}"/>
    <hyperlink ref="E35" r:id="rId11" xr:uid="{A0C8FDB2-0BC8-47D9-A5A3-F6412E1113C5}"/>
    <hyperlink ref="E36" r:id="rId12" xr:uid="{B2AD1C80-69A1-45AF-824F-DCF94028DE36}"/>
    <hyperlink ref="E37" r:id="rId13" xr:uid="{8B7D0014-7709-4969-86B9-E05F1CEF3688}"/>
    <hyperlink ref="E38" r:id="rId14" xr:uid="{4D68A968-D3CB-4D6A-A9AA-281AE00F911B}"/>
    <hyperlink ref="E39" r:id="rId15" xr:uid="{820973FF-1CE0-4BE0-90D6-547E62196634}"/>
    <hyperlink ref="E40" r:id="rId16" xr:uid="{CBE05C94-5C8E-4429-826F-4580DF216B4A}"/>
    <hyperlink ref="E42" r:id="rId17" xr:uid="{0A52A65C-D982-4E66-9516-37E8B5F44E38}"/>
    <hyperlink ref="E43" r:id="rId18" xr:uid="{ECE75AB1-4CBD-42B1-A2B7-0563EFAD2806}"/>
    <hyperlink ref="E41" r:id="rId19" xr:uid="{AFD58A72-5735-4219-A192-810E7A1B0C93}"/>
    <hyperlink ref="E44" r:id="rId20" xr:uid="{071DABFB-6601-4DFF-B180-DC1002F40B40}"/>
    <hyperlink ref="E45" r:id="rId21" xr:uid="{D2D36817-0467-496A-81EC-5D9712878330}"/>
    <hyperlink ref="E46" r:id="rId22" xr:uid="{1B4843D8-FAEC-4228-B131-D4F323E3A54F}"/>
    <hyperlink ref="E48" r:id="rId23" xr:uid="{E9114626-F344-49A5-AF32-748CEFB5675C}"/>
    <hyperlink ref="E47" r:id="rId24" xr:uid="{9D7017E9-8DB2-41AE-891E-FC8204949CD6}"/>
    <hyperlink ref="E49" r:id="rId25" xr:uid="{38D4A926-2E20-4BBE-AFA2-7230950C87D8}"/>
    <hyperlink ref="E50" r:id="rId26" xr:uid="{32822014-44C6-4ED3-B72D-85A2661ACC3D}"/>
    <hyperlink ref="E51" r:id="rId27" xr:uid="{7EA19AAB-DC6F-40A9-A19A-A9FF6EFB204E}"/>
    <hyperlink ref="E52" r:id="rId28" xr:uid="{23B200A5-A0C9-4A91-8B71-1D75A51BE996}"/>
    <hyperlink ref="E53" r:id="rId29" xr:uid="{3B5AC2AA-76E4-4903-8891-CE0F3DE95DDF}"/>
    <hyperlink ref="E54" r:id="rId30" xr:uid="{6F60D21C-9463-40E4-B650-8A13B2768FFA}"/>
    <hyperlink ref="E55" r:id="rId31" xr:uid="{9A8A2B30-786A-44C9-AEF8-DCBE10A2B434}"/>
    <hyperlink ref="E56" r:id="rId32" xr:uid="{3990C1A1-273C-424D-872E-B19B41C8DBEB}"/>
    <hyperlink ref="E57" r:id="rId33" xr:uid="{4DCE92AD-742A-4123-973C-DBABF08C1419}"/>
    <hyperlink ref="E58" r:id="rId34" xr:uid="{7C79F863-47F8-4450-866B-1668BAE59425}"/>
    <hyperlink ref="E59" r:id="rId35" xr:uid="{3BA8F99D-662E-4E2C-9FDF-C353EC717D2A}"/>
    <hyperlink ref="E60" r:id="rId36" xr:uid="{799A64CF-8E0D-4634-9507-90705D85D633}"/>
    <hyperlink ref="E61" r:id="rId37" xr:uid="{6798B1CF-91E5-4C77-AFF9-6A81DAE1639A}"/>
    <hyperlink ref="E62" r:id="rId38" xr:uid="{AE2CA705-5108-41B8-B1BE-D148BA09EFBF}"/>
    <hyperlink ref="E63" r:id="rId39" xr:uid="{BBF378DA-319A-4B4F-BB81-764C5873A3D2}"/>
    <hyperlink ref="E64" r:id="rId40" xr:uid="{A781F6F6-7C45-42DD-B863-C4698A3903C5}"/>
    <hyperlink ref="E65" r:id="rId41" xr:uid="{489D6EB7-1A48-4C2F-9E40-7D2DAF1D7235}"/>
    <hyperlink ref="E66" r:id="rId42" xr:uid="{10EB3E87-42A7-4E35-B08E-60B17AF9A6EB}"/>
    <hyperlink ref="E67" r:id="rId43" xr:uid="{E3E63882-3E9F-46E2-B83E-E19E0C673BAA}"/>
    <hyperlink ref="E68" r:id="rId44" xr:uid="{48AA5E3E-BE9D-4DA8-80F1-55F9256D180C}"/>
    <hyperlink ref="E69" r:id="rId45" xr:uid="{64938B7C-2A49-4AAA-97D5-AE66ED1925FB}"/>
    <hyperlink ref="E70" r:id="rId46" xr:uid="{BBE436C8-093D-4D7F-AEF3-03E8589A2573}"/>
    <hyperlink ref="E71" r:id="rId47" xr:uid="{C5075FEF-0726-49FC-9E47-7BF1CFF1829A}"/>
    <hyperlink ref="E72" r:id="rId48" xr:uid="{604EA586-CA7C-4EE8-9975-AF3A05EE9FD4}"/>
    <hyperlink ref="E73" r:id="rId49" xr:uid="{6866E70A-8CEC-4EEE-8014-6BF770BA8D3C}"/>
    <hyperlink ref="E74" r:id="rId50" xr:uid="{A7286856-73ED-40A3-8571-61992B89B8B0}"/>
    <hyperlink ref="E75" r:id="rId51" xr:uid="{A6A4595D-4A09-4D52-94D3-7448B9DE1E6D}"/>
    <hyperlink ref="E76" r:id="rId52" xr:uid="{DBEF404B-4011-4755-BB3D-6D56071A9326}"/>
    <hyperlink ref="E77" r:id="rId53" xr:uid="{60D1AF65-4992-44B6-A4CB-6201150055FF}"/>
    <hyperlink ref="E80" r:id="rId54" xr:uid="{ACBBCA64-7E66-4224-9716-5532FECF939D}"/>
    <hyperlink ref="E79" r:id="rId55" xr:uid="{370B0AAA-37A2-41AE-905D-86170E8676D1}"/>
    <hyperlink ref="E78" r:id="rId56" xr:uid="{CF71A707-97EF-4884-9664-876D2803D456}"/>
    <hyperlink ref="E81" r:id="rId57" xr:uid="{CE4CE825-679E-44B3-8AEB-94F80DC3A978}"/>
    <hyperlink ref="E82" r:id="rId58" xr:uid="{FC4428A0-47B9-4283-92D2-CB10CBA3F39D}"/>
    <hyperlink ref="E83" r:id="rId59" xr:uid="{1E5A49D7-5B57-4492-9CB2-C262F28260AC}"/>
    <hyperlink ref="E84" r:id="rId60" xr:uid="{70F11AF4-A976-49B7-A13F-02FDB675EB06}"/>
    <hyperlink ref="E85" r:id="rId61" xr:uid="{B9F5B922-CB77-44A5-B663-F17759A237E1}"/>
    <hyperlink ref="E86" r:id="rId62" xr:uid="{BE9EF298-3658-4AD9-B2EA-CAD1B6AA16CD}"/>
    <hyperlink ref="E87" r:id="rId63" xr:uid="{F4BC6F1C-FF01-42B2-98A7-35BE3DBA1430}"/>
    <hyperlink ref="E88" r:id="rId64" xr:uid="{9A6409CB-80D1-4ACE-A22F-BA7F0C205A19}"/>
    <hyperlink ref="E89" r:id="rId65" xr:uid="{45191890-A5F9-48EA-BFBE-4CDCC9873172}"/>
    <hyperlink ref="E90" r:id="rId66" xr:uid="{A1B7FE8C-41C3-4BB2-BD28-895174E4376E}"/>
    <hyperlink ref="E91" r:id="rId67" xr:uid="{9B361F1E-B5ED-4BA0-A8C2-EEB73159372F}"/>
    <hyperlink ref="E98" r:id="rId68" xr:uid="{17F4F387-E0DD-4ADB-ADC9-0C715388703C}"/>
    <hyperlink ref="E92" r:id="rId69" xr:uid="{4375FFAA-506A-474C-B3A2-772EBC820E6D}"/>
    <hyperlink ref="E93" r:id="rId70" xr:uid="{36828DA9-21D1-4C95-8492-8FE6B892120E}"/>
    <hyperlink ref="E94" r:id="rId71" xr:uid="{9065C2B4-AA65-4F0C-A3AA-EE719A17F087}"/>
    <hyperlink ref="E95" r:id="rId72" xr:uid="{AA7EE5D8-5940-4107-BD89-22032077BE28}"/>
    <hyperlink ref="E96" r:id="rId73" xr:uid="{96E850DA-329E-42DE-8F28-F3032519050E}"/>
    <hyperlink ref="E97" r:id="rId74" xr:uid="{CCF5F355-E607-4236-865E-CAA2E5267E96}"/>
    <hyperlink ref="E99" r:id="rId75" xr:uid="{BD29B863-2CF1-4A80-8E97-D2D06AF2DDEF}"/>
    <hyperlink ref="E100" r:id="rId76" xr:uid="{262D539A-0221-4FE1-9499-A1A01A9CDA01}"/>
    <hyperlink ref="E101" r:id="rId77" xr:uid="{4822CA2F-FE88-4DD3-B535-C95892B8AAF9}"/>
    <hyperlink ref="E102" r:id="rId78" xr:uid="{99A9F91E-7246-4783-AD0B-986CEDFAB252}"/>
    <hyperlink ref="E103" r:id="rId79" xr:uid="{411BC6E8-0EBC-48AC-83FB-5B1AB6F708E2}"/>
    <hyperlink ref="E104" r:id="rId80" xr:uid="{257749D4-862A-4BAC-A1E7-144314AE3E63}"/>
    <hyperlink ref="E105" r:id="rId81" xr:uid="{3B8B1B0E-C031-43AE-A2F7-C28FEAE4B79C}"/>
    <hyperlink ref="E106" r:id="rId82" xr:uid="{E876F306-CF3B-40BB-930F-4745FFACD69C}"/>
    <hyperlink ref="E107" r:id="rId83" xr:uid="{845D2F39-4A3E-4243-B84B-60468E12C5C3}"/>
    <hyperlink ref="E108" r:id="rId84" xr:uid="{4360AC54-31C7-48B8-959B-41B7B801D15B}"/>
    <hyperlink ref="E109" r:id="rId85" xr:uid="{A1404D87-1282-4803-80B5-F787D611F124}"/>
    <hyperlink ref="E110" r:id="rId86" xr:uid="{592E2A99-16EC-49F0-874E-0DAD27651F51}"/>
    <hyperlink ref="E111" r:id="rId87" xr:uid="{79D1A828-19CE-41A1-95C1-52C72D644AAB}"/>
    <hyperlink ref="E112" r:id="rId88" xr:uid="{FE3E3294-6652-41BF-8EB6-9D26C2210B85}"/>
    <hyperlink ref="E113" r:id="rId89" xr:uid="{F9946EC9-C7AD-4633-AD0D-168411F450D9}"/>
    <hyperlink ref="E114" r:id="rId90" xr:uid="{CC64F16C-6E96-4D8E-8BF3-66224F655BA1}"/>
    <hyperlink ref="E115" r:id="rId91" xr:uid="{C22EBEF2-4DA9-4D94-8BF8-F433CCA09EDF}"/>
    <hyperlink ref="E116" r:id="rId92" xr:uid="{A2279B49-9A40-4DF4-9880-71DAD6C56AF3}"/>
    <hyperlink ref="E117" r:id="rId93" xr:uid="{FD3537FF-CBAF-40AC-8198-8B6021F992C7}"/>
    <hyperlink ref="E118" r:id="rId94" xr:uid="{A6BB97B4-416C-4294-9048-CEB351E5C647}"/>
    <hyperlink ref="E119" r:id="rId95" xr:uid="{9B40080C-B7D0-4F72-99C5-47DF7ACA62EC}"/>
    <hyperlink ref="E120" r:id="rId96" xr:uid="{279C83B1-FD02-4869-8D22-1F26F4483C89}"/>
    <hyperlink ref="E121" r:id="rId97" xr:uid="{9CF76F5D-DF49-4D31-8DC0-77FB1B29DD0B}"/>
    <hyperlink ref="E122" r:id="rId98" xr:uid="{68D17DB9-11DF-46AA-84C5-CF4343E642CB}"/>
    <hyperlink ref="E123" r:id="rId99" xr:uid="{D90A008B-453B-44F8-B1EF-DD391DD50A8B}"/>
    <hyperlink ref="E124" r:id="rId100" xr:uid="{A724AE90-D314-446C-B048-4DFF252C1130}"/>
    <hyperlink ref="E125" r:id="rId101" xr:uid="{08DA4B79-FAC8-4820-9326-8A9D13D15F22}"/>
    <hyperlink ref="E126" r:id="rId102" xr:uid="{196AAEB9-CEB8-4462-BD8E-97AD9B242C6D}"/>
    <hyperlink ref="E127" r:id="rId103" xr:uid="{7DA39F10-7C39-4424-97FE-7512DE85B008}"/>
    <hyperlink ref="E128" r:id="rId104" xr:uid="{10152D34-23AD-4B40-8271-A79F56D53944}"/>
    <hyperlink ref="E129" r:id="rId105" xr:uid="{2CD1E6E1-C6EE-4FF7-BF7C-010B9A4822BB}"/>
    <hyperlink ref="E130" r:id="rId106" xr:uid="{7F3A9681-13FD-4070-AB80-632BDB575576}"/>
    <hyperlink ref="E131" r:id="rId107" xr:uid="{05236CC8-9007-42B6-BE54-6CB4E1944BD8}"/>
    <hyperlink ref="E132" r:id="rId108" xr:uid="{DEB844C2-1548-4B45-A260-B03D7F07B91C}"/>
    <hyperlink ref="E133" r:id="rId109" xr:uid="{A0EE091A-416A-434C-9DD0-604475A72B3A}"/>
    <hyperlink ref="E134" r:id="rId110" xr:uid="{36BB10CB-590D-452B-AA21-6AC0AFB03340}"/>
    <hyperlink ref="E135" r:id="rId111" xr:uid="{420DA8FC-4CDB-4765-BA4C-40EA77716722}"/>
    <hyperlink ref="E136" r:id="rId112" xr:uid="{1C34A4A8-E16A-4C3B-AF93-3B7FAF198DB1}"/>
    <hyperlink ref="E137" r:id="rId113" xr:uid="{5F7F9D2B-969E-44BC-99C0-355B4CDD1CD5}"/>
    <hyperlink ref="E138" r:id="rId114" xr:uid="{BE012883-1EA7-4B34-8AD2-B925EF446033}"/>
    <hyperlink ref="E139" r:id="rId115" xr:uid="{4AB92935-6BF3-4C5A-BA2A-7D78FF303011}"/>
    <hyperlink ref="E140" r:id="rId116" xr:uid="{1E962822-6D94-4CA6-83D1-DD73D1E119EF}"/>
    <hyperlink ref="E141" r:id="rId117" xr:uid="{E6561DE7-BBD0-451C-8EE7-2AF956E703C2}"/>
    <hyperlink ref="E142" r:id="rId118" xr:uid="{C4768AFA-5FF3-4D47-920B-6D0459D776D1}"/>
    <hyperlink ref="E143" r:id="rId119" xr:uid="{13284F95-8674-40AB-A360-8922B0FD531C}"/>
    <hyperlink ref="E144" r:id="rId120" xr:uid="{DCAD9344-B7FB-4136-83FA-4FF10E3B5497}"/>
    <hyperlink ref="E145" r:id="rId121" xr:uid="{F992D08C-7CC7-41B8-9355-304C4591A25E}"/>
    <hyperlink ref="E146" r:id="rId122" xr:uid="{82DAEF0D-2E76-47F7-8A16-2000A95B5691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0071B-740A-450E-AF97-31697762D9E0}">
  <dimension ref="A1:AZ185"/>
  <sheetViews>
    <sheetView zoomScale="80" zoomScaleNormal="80" workbookViewId="0">
      <pane xSplit="1" ySplit="2" topLeftCell="B3" activePane="bottomRight" state="frozen"/>
      <selection pane="topRight" activeCell="D1" sqref="D1"/>
      <selection pane="bottomLeft" activeCell="A3" sqref="A3"/>
      <selection pane="bottomRight" activeCell="A6" sqref="A6"/>
    </sheetView>
  </sheetViews>
  <sheetFormatPr defaultColWidth="9.140625" defaultRowHeight="15.75" x14ac:dyDescent="0.25"/>
  <cols>
    <col min="1" max="1" width="23.85546875" style="20" customWidth="1"/>
    <col min="2" max="2" width="15.140625" style="70" customWidth="1"/>
    <col min="3" max="3" width="16" style="20" customWidth="1"/>
    <col min="4" max="4" width="24.7109375" style="20" customWidth="1"/>
    <col min="5" max="5" width="25.7109375" style="20" customWidth="1"/>
    <col min="6" max="6" width="15.140625" style="69" customWidth="1"/>
    <col min="7" max="7" width="33.42578125" style="51" customWidth="1"/>
    <col min="8" max="8" width="19.140625" style="71" customWidth="1"/>
    <col min="9" max="9" width="38.28515625" style="20" customWidth="1"/>
    <col min="10" max="13" width="22.140625" style="51" customWidth="1"/>
    <col min="14" max="14" width="19.140625" style="51" customWidth="1"/>
    <col min="15" max="15" width="21.28515625" style="20" customWidth="1"/>
    <col min="16" max="16" width="21.7109375" style="20" customWidth="1"/>
    <col min="17" max="17" width="19.5703125" style="20" customWidth="1"/>
    <col min="18" max="18" width="21.42578125" style="20" customWidth="1"/>
    <col min="19" max="19" width="23.5703125" style="20" customWidth="1"/>
    <col min="20" max="20" width="19.85546875" style="20" customWidth="1"/>
    <col min="21" max="21" width="15" style="20" customWidth="1"/>
    <col min="22" max="23" width="14.5703125" style="20" customWidth="1"/>
    <col min="24" max="24" width="20.140625" style="20" customWidth="1"/>
    <col min="25" max="25" width="17.5703125" style="72" customWidth="1"/>
    <col min="26" max="26" width="15.5703125" style="20" customWidth="1"/>
    <col min="27" max="27" width="15.5703125" style="71" customWidth="1"/>
    <col min="28" max="28" width="17.42578125" style="20" customWidth="1"/>
    <col min="29" max="31" width="17" style="20" customWidth="1"/>
    <col min="32" max="32" width="20.85546875" style="20" customWidth="1"/>
    <col min="33" max="33" width="16.42578125" style="20" customWidth="1"/>
    <col min="34" max="34" width="13.7109375" style="20" customWidth="1"/>
    <col min="35" max="35" width="14" style="20" customWidth="1"/>
    <col min="36" max="36" width="13.5703125" style="51" customWidth="1"/>
    <col min="37" max="37" width="14.85546875" style="51" customWidth="1"/>
    <col min="38" max="38" width="15.42578125" style="20" customWidth="1"/>
    <col min="39" max="39" width="14.85546875" style="72" customWidth="1"/>
    <col min="40" max="40" width="15" style="20" customWidth="1"/>
    <col min="41" max="41" width="16.28515625" style="71" customWidth="1"/>
    <col min="42" max="42" width="30.42578125" style="71" customWidth="1"/>
    <col min="43" max="43" width="19" style="51" customWidth="1"/>
    <col min="44" max="44" width="16.28515625" style="51" customWidth="1"/>
    <col min="45" max="45" width="11" style="20" customWidth="1"/>
    <col min="46" max="46" width="14.7109375" style="52" customWidth="1"/>
    <col min="47" max="47" width="12.5703125" style="20" customWidth="1"/>
    <col min="48" max="48" width="13.85546875" style="71" customWidth="1"/>
    <col min="49" max="49" width="8.5703125" style="72" customWidth="1"/>
    <col min="50" max="50" width="7.7109375" style="72" customWidth="1"/>
    <col min="51" max="51" width="18.42578125" style="51" customWidth="1"/>
    <col min="52" max="52" width="17.140625" style="20" customWidth="1"/>
    <col min="53" max="16384" width="9.140625" style="20"/>
  </cols>
  <sheetData>
    <row r="1" spans="1:52" ht="63.75" customHeight="1" x14ac:dyDescent="0.25">
      <c r="A1" s="1" t="s">
        <v>0</v>
      </c>
      <c r="B1" s="2" t="s">
        <v>1</v>
      </c>
      <c r="C1" s="5" t="s">
        <v>2</v>
      </c>
      <c r="D1" s="6" t="s">
        <v>3</v>
      </c>
      <c r="E1" s="4" t="s">
        <v>4</v>
      </c>
      <c r="F1" s="3" t="s">
        <v>5</v>
      </c>
      <c r="G1" s="4" t="s">
        <v>6</v>
      </c>
      <c r="H1" s="4" t="s">
        <v>7</v>
      </c>
      <c r="I1" s="7" t="s">
        <v>8</v>
      </c>
      <c r="J1" s="8" t="s">
        <v>9</v>
      </c>
      <c r="K1" s="9" t="s">
        <v>10</v>
      </c>
      <c r="L1" s="9" t="s">
        <v>11</v>
      </c>
      <c r="M1" s="9" t="s">
        <v>12</v>
      </c>
      <c r="N1" s="8" t="s">
        <v>13</v>
      </c>
      <c r="O1" s="8" t="s">
        <v>14</v>
      </c>
      <c r="P1" s="7" t="s">
        <v>15</v>
      </c>
      <c r="Q1" s="7" t="s">
        <v>16</v>
      </c>
      <c r="R1" s="7" t="s">
        <v>17</v>
      </c>
      <c r="S1" s="8" t="s">
        <v>18</v>
      </c>
      <c r="T1" s="7" t="s">
        <v>19</v>
      </c>
      <c r="U1" s="8" t="s">
        <v>20</v>
      </c>
      <c r="V1" s="8" t="s">
        <v>21</v>
      </c>
      <c r="W1" s="2" t="s">
        <v>22</v>
      </c>
      <c r="X1" s="10" t="s">
        <v>23</v>
      </c>
      <c r="Y1" s="11"/>
      <c r="Z1" s="11"/>
      <c r="AA1" s="11"/>
      <c r="AB1" s="11"/>
      <c r="AC1" s="11"/>
      <c r="AD1" s="11"/>
      <c r="AE1" s="11"/>
      <c r="AF1" s="11"/>
      <c r="AG1" s="12"/>
      <c r="AH1" s="13" t="s">
        <v>24</v>
      </c>
      <c r="AI1" s="14"/>
      <c r="AJ1" s="15"/>
      <c r="AK1" s="13" t="s">
        <v>25</v>
      </c>
      <c r="AL1" s="14"/>
      <c r="AM1" s="15"/>
      <c r="AN1" s="9" t="s">
        <v>26</v>
      </c>
      <c r="AO1" s="16" t="s">
        <v>27</v>
      </c>
      <c r="AP1" s="16" t="s">
        <v>28</v>
      </c>
      <c r="AQ1" s="16" t="s">
        <v>29</v>
      </c>
      <c r="AR1" s="16" t="s">
        <v>30</v>
      </c>
      <c r="AS1" s="7" t="s">
        <v>31</v>
      </c>
      <c r="AT1" s="7" t="s">
        <v>32</v>
      </c>
      <c r="AU1" s="8" t="s">
        <v>33</v>
      </c>
      <c r="AV1" s="17" t="s">
        <v>34</v>
      </c>
      <c r="AW1" s="18" t="s">
        <v>35</v>
      </c>
      <c r="AX1" s="19"/>
      <c r="AY1" s="19"/>
      <c r="AZ1" s="16" t="s">
        <v>36</v>
      </c>
    </row>
    <row r="2" spans="1:52" ht="45" customHeight="1" x14ac:dyDescent="0.25">
      <c r="A2" s="21"/>
      <c r="B2" s="22"/>
      <c r="C2" s="25"/>
      <c r="D2" s="26"/>
      <c r="E2" s="24"/>
      <c r="F2" s="23"/>
      <c r="G2" s="24"/>
      <c r="H2" s="24"/>
      <c r="I2" s="27"/>
      <c r="J2" s="28"/>
      <c r="K2" s="29"/>
      <c r="L2" s="29"/>
      <c r="M2" s="29"/>
      <c r="N2" s="28"/>
      <c r="O2" s="28"/>
      <c r="P2" s="27"/>
      <c r="Q2" s="27"/>
      <c r="R2" s="27"/>
      <c r="S2" s="27"/>
      <c r="T2" s="27"/>
      <c r="U2" s="28"/>
      <c r="V2" s="28"/>
      <c r="W2" s="22"/>
      <c r="X2" s="30" t="s">
        <v>37</v>
      </c>
      <c r="Y2" s="30" t="s">
        <v>38</v>
      </c>
      <c r="Z2" s="30" t="s">
        <v>39</v>
      </c>
      <c r="AA2" s="30" t="s">
        <v>40</v>
      </c>
      <c r="AB2" s="30" t="s">
        <v>41</v>
      </c>
      <c r="AC2" s="30" t="s">
        <v>42</v>
      </c>
      <c r="AD2" s="30" t="s">
        <v>43</v>
      </c>
      <c r="AE2" s="30" t="s">
        <v>44</v>
      </c>
      <c r="AF2" s="30" t="s">
        <v>45</v>
      </c>
      <c r="AG2" s="30" t="s">
        <v>46</v>
      </c>
      <c r="AH2" s="31" t="s">
        <v>38</v>
      </c>
      <c r="AI2" s="31" t="s">
        <v>39</v>
      </c>
      <c r="AJ2" s="31" t="s">
        <v>40</v>
      </c>
      <c r="AK2" s="31" t="s">
        <v>38</v>
      </c>
      <c r="AL2" s="31" t="s">
        <v>39</v>
      </c>
      <c r="AM2" s="31" t="s">
        <v>40</v>
      </c>
      <c r="AN2" s="32"/>
      <c r="AO2" s="33"/>
      <c r="AP2" s="33"/>
      <c r="AQ2" s="33"/>
      <c r="AR2" s="33"/>
      <c r="AS2" s="27"/>
      <c r="AT2" s="27"/>
      <c r="AU2" s="28"/>
      <c r="AV2" s="34"/>
      <c r="AW2" s="35" t="s">
        <v>47</v>
      </c>
      <c r="AX2" s="35" t="s">
        <v>48</v>
      </c>
      <c r="AY2" s="35" t="s">
        <v>49</v>
      </c>
      <c r="AZ2" s="33"/>
    </row>
    <row r="3" spans="1:52" ht="50.25" customHeight="1" x14ac:dyDescent="0.25">
      <c r="A3" s="46" t="s">
        <v>433</v>
      </c>
      <c r="B3" s="38">
        <v>45174</v>
      </c>
      <c r="C3" s="42" t="s">
        <v>435</v>
      </c>
      <c r="D3" s="37" t="s">
        <v>434</v>
      </c>
      <c r="E3" s="41" t="s">
        <v>436</v>
      </c>
      <c r="F3" s="38" t="s">
        <v>434</v>
      </c>
      <c r="G3" s="39" t="s">
        <v>434</v>
      </c>
      <c r="H3" s="42"/>
      <c r="I3" s="42" t="s">
        <v>437</v>
      </c>
      <c r="J3" s="43">
        <v>161212603.05000001</v>
      </c>
      <c r="K3" s="43">
        <v>161212603.05000001</v>
      </c>
      <c r="L3" s="43"/>
      <c r="M3" s="43"/>
      <c r="N3" s="44">
        <v>100</v>
      </c>
      <c r="O3" s="45">
        <v>161212603.05000001</v>
      </c>
      <c r="P3" s="43"/>
      <c r="Q3" s="45">
        <v>161212603.05000001</v>
      </c>
      <c r="R3" s="43">
        <v>0</v>
      </c>
      <c r="S3" s="30">
        <v>0</v>
      </c>
      <c r="T3" s="30">
        <v>0</v>
      </c>
      <c r="U3" s="30" t="e">
        <v>#DIV/0!</v>
      </c>
      <c r="V3" s="43" t="e">
        <v>#DIV/0!</v>
      </c>
      <c r="W3" s="43" t="e">
        <v>#DIV/0!</v>
      </c>
      <c r="X3" s="43">
        <v>0</v>
      </c>
      <c r="Y3" s="43">
        <v>0</v>
      </c>
      <c r="Z3" s="43">
        <v>0</v>
      </c>
      <c r="AA3" s="43">
        <v>0</v>
      </c>
      <c r="AB3" s="43"/>
      <c r="AC3" s="43" t="e">
        <v>#DIV/0!</v>
      </c>
      <c r="AD3" s="43"/>
      <c r="AE3" s="43" t="e">
        <v>#DIV/0!</v>
      </c>
      <c r="AF3" s="43" t="e">
        <v>#DIV/0!</v>
      </c>
      <c r="AG3" s="43" t="e">
        <v>#DIV/0!</v>
      </c>
      <c r="AH3" s="38">
        <v>45301</v>
      </c>
      <c r="AI3" s="38"/>
      <c r="AJ3" s="38"/>
      <c r="AK3" s="38"/>
      <c r="AL3" s="38"/>
      <c r="AM3" s="48"/>
      <c r="AN3" s="42"/>
      <c r="AO3" s="42"/>
      <c r="AP3" s="42"/>
      <c r="AQ3" s="42"/>
      <c r="AR3" s="42"/>
      <c r="AS3" s="50"/>
      <c r="AT3" s="39"/>
      <c r="AU3" s="39"/>
      <c r="AV3" s="49"/>
      <c r="AW3" s="39"/>
      <c r="AX3" s="39">
        <v>10</v>
      </c>
      <c r="AY3" s="30">
        <v>16121260.305</v>
      </c>
      <c r="AZ3" s="37" t="s">
        <v>434</v>
      </c>
    </row>
    <row r="4" spans="1:52" ht="57" customHeight="1" x14ac:dyDescent="0.25">
      <c r="A4" s="46" t="s">
        <v>452</v>
      </c>
      <c r="B4" s="38">
        <v>45175</v>
      </c>
      <c r="C4" s="42" t="s">
        <v>435</v>
      </c>
      <c r="D4" s="37" t="s">
        <v>453</v>
      </c>
      <c r="E4" s="41" t="s">
        <v>454</v>
      </c>
      <c r="F4" s="38">
        <v>45202</v>
      </c>
      <c r="G4" s="39" t="s">
        <v>455</v>
      </c>
      <c r="H4" s="42" t="s">
        <v>456</v>
      </c>
      <c r="I4" s="42" t="s">
        <v>457</v>
      </c>
      <c r="J4" s="43">
        <v>32334852.550000001</v>
      </c>
      <c r="K4" s="43">
        <v>32334852.550000001</v>
      </c>
      <c r="L4" s="43">
        <v>0</v>
      </c>
      <c r="M4" s="43">
        <v>0</v>
      </c>
      <c r="N4" s="44">
        <v>51.772188489537427</v>
      </c>
      <c r="O4" s="45">
        <v>16740460.810000001</v>
      </c>
      <c r="P4" s="43">
        <v>15594391.74</v>
      </c>
      <c r="Q4" s="45">
        <v>16747922.100000001</v>
      </c>
      <c r="R4" s="43">
        <v>15586930.449999999</v>
      </c>
      <c r="S4" s="30">
        <v>15586930.449999999</v>
      </c>
      <c r="T4" s="30">
        <v>15586930.449999999</v>
      </c>
      <c r="U4" s="30">
        <v>44.169999999999995</v>
      </c>
      <c r="V4" s="43">
        <v>44.169999999999995</v>
      </c>
      <c r="W4" s="43">
        <v>2650.2</v>
      </c>
      <c r="X4" s="43">
        <v>352885</v>
      </c>
      <c r="Y4" s="43">
        <v>352885</v>
      </c>
      <c r="Z4" s="43">
        <v>0</v>
      </c>
      <c r="AA4" s="43">
        <v>0</v>
      </c>
      <c r="AB4" s="43"/>
      <c r="AC4" s="43">
        <v>0</v>
      </c>
      <c r="AD4" s="43"/>
      <c r="AE4" s="43">
        <v>0</v>
      </c>
      <c r="AF4" s="43">
        <v>5881.416666666667</v>
      </c>
      <c r="AG4" s="43">
        <v>5882</v>
      </c>
      <c r="AH4" s="38">
        <v>45301</v>
      </c>
      <c r="AI4" s="38"/>
      <c r="AJ4" s="38"/>
      <c r="AK4" s="38">
        <v>45332</v>
      </c>
      <c r="AL4" s="38"/>
      <c r="AM4" s="48"/>
      <c r="AN4" s="42"/>
      <c r="AO4" s="42" t="s">
        <v>458</v>
      </c>
      <c r="AP4" s="42" t="s">
        <v>459</v>
      </c>
      <c r="AQ4" s="42" t="s">
        <v>460</v>
      </c>
      <c r="AR4" s="42" t="s">
        <v>82</v>
      </c>
      <c r="AS4" s="50">
        <v>100</v>
      </c>
      <c r="AT4" s="39">
        <v>0</v>
      </c>
      <c r="AU4" s="39" t="s">
        <v>389</v>
      </c>
      <c r="AV4" s="49">
        <v>60</v>
      </c>
      <c r="AW4" s="39" t="s">
        <v>62</v>
      </c>
      <c r="AX4" s="39">
        <v>10</v>
      </c>
      <c r="AY4" s="30">
        <v>3233485.2549999999</v>
      </c>
      <c r="AZ4" s="42" t="s">
        <v>405</v>
      </c>
    </row>
    <row r="5" spans="1:52" ht="57" customHeight="1" x14ac:dyDescent="0.25">
      <c r="A5" s="46" t="s">
        <v>491</v>
      </c>
      <c r="B5" s="48">
        <v>45181</v>
      </c>
      <c r="C5" s="42" t="s">
        <v>435</v>
      </c>
      <c r="D5" s="37" t="s">
        <v>492</v>
      </c>
      <c r="E5" s="41" t="s">
        <v>493</v>
      </c>
      <c r="F5" s="38" t="s">
        <v>492</v>
      </c>
      <c r="G5" s="39" t="s">
        <v>492</v>
      </c>
      <c r="H5" s="42" t="s">
        <v>492</v>
      </c>
      <c r="I5" s="42" t="s">
        <v>494</v>
      </c>
      <c r="J5" s="56">
        <v>3271104.3</v>
      </c>
      <c r="K5" s="56">
        <v>3271104.3</v>
      </c>
      <c r="L5" s="56"/>
      <c r="M5" s="56"/>
      <c r="N5" s="44">
        <v>100</v>
      </c>
      <c r="O5" s="45">
        <v>3271104.3</v>
      </c>
      <c r="P5" s="43"/>
      <c r="Q5" s="45">
        <v>3271104.3</v>
      </c>
      <c r="R5" s="43">
        <v>0</v>
      </c>
      <c r="S5" s="30">
        <v>0</v>
      </c>
      <c r="T5" s="30">
        <v>0</v>
      </c>
      <c r="U5" s="30" t="e">
        <v>#DIV/0!</v>
      </c>
      <c r="V5" s="43" t="e">
        <v>#DIV/0!</v>
      </c>
      <c r="W5" s="43" t="e">
        <v>#DIV/0!</v>
      </c>
      <c r="X5" s="43">
        <v>0</v>
      </c>
      <c r="Y5" s="43">
        <v>0</v>
      </c>
      <c r="Z5" s="43">
        <v>0</v>
      </c>
      <c r="AA5" s="43">
        <v>0</v>
      </c>
      <c r="AB5" s="43"/>
      <c r="AC5" s="43" t="e">
        <v>#DIV/0!</v>
      </c>
      <c r="AD5" s="43"/>
      <c r="AE5" s="43" t="e">
        <v>#DIV/0!</v>
      </c>
      <c r="AF5" s="43" t="e">
        <v>#DIV/0!</v>
      </c>
      <c r="AG5" s="43" t="e">
        <v>#DIV/0!</v>
      </c>
      <c r="AH5" s="38">
        <v>45301</v>
      </c>
      <c r="AI5" s="38"/>
      <c r="AJ5" s="38"/>
      <c r="AK5" s="38">
        <v>45332</v>
      </c>
      <c r="AL5" s="38"/>
      <c r="AM5" s="48"/>
      <c r="AN5" s="42"/>
      <c r="AO5" s="42"/>
      <c r="AP5" s="42"/>
      <c r="AQ5" s="42"/>
      <c r="AR5" s="42"/>
      <c r="AS5" s="50"/>
      <c r="AT5" s="39"/>
      <c r="AU5" s="39"/>
      <c r="AV5" s="49"/>
      <c r="AW5" s="39"/>
      <c r="AX5" s="39">
        <v>10</v>
      </c>
      <c r="AY5" s="30">
        <v>327110.43</v>
      </c>
      <c r="AZ5" s="42" t="s">
        <v>492</v>
      </c>
    </row>
    <row r="6" spans="1:52" ht="63" customHeight="1" x14ac:dyDescent="0.25">
      <c r="A6" s="46" t="s">
        <v>509</v>
      </c>
      <c r="B6" s="38">
        <v>45196</v>
      </c>
      <c r="C6" s="39" t="s">
        <v>435</v>
      </c>
      <c r="D6" s="37" t="s">
        <v>510</v>
      </c>
      <c r="E6" s="41" t="s">
        <v>511</v>
      </c>
      <c r="F6" s="38">
        <v>45216</v>
      </c>
      <c r="G6" s="39" t="s">
        <v>512</v>
      </c>
      <c r="H6" s="42" t="s">
        <v>54</v>
      </c>
      <c r="I6" s="42" t="s">
        <v>513</v>
      </c>
      <c r="J6" s="43">
        <v>161212603.05000001</v>
      </c>
      <c r="K6" s="43">
        <v>161212603.05000001</v>
      </c>
      <c r="L6" s="56">
        <v>0</v>
      </c>
      <c r="M6" s="56">
        <v>0</v>
      </c>
      <c r="N6" s="44">
        <v>0</v>
      </c>
      <c r="O6" s="45">
        <v>0</v>
      </c>
      <c r="P6" s="43">
        <v>161212603.05000001</v>
      </c>
      <c r="Q6" s="45">
        <v>0</v>
      </c>
      <c r="R6" s="43">
        <v>161212603.05000001</v>
      </c>
      <c r="S6" s="30">
        <v>161212603.05000001</v>
      </c>
      <c r="T6" s="30">
        <v>161212603.05000001</v>
      </c>
      <c r="U6" s="30">
        <v>414.21000000000004</v>
      </c>
      <c r="V6" s="43">
        <v>414.21000000000004</v>
      </c>
      <c r="W6" s="43">
        <v>12426.300000000001</v>
      </c>
      <c r="X6" s="43">
        <v>389205</v>
      </c>
      <c r="Y6" s="43">
        <v>389205</v>
      </c>
      <c r="Z6" s="43">
        <v>0</v>
      </c>
      <c r="AA6" s="43">
        <v>0</v>
      </c>
      <c r="AB6" s="43"/>
      <c r="AC6" s="43">
        <v>0</v>
      </c>
      <c r="AD6" s="43"/>
      <c r="AE6" s="43">
        <v>0</v>
      </c>
      <c r="AF6" s="43">
        <v>12973.5</v>
      </c>
      <c r="AG6" s="43">
        <v>12974</v>
      </c>
      <c r="AH6" s="38">
        <v>45366</v>
      </c>
      <c r="AI6" s="38"/>
      <c r="AJ6" s="38"/>
      <c r="AK6" s="38">
        <v>45397</v>
      </c>
      <c r="AL6" s="38"/>
      <c r="AM6" s="48"/>
      <c r="AN6" s="42"/>
      <c r="AO6" s="42" t="s">
        <v>514</v>
      </c>
      <c r="AP6" s="42" t="s">
        <v>515</v>
      </c>
      <c r="AQ6" s="42" t="s">
        <v>516</v>
      </c>
      <c r="AR6" s="42" t="s">
        <v>60</v>
      </c>
      <c r="AS6" s="50">
        <v>0</v>
      </c>
      <c r="AT6" s="39">
        <v>100</v>
      </c>
      <c r="AU6" s="39" t="s">
        <v>389</v>
      </c>
      <c r="AV6" s="49">
        <v>30</v>
      </c>
      <c r="AW6" s="39" t="s">
        <v>62</v>
      </c>
      <c r="AX6" s="39">
        <v>10</v>
      </c>
      <c r="AY6" s="30">
        <v>16121260.305</v>
      </c>
      <c r="AZ6" s="42" t="s">
        <v>405</v>
      </c>
    </row>
    <row r="7" spans="1:52" ht="42" customHeight="1" x14ac:dyDescent="0.25">
      <c r="A7" s="46" t="s">
        <v>820</v>
      </c>
      <c r="B7" s="48">
        <v>45259</v>
      </c>
      <c r="C7" s="42" t="s">
        <v>435</v>
      </c>
      <c r="D7" s="37" t="s">
        <v>821</v>
      </c>
      <c r="E7" s="41" t="s">
        <v>822</v>
      </c>
      <c r="F7" s="38">
        <v>45282</v>
      </c>
      <c r="G7" s="39" t="s">
        <v>823</v>
      </c>
      <c r="H7" s="42" t="s">
        <v>824</v>
      </c>
      <c r="I7" s="42" t="s">
        <v>825</v>
      </c>
      <c r="J7" s="56">
        <v>270804811.19999999</v>
      </c>
      <c r="K7" s="56">
        <v>270804811.19999999</v>
      </c>
      <c r="L7" s="56">
        <v>0</v>
      </c>
      <c r="M7" s="56">
        <v>0</v>
      </c>
      <c r="N7" s="44">
        <v>0</v>
      </c>
      <c r="O7" s="45">
        <v>0</v>
      </c>
      <c r="P7" s="43">
        <v>270804811.19999999</v>
      </c>
      <c r="Q7" s="45">
        <v>0</v>
      </c>
      <c r="R7" s="43">
        <v>270804811.19999999</v>
      </c>
      <c r="S7" s="30">
        <v>270804811.19999999</v>
      </c>
      <c r="T7" s="30">
        <v>270804811.19999999</v>
      </c>
      <c r="U7" s="30">
        <v>204.82</v>
      </c>
      <c r="V7" s="43">
        <v>204.82</v>
      </c>
      <c r="W7" s="43">
        <v>6144.5999999999995</v>
      </c>
      <c r="X7" s="43">
        <v>1322160</v>
      </c>
      <c r="Y7" s="43">
        <v>1322160</v>
      </c>
      <c r="Z7" s="43">
        <v>0</v>
      </c>
      <c r="AA7" s="43">
        <v>0</v>
      </c>
      <c r="AB7" s="43"/>
      <c r="AC7" s="43">
        <v>0</v>
      </c>
      <c r="AD7" s="43"/>
      <c r="AE7" s="43">
        <v>0</v>
      </c>
      <c r="AF7" s="43">
        <v>44072</v>
      </c>
      <c r="AG7" s="43">
        <v>44072</v>
      </c>
      <c r="AH7" s="38">
        <v>45323</v>
      </c>
      <c r="AI7" s="38"/>
      <c r="AJ7" s="38"/>
      <c r="AK7" s="38">
        <v>45352</v>
      </c>
      <c r="AL7" s="38"/>
      <c r="AM7" s="48"/>
      <c r="AN7" s="42"/>
      <c r="AO7" s="42" t="s">
        <v>826</v>
      </c>
      <c r="AP7" s="42" t="s">
        <v>827</v>
      </c>
      <c r="AQ7" s="42" t="s">
        <v>828</v>
      </c>
      <c r="AR7" s="42" t="s">
        <v>82</v>
      </c>
      <c r="AS7" s="50">
        <v>100</v>
      </c>
      <c r="AT7" s="39">
        <v>0</v>
      </c>
      <c r="AU7" s="39" t="s">
        <v>389</v>
      </c>
      <c r="AV7" s="49">
        <v>30</v>
      </c>
      <c r="AW7" s="39" t="s">
        <v>221</v>
      </c>
      <c r="AX7" s="39">
        <v>10</v>
      </c>
      <c r="AY7" s="30">
        <v>27080481.120000001</v>
      </c>
      <c r="AZ7" s="42" t="s">
        <v>405</v>
      </c>
    </row>
    <row r="8" spans="1:52" ht="42" customHeight="1" x14ac:dyDescent="0.25">
      <c r="A8" s="46" t="s">
        <v>829</v>
      </c>
      <c r="B8" s="48">
        <v>45259</v>
      </c>
      <c r="C8" s="42" t="s">
        <v>435</v>
      </c>
      <c r="D8" s="37" t="s">
        <v>830</v>
      </c>
      <c r="E8" s="41" t="s">
        <v>831</v>
      </c>
      <c r="F8" s="38">
        <v>45282</v>
      </c>
      <c r="G8" s="39" t="s">
        <v>832</v>
      </c>
      <c r="H8" s="42" t="s">
        <v>824</v>
      </c>
      <c r="I8" s="42" t="s">
        <v>825</v>
      </c>
      <c r="J8" s="56">
        <v>204885542.40000001</v>
      </c>
      <c r="K8" s="56">
        <v>204885542.40000001</v>
      </c>
      <c r="L8" s="56">
        <v>0</v>
      </c>
      <c r="M8" s="56">
        <v>0</v>
      </c>
      <c r="N8" s="44">
        <v>0</v>
      </c>
      <c r="O8" s="45">
        <v>0</v>
      </c>
      <c r="P8" s="43">
        <v>204885542.40000001</v>
      </c>
      <c r="Q8" s="45">
        <v>0</v>
      </c>
      <c r="R8" s="43">
        <v>204885542.40000001</v>
      </c>
      <c r="S8" s="30">
        <v>204885542.40000001</v>
      </c>
      <c r="T8" s="30">
        <v>204885542.40000001</v>
      </c>
      <c r="U8" s="30">
        <v>204.82</v>
      </c>
      <c r="V8" s="43">
        <v>204.82</v>
      </c>
      <c r="W8" s="43">
        <v>6144.5999999999995</v>
      </c>
      <c r="X8" s="43">
        <v>1000320</v>
      </c>
      <c r="Y8" s="43">
        <v>1000320</v>
      </c>
      <c r="Z8" s="43">
        <v>0</v>
      </c>
      <c r="AA8" s="43">
        <v>0</v>
      </c>
      <c r="AB8" s="43"/>
      <c r="AC8" s="43">
        <v>0</v>
      </c>
      <c r="AD8" s="43"/>
      <c r="AE8" s="43">
        <v>0</v>
      </c>
      <c r="AF8" s="43">
        <v>33344</v>
      </c>
      <c r="AG8" s="43">
        <v>33344</v>
      </c>
      <c r="AH8" s="38">
        <v>45323</v>
      </c>
      <c r="AI8" s="38"/>
      <c r="AJ8" s="38"/>
      <c r="AK8" s="38">
        <v>45352</v>
      </c>
      <c r="AL8" s="38"/>
      <c r="AM8" s="48"/>
      <c r="AN8" s="42"/>
      <c r="AO8" s="42" t="s">
        <v>826</v>
      </c>
      <c r="AP8" s="42" t="s">
        <v>827</v>
      </c>
      <c r="AQ8" s="42" t="s">
        <v>828</v>
      </c>
      <c r="AR8" s="42" t="s">
        <v>82</v>
      </c>
      <c r="AS8" s="50">
        <v>100</v>
      </c>
      <c r="AT8" s="39">
        <v>0</v>
      </c>
      <c r="AU8" s="39" t="s">
        <v>389</v>
      </c>
      <c r="AV8" s="49">
        <v>30</v>
      </c>
      <c r="AW8" s="39" t="s">
        <v>221</v>
      </c>
      <c r="AX8" s="39">
        <v>10</v>
      </c>
      <c r="AY8" s="30">
        <v>20488554.239999998</v>
      </c>
      <c r="AZ8" s="42" t="s">
        <v>405</v>
      </c>
    </row>
    <row r="9" spans="1:52" ht="42" customHeight="1" x14ac:dyDescent="0.25">
      <c r="A9" s="46" t="s">
        <v>841</v>
      </c>
      <c r="B9" s="48">
        <v>45264</v>
      </c>
      <c r="C9" s="42" t="s">
        <v>435</v>
      </c>
      <c r="D9" s="37" t="s">
        <v>842</v>
      </c>
      <c r="E9" s="41" t="s">
        <v>843</v>
      </c>
      <c r="F9" s="38">
        <v>45285</v>
      </c>
      <c r="G9" s="39" t="s">
        <v>844</v>
      </c>
      <c r="H9" s="42" t="s">
        <v>54</v>
      </c>
      <c r="I9" s="42" t="s">
        <v>845</v>
      </c>
      <c r="J9" s="56">
        <v>299991938.39999998</v>
      </c>
      <c r="K9" s="56">
        <v>299991938.39999998</v>
      </c>
      <c r="L9" s="56">
        <v>0</v>
      </c>
      <c r="M9" s="56">
        <v>0</v>
      </c>
      <c r="N9" s="44">
        <v>0</v>
      </c>
      <c r="O9" s="45">
        <v>0</v>
      </c>
      <c r="P9" s="43">
        <v>299991938.39999998</v>
      </c>
      <c r="Q9" s="45">
        <v>0</v>
      </c>
      <c r="R9" s="43">
        <v>299991938.39999998</v>
      </c>
      <c r="S9" s="30">
        <v>299991938.39999998</v>
      </c>
      <c r="T9" s="30">
        <v>299991938.39999998</v>
      </c>
      <c r="U9" s="30">
        <v>2248.9499999999998</v>
      </c>
      <c r="V9" s="43">
        <v>2248.9499999999998</v>
      </c>
      <c r="W9" s="43">
        <v>188911.8</v>
      </c>
      <c r="X9" s="43">
        <v>133392</v>
      </c>
      <c r="Y9" s="58">
        <v>76175.137799999997</v>
      </c>
      <c r="Z9" s="58">
        <v>57216.862200000003</v>
      </c>
      <c r="AA9" s="43">
        <v>0</v>
      </c>
      <c r="AB9" s="43"/>
      <c r="AC9" s="43">
        <v>0</v>
      </c>
      <c r="AD9" s="43"/>
      <c r="AE9" s="43">
        <v>0</v>
      </c>
      <c r="AF9" s="43">
        <v>1588</v>
      </c>
      <c r="AG9" s="43">
        <v>1588</v>
      </c>
      <c r="AH9" s="38">
        <v>45306</v>
      </c>
      <c r="AI9" s="38">
        <v>45366</v>
      </c>
      <c r="AJ9" s="38"/>
      <c r="AK9" s="38">
        <v>45337</v>
      </c>
      <c r="AL9" s="38">
        <v>45397</v>
      </c>
      <c r="AM9" s="48"/>
      <c r="AN9" s="42"/>
      <c r="AO9" s="42" t="s">
        <v>581</v>
      </c>
      <c r="AP9" s="42" t="s">
        <v>846</v>
      </c>
      <c r="AQ9" s="42" t="s">
        <v>847</v>
      </c>
      <c r="AR9" s="42" t="s">
        <v>60</v>
      </c>
      <c r="AS9" s="50">
        <v>0</v>
      </c>
      <c r="AT9" s="39">
        <v>100</v>
      </c>
      <c r="AU9" s="39" t="s">
        <v>389</v>
      </c>
      <c r="AV9" s="49">
        <v>84</v>
      </c>
      <c r="AW9" s="39" t="s">
        <v>62</v>
      </c>
      <c r="AX9" s="39">
        <v>10</v>
      </c>
      <c r="AY9" s="30">
        <v>29999193.84</v>
      </c>
      <c r="AZ9" s="42" t="s">
        <v>848</v>
      </c>
    </row>
    <row r="10" spans="1:52" ht="69" customHeight="1" x14ac:dyDescent="0.25">
      <c r="A10" s="46" t="s">
        <v>1010</v>
      </c>
      <c r="B10" s="48">
        <v>45273</v>
      </c>
      <c r="C10" s="42" t="s">
        <v>435</v>
      </c>
      <c r="D10" s="37" t="s">
        <v>1011</v>
      </c>
      <c r="E10" s="41" t="s">
        <v>1012</v>
      </c>
      <c r="F10" s="38">
        <v>45310</v>
      </c>
      <c r="G10" s="39" t="s">
        <v>1013</v>
      </c>
      <c r="H10" s="42" t="s">
        <v>141</v>
      </c>
      <c r="I10" s="42" t="s">
        <v>1014</v>
      </c>
      <c r="J10" s="56">
        <v>997835333.39999998</v>
      </c>
      <c r="K10" s="56">
        <v>997835333.39999998</v>
      </c>
      <c r="L10" s="56">
        <v>0</v>
      </c>
      <c r="M10" s="56">
        <v>0</v>
      </c>
      <c r="N10" s="44">
        <v>0</v>
      </c>
      <c r="O10" s="45">
        <v>0</v>
      </c>
      <c r="P10" s="43">
        <v>997835333.39999998</v>
      </c>
      <c r="Q10" s="45">
        <v>0</v>
      </c>
      <c r="R10" s="43">
        <v>997835333.39999998</v>
      </c>
      <c r="S10" s="30">
        <v>997835333.39999998</v>
      </c>
      <c r="T10" s="30">
        <v>997835333.39999998</v>
      </c>
      <c r="U10" s="30">
        <v>524.30999999999995</v>
      </c>
      <c r="V10" s="43">
        <v>524.30999999999995</v>
      </c>
      <c r="W10" s="43">
        <v>15729.3</v>
      </c>
      <c r="X10" s="43">
        <v>1903140</v>
      </c>
      <c r="Y10" s="43">
        <v>1903140</v>
      </c>
      <c r="Z10" s="43">
        <v>0</v>
      </c>
      <c r="AA10" s="43">
        <v>0</v>
      </c>
      <c r="AB10" s="43"/>
      <c r="AC10" s="43">
        <v>0</v>
      </c>
      <c r="AD10" s="43"/>
      <c r="AE10" s="43">
        <v>0</v>
      </c>
      <c r="AF10" s="43">
        <v>63438</v>
      </c>
      <c r="AG10" s="43">
        <v>63438</v>
      </c>
      <c r="AH10" s="38">
        <v>45397</v>
      </c>
      <c r="AI10" s="38"/>
      <c r="AJ10" s="38"/>
      <c r="AK10" s="38">
        <v>45427</v>
      </c>
      <c r="AL10" s="38"/>
      <c r="AM10" s="48"/>
      <c r="AN10" s="42"/>
      <c r="AO10" s="42" t="s">
        <v>1015</v>
      </c>
      <c r="AP10" s="42" t="s">
        <v>1016</v>
      </c>
      <c r="AQ10" s="42" t="s">
        <v>1017</v>
      </c>
      <c r="AR10" s="42" t="s">
        <v>60</v>
      </c>
      <c r="AS10" s="50">
        <v>0</v>
      </c>
      <c r="AT10" s="39">
        <v>100</v>
      </c>
      <c r="AU10" s="39" t="s">
        <v>389</v>
      </c>
      <c r="AV10" s="49">
        <v>30</v>
      </c>
      <c r="AW10" s="39" t="s">
        <v>62</v>
      </c>
      <c r="AX10" s="39">
        <v>10</v>
      </c>
      <c r="AY10" s="30">
        <v>99783533.340000004</v>
      </c>
      <c r="AZ10" s="42" t="s">
        <v>405</v>
      </c>
    </row>
    <row r="11" spans="1:52" ht="69.75" customHeight="1" x14ac:dyDescent="0.25">
      <c r="A11" s="46" t="s">
        <v>1018</v>
      </c>
      <c r="B11" s="48">
        <v>45273</v>
      </c>
      <c r="C11" s="42" t="s">
        <v>435</v>
      </c>
      <c r="D11" s="37" t="s">
        <v>1019</v>
      </c>
      <c r="E11" s="41" t="s">
        <v>1020</v>
      </c>
      <c r="F11" s="38">
        <v>45309</v>
      </c>
      <c r="G11" s="39" t="s">
        <v>1021</v>
      </c>
      <c r="H11" s="42" t="s">
        <v>141</v>
      </c>
      <c r="I11" s="42" t="s">
        <v>1022</v>
      </c>
      <c r="J11" s="56">
        <v>433303291.19999999</v>
      </c>
      <c r="K11" s="56">
        <v>433303291.19999999</v>
      </c>
      <c r="L11" s="56">
        <v>0</v>
      </c>
      <c r="M11" s="56">
        <v>0</v>
      </c>
      <c r="N11" s="44">
        <v>0</v>
      </c>
      <c r="O11" s="45">
        <v>0</v>
      </c>
      <c r="P11" s="43">
        <v>433303291.19999999</v>
      </c>
      <c r="Q11" s="45">
        <v>0</v>
      </c>
      <c r="R11" s="43">
        <v>433303291.19999999</v>
      </c>
      <c r="S11" s="30">
        <v>433303291.19999999</v>
      </c>
      <c r="T11" s="30">
        <v>433303291.19999999</v>
      </c>
      <c r="U11" s="30">
        <v>524.31999999999994</v>
      </c>
      <c r="V11" s="43">
        <v>524.31999999999994</v>
      </c>
      <c r="W11" s="43">
        <v>15729.599999999999</v>
      </c>
      <c r="X11" s="43">
        <v>826410</v>
      </c>
      <c r="Y11" s="43">
        <v>826410</v>
      </c>
      <c r="Z11" s="43">
        <v>0</v>
      </c>
      <c r="AA11" s="43">
        <v>0</v>
      </c>
      <c r="AB11" s="43"/>
      <c r="AC11" s="43">
        <v>0</v>
      </c>
      <c r="AD11" s="43"/>
      <c r="AE11" s="43">
        <v>0</v>
      </c>
      <c r="AF11" s="43">
        <v>27547</v>
      </c>
      <c r="AG11" s="43">
        <v>27547</v>
      </c>
      <c r="AH11" s="38">
        <v>45397</v>
      </c>
      <c r="AI11" s="38"/>
      <c r="AJ11" s="38"/>
      <c r="AK11" s="38">
        <v>45427</v>
      </c>
      <c r="AL11" s="38"/>
      <c r="AM11" s="48"/>
      <c r="AN11" s="42"/>
      <c r="AO11" s="42" t="s">
        <v>1023</v>
      </c>
      <c r="AP11" s="42" t="s">
        <v>1024</v>
      </c>
      <c r="AQ11" s="42" t="s">
        <v>1025</v>
      </c>
      <c r="AR11" s="42" t="s">
        <v>60</v>
      </c>
      <c r="AS11" s="50">
        <v>0</v>
      </c>
      <c r="AT11" s="39">
        <v>100</v>
      </c>
      <c r="AU11" s="39" t="s">
        <v>389</v>
      </c>
      <c r="AV11" s="49">
        <v>30</v>
      </c>
      <c r="AW11" s="39" t="s">
        <v>62</v>
      </c>
      <c r="AX11" s="39">
        <v>10</v>
      </c>
      <c r="AY11" s="30">
        <v>43330329.119999997</v>
      </c>
      <c r="AZ11" s="42" t="s">
        <v>405</v>
      </c>
    </row>
    <row r="12" spans="1:52" ht="66" customHeight="1" x14ac:dyDescent="0.25">
      <c r="A12" s="46" t="s">
        <v>1042</v>
      </c>
      <c r="B12" s="48">
        <v>45275</v>
      </c>
      <c r="C12" s="42" t="s">
        <v>435</v>
      </c>
      <c r="D12" s="37" t="s">
        <v>1043</v>
      </c>
      <c r="E12" s="41" t="s">
        <v>1044</v>
      </c>
      <c r="F12" s="38">
        <v>45314</v>
      </c>
      <c r="G12" s="39" t="s">
        <v>1045</v>
      </c>
      <c r="H12" s="42" t="s">
        <v>824</v>
      </c>
      <c r="I12" s="42" t="s">
        <v>825</v>
      </c>
      <c r="J12" s="56">
        <v>1526748762</v>
      </c>
      <c r="K12" s="56">
        <v>1526748762</v>
      </c>
      <c r="L12" s="56">
        <v>0</v>
      </c>
      <c r="M12" s="56">
        <v>0</v>
      </c>
      <c r="N12" s="44">
        <v>0</v>
      </c>
      <c r="O12" s="45">
        <v>0</v>
      </c>
      <c r="P12" s="43">
        <v>1526748762</v>
      </c>
      <c r="Q12" s="45">
        <v>0</v>
      </c>
      <c r="R12" s="43">
        <v>1526748762</v>
      </c>
      <c r="S12" s="30">
        <v>1526748762</v>
      </c>
      <c r="T12" s="30">
        <v>1526748762</v>
      </c>
      <c r="U12" s="30">
        <v>204.82</v>
      </c>
      <c r="V12" s="43">
        <v>204.82</v>
      </c>
      <c r="W12" s="43">
        <v>6144.5999999999995</v>
      </c>
      <c r="X12" s="43">
        <v>7454100</v>
      </c>
      <c r="Y12" s="43">
        <v>7454100</v>
      </c>
      <c r="Z12" s="43">
        <v>0</v>
      </c>
      <c r="AA12" s="43">
        <v>0</v>
      </c>
      <c r="AB12" s="43"/>
      <c r="AC12" s="43">
        <v>0</v>
      </c>
      <c r="AD12" s="43"/>
      <c r="AE12" s="43">
        <v>0</v>
      </c>
      <c r="AF12" s="43">
        <v>248470</v>
      </c>
      <c r="AG12" s="43">
        <v>248470</v>
      </c>
      <c r="AH12" s="38">
        <v>45383</v>
      </c>
      <c r="AI12" s="38"/>
      <c r="AJ12" s="38"/>
      <c r="AK12" s="38">
        <v>45413</v>
      </c>
      <c r="AL12" s="38"/>
      <c r="AM12" s="48"/>
      <c r="AN12" s="42"/>
      <c r="AO12" s="42" t="s">
        <v>1046</v>
      </c>
      <c r="AP12" s="42" t="s">
        <v>1047</v>
      </c>
      <c r="AQ12" s="42" t="s">
        <v>1048</v>
      </c>
      <c r="AR12" s="42" t="s">
        <v>82</v>
      </c>
      <c r="AS12" s="50">
        <v>100</v>
      </c>
      <c r="AT12" s="39">
        <v>0</v>
      </c>
      <c r="AU12" s="39" t="s">
        <v>389</v>
      </c>
      <c r="AV12" s="49">
        <v>30</v>
      </c>
      <c r="AW12" s="39" t="s">
        <v>62</v>
      </c>
      <c r="AX12" s="39">
        <v>10</v>
      </c>
      <c r="AY12" s="30">
        <v>152674876.19999999</v>
      </c>
      <c r="AZ12" s="42" t="s">
        <v>405</v>
      </c>
    </row>
    <row r="13" spans="1:52" s="60" customFormat="1" ht="66" customHeight="1" x14ac:dyDescent="0.25">
      <c r="A13" s="46" t="s">
        <v>1049</v>
      </c>
      <c r="B13" s="48">
        <v>45275</v>
      </c>
      <c r="C13" s="42" t="s">
        <v>435</v>
      </c>
      <c r="D13" s="37" t="s">
        <v>1050</v>
      </c>
      <c r="E13" s="41" t="s">
        <v>1051</v>
      </c>
      <c r="F13" s="38">
        <v>45314</v>
      </c>
      <c r="G13" s="39" t="s">
        <v>1052</v>
      </c>
      <c r="H13" s="42" t="s">
        <v>824</v>
      </c>
      <c r="I13" s="42" t="s">
        <v>825</v>
      </c>
      <c r="J13" s="56">
        <v>1140112096.2</v>
      </c>
      <c r="K13" s="56">
        <v>1140112096.2</v>
      </c>
      <c r="L13" s="56">
        <v>0</v>
      </c>
      <c r="M13" s="56">
        <v>0</v>
      </c>
      <c r="N13" s="44">
        <v>0</v>
      </c>
      <c r="O13" s="45">
        <v>0</v>
      </c>
      <c r="P13" s="43">
        <v>1140112096.2</v>
      </c>
      <c r="Q13" s="45">
        <v>0</v>
      </c>
      <c r="R13" s="43">
        <v>1140112096.2</v>
      </c>
      <c r="S13" s="30">
        <v>1140112096.2</v>
      </c>
      <c r="T13" s="30">
        <v>1140112096.2</v>
      </c>
      <c r="U13" s="30">
        <v>204.82000000000002</v>
      </c>
      <c r="V13" s="43">
        <v>204.82000000000002</v>
      </c>
      <c r="W13" s="43">
        <v>6144.6</v>
      </c>
      <c r="X13" s="43">
        <v>5566410</v>
      </c>
      <c r="Y13" s="43">
        <v>5566410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185547</v>
      </c>
      <c r="AG13" s="43">
        <v>185547</v>
      </c>
      <c r="AH13" s="38">
        <v>45352</v>
      </c>
      <c r="AI13" s="38"/>
      <c r="AJ13" s="38"/>
      <c r="AK13" s="38">
        <v>45383</v>
      </c>
      <c r="AL13" s="38"/>
      <c r="AM13" s="48"/>
      <c r="AN13" s="42"/>
      <c r="AO13" s="42" t="s">
        <v>826</v>
      </c>
      <c r="AP13" s="42" t="s">
        <v>827</v>
      </c>
      <c r="AQ13" s="42" t="s">
        <v>828</v>
      </c>
      <c r="AR13" s="42" t="s">
        <v>82</v>
      </c>
      <c r="AS13" s="50">
        <v>100</v>
      </c>
      <c r="AT13" s="39">
        <v>0</v>
      </c>
      <c r="AU13" s="39" t="s">
        <v>389</v>
      </c>
      <c r="AV13" s="49">
        <v>30</v>
      </c>
      <c r="AW13" s="39" t="s">
        <v>221</v>
      </c>
      <c r="AX13" s="39">
        <v>10</v>
      </c>
      <c r="AY13" s="30">
        <v>114011209.62</v>
      </c>
      <c r="AZ13" s="42" t="s">
        <v>405</v>
      </c>
    </row>
    <row r="14" spans="1:52" ht="58.5" customHeight="1" x14ac:dyDescent="0.25">
      <c r="A14" s="46" t="s">
        <v>1253</v>
      </c>
      <c r="B14" s="48">
        <v>45287</v>
      </c>
      <c r="C14" s="42" t="s">
        <v>435</v>
      </c>
      <c r="D14" s="37" t="s">
        <v>1254</v>
      </c>
      <c r="E14" s="41" t="s">
        <v>1255</v>
      </c>
      <c r="F14" s="38">
        <v>45317</v>
      </c>
      <c r="G14" s="39" t="s">
        <v>1256</v>
      </c>
      <c r="H14" s="42" t="s">
        <v>226</v>
      </c>
      <c r="I14" s="42" t="s">
        <v>494</v>
      </c>
      <c r="J14" s="56">
        <v>64380912</v>
      </c>
      <c r="K14" s="56">
        <v>64380912</v>
      </c>
      <c r="L14" s="56">
        <v>0</v>
      </c>
      <c r="M14" s="56">
        <v>0</v>
      </c>
      <c r="N14" s="44">
        <v>0</v>
      </c>
      <c r="O14" s="45">
        <v>0</v>
      </c>
      <c r="P14" s="43">
        <v>64380912</v>
      </c>
      <c r="Q14" s="45">
        <v>0</v>
      </c>
      <c r="R14" s="43">
        <v>64380912</v>
      </c>
      <c r="S14" s="30">
        <v>64380912</v>
      </c>
      <c r="T14" s="30">
        <v>64380912</v>
      </c>
      <c r="U14" s="30">
        <v>17.3</v>
      </c>
      <c r="V14" s="43">
        <v>17.3</v>
      </c>
      <c r="W14" s="43">
        <v>1038</v>
      </c>
      <c r="X14" s="43">
        <v>3721440</v>
      </c>
      <c r="Y14" s="43">
        <v>3721440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62024</v>
      </c>
      <c r="AG14" s="43">
        <v>62024</v>
      </c>
      <c r="AH14" s="38">
        <v>45382</v>
      </c>
      <c r="AI14" s="38"/>
      <c r="AJ14" s="38"/>
      <c r="AK14" s="38">
        <v>45413</v>
      </c>
      <c r="AL14" s="38"/>
      <c r="AM14" s="48"/>
      <c r="AN14" s="42"/>
      <c r="AO14" s="42" t="s">
        <v>1257</v>
      </c>
      <c r="AP14" s="42" t="s">
        <v>1258</v>
      </c>
      <c r="AQ14" s="42" t="s">
        <v>1259</v>
      </c>
      <c r="AR14" s="42" t="s">
        <v>82</v>
      </c>
      <c r="AS14" s="50">
        <v>100</v>
      </c>
      <c r="AT14" s="39">
        <v>0</v>
      </c>
      <c r="AU14" s="39" t="s">
        <v>389</v>
      </c>
      <c r="AV14" s="49">
        <v>60</v>
      </c>
      <c r="AW14" s="39" t="s">
        <v>62</v>
      </c>
      <c r="AX14" s="39">
        <v>10</v>
      </c>
      <c r="AY14" s="30">
        <v>6438091.2000000002</v>
      </c>
      <c r="AZ14" s="42" t="s">
        <v>405</v>
      </c>
    </row>
    <row r="15" spans="1:52" ht="58.5" customHeight="1" x14ac:dyDescent="0.25">
      <c r="A15" s="46" t="s">
        <v>1260</v>
      </c>
      <c r="B15" s="48">
        <v>45287</v>
      </c>
      <c r="C15" s="42" t="s">
        <v>435</v>
      </c>
      <c r="D15" s="37" t="s">
        <v>1261</v>
      </c>
      <c r="E15" s="41" t="s">
        <v>1262</v>
      </c>
      <c r="F15" s="38">
        <v>45317</v>
      </c>
      <c r="G15" s="39" t="s">
        <v>1263</v>
      </c>
      <c r="H15" s="42" t="s">
        <v>226</v>
      </c>
      <c r="I15" s="42" t="s">
        <v>1264</v>
      </c>
      <c r="J15" s="56">
        <v>18012532.800000001</v>
      </c>
      <c r="K15" s="56">
        <v>18012532.800000001</v>
      </c>
      <c r="L15" s="56">
        <v>0</v>
      </c>
      <c r="M15" s="56">
        <v>0</v>
      </c>
      <c r="N15" s="44">
        <v>0</v>
      </c>
      <c r="O15" s="45">
        <v>0</v>
      </c>
      <c r="P15" s="43">
        <v>18012532.800000001</v>
      </c>
      <c r="Q15" s="45">
        <v>0</v>
      </c>
      <c r="R15" s="43">
        <v>18012532.800000001</v>
      </c>
      <c r="S15" s="30">
        <v>18012532.800000001</v>
      </c>
      <c r="T15" s="30">
        <v>18012532.800000001</v>
      </c>
      <c r="U15" s="30">
        <v>110.86</v>
      </c>
      <c r="V15" s="43">
        <v>110.86</v>
      </c>
      <c r="W15" s="43">
        <v>13303.2</v>
      </c>
      <c r="X15" s="43">
        <v>162480</v>
      </c>
      <c r="Y15" s="43">
        <v>162480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1354</v>
      </c>
      <c r="AG15" s="43">
        <v>1354</v>
      </c>
      <c r="AH15" s="38">
        <v>45383</v>
      </c>
      <c r="AI15" s="38"/>
      <c r="AJ15" s="38"/>
      <c r="AK15" s="38">
        <v>45413</v>
      </c>
      <c r="AL15" s="38"/>
      <c r="AM15" s="48"/>
      <c r="AN15" s="42"/>
      <c r="AO15" s="42" t="s">
        <v>1265</v>
      </c>
      <c r="AP15" s="42" t="s">
        <v>1266</v>
      </c>
      <c r="AQ15" s="42" t="s">
        <v>1267</v>
      </c>
      <c r="AR15" s="42" t="s">
        <v>82</v>
      </c>
      <c r="AS15" s="50">
        <v>100</v>
      </c>
      <c r="AT15" s="39">
        <v>0</v>
      </c>
      <c r="AU15" s="39" t="s">
        <v>389</v>
      </c>
      <c r="AV15" s="49">
        <v>120</v>
      </c>
      <c r="AW15" s="39" t="s">
        <v>62</v>
      </c>
      <c r="AX15" s="39">
        <v>10</v>
      </c>
      <c r="AY15" s="30">
        <v>1801253.28</v>
      </c>
      <c r="AZ15" s="42" t="s">
        <v>405</v>
      </c>
    </row>
    <row r="16" spans="1:52" ht="58.5" customHeight="1" x14ac:dyDescent="0.25">
      <c r="A16" s="46" t="s">
        <v>1268</v>
      </c>
      <c r="B16" s="48">
        <v>45287</v>
      </c>
      <c r="C16" s="42" t="s">
        <v>435</v>
      </c>
      <c r="D16" s="37" t="s">
        <v>1269</v>
      </c>
      <c r="E16" s="41" t="s">
        <v>1270</v>
      </c>
      <c r="F16" s="38" t="s">
        <v>1269</v>
      </c>
      <c r="G16" s="39" t="s">
        <v>1269</v>
      </c>
      <c r="H16" s="39" t="s">
        <v>1269</v>
      </c>
      <c r="I16" s="42" t="s">
        <v>1271</v>
      </c>
      <c r="J16" s="56">
        <v>7038016</v>
      </c>
      <c r="K16" s="56">
        <v>7038016</v>
      </c>
      <c r="L16" s="56"/>
      <c r="M16" s="56"/>
      <c r="N16" s="44">
        <v>100</v>
      </c>
      <c r="O16" s="45">
        <v>7038016</v>
      </c>
      <c r="P16" s="43"/>
      <c r="Q16" s="45">
        <v>7038016</v>
      </c>
      <c r="R16" s="43">
        <v>0</v>
      </c>
      <c r="S16" s="30">
        <v>0</v>
      </c>
      <c r="T16" s="30">
        <v>0</v>
      </c>
      <c r="U16" s="30" t="e">
        <v>#DIV/0!</v>
      </c>
      <c r="V16" s="43" t="e">
        <v>#DIV/0!</v>
      </c>
      <c r="W16" s="43" t="e">
        <v>#DIV/0!</v>
      </c>
      <c r="X16" s="43">
        <v>0</v>
      </c>
      <c r="Y16" s="43">
        <v>0</v>
      </c>
      <c r="Z16" s="43">
        <v>0</v>
      </c>
      <c r="AA16" s="43">
        <v>0</v>
      </c>
      <c r="AB16" s="43"/>
      <c r="AC16" s="43" t="e">
        <v>#DIV/0!</v>
      </c>
      <c r="AD16" s="43"/>
      <c r="AE16" s="43" t="e">
        <v>#DIV/0!</v>
      </c>
      <c r="AF16" s="43" t="e">
        <v>#DIV/0!</v>
      </c>
      <c r="AG16" s="43" t="e">
        <v>#DIV/0!</v>
      </c>
      <c r="AH16" s="38">
        <v>45337</v>
      </c>
      <c r="AI16" s="38"/>
      <c r="AJ16" s="38"/>
      <c r="AK16" s="38"/>
      <c r="AL16" s="38"/>
      <c r="AM16" s="48"/>
      <c r="AN16" s="42"/>
      <c r="AO16" s="42"/>
      <c r="AP16" s="42"/>
      <c r="AQ16" s="42"/>
      <c r="AR16" s="42"/>
      <c r="AS16" s="50"/>
      <c r="AT16" s="39"/>
      <c r="AU16" s="39"/>
      <c r="AV16" s="49"/>
      <c r="AW16" s="39"/>
      <c r="AX16" s="39">
        <v>10</v>
      </c>
      <c r="AY16" s="30">
        <v>703801.6</v>
      </c>
      <c r="AZ16" s="39" t="s">
        <v>1269</v>
      </c>
    </row>
    <row r="17" spans="1:52" ht="58.5" customHeight="1" x14ac:dyDescent="0.25">
      <c r="A17" s="46" t="s">
        <v>1272</v>
      </c>
      <c r="B17" s="48">
        <v>45287</v>
      </c>
      <c r="C17" s="42" t="s">
        <v>435</v>
      </c>
      <c r="D17" s="37" t="s">
        <v>434</v>
      </c>
      <c r="E17" s="41" t="s">
        <v>1273</v>
      </c>
      <c r="F17" s="38" t="s">
        <v>434</v>
      </c>
      <c r="G17" s="39" t="s">
        <v>434</v>
      </c>
      <c r="H17" s="42" t="s">
        <v>434</v>
      </c>
      <c r="I17" s="42" t="s">
        <v>1274</v>
      </c>
      <c r="J17" s="56">
        <v>2030112</v>
      </c>
      <c r="K17" s="56">
        <v>2030112</v>
      </c>
      <c r="L17" s="56"/>
      <c r="M17" s="56"/>
      <c r="N17" s="44">
        <v>100</v>
      </c>
      <c r="O17" s="45">
        <v>2030112</v>
      </c>
      <c r="P17" s="43"/>
      <c r="Q17" s="45">
        <v>2030112</v>
      </c>
      <c r="R17" s="43">
        <v>0</v>
      </c>
      <c r="S17" s="30">
        <v>0</v>
      </c>
      <c r="T17" s="30">
        <v>0</v>
      </c>
      <c r="U17" s="30" t="e">
        <v>#DIV/0!</v>
      </c>
      <c r="V17" s="43" t="e">
        <v>#DIV/0!</v>
      </c>
      <c r="W17" s="43" t="e">
        <v>#DIV/0!</v>
      </c>
      <c r="X17" s="43">
        <v>0</v>
      </c>
      <c r="Y17" s="43">
        <v>0</v>
      </c>
      <c r="Z17" s="43">
        <v>0</v>
      </c>
      <c r="AA17" s="43">
        <v>0</v>
      </c>
      <c r="AB17" s="43"/>
      <c r="AC17" s="43" t="e">
        <v>#DIV/0!</v>
      </c>
      <c r="AD17" s="43"/>
      <c r="AE17" s="43" t="e">
        <v>#DIV/0!</v>
      </c>
      <c r="AF17" s="43" t="e">
        <v>#DIV/0!</v>
      </c>
      <c r="AG17" s="43" t="e">
        <v>#DIV/0!</v>
      </c>
      <c r="AH17" s="38">
        <v>45383</v>
      </c>
      <c r="AI17" s="38"/>
      <c r="AJ17" s="38"/>
      <c r="AK17" s="38"/>
      <c r="AL17" s="38"/>
      <c r="AM17" s="48"/>
      <c r="AN17" s="42"/>
      <c r="AO17" s="42"/>
      <c r="AP17" s="42"/>
      <c r="AQ17" s="42"/>
      <c r="AR17" s="42"/>
      <c r="AS17" s="50"/>
      <c r="AT17" s="39"/>
      <c r="AU17" s="39"/>
      <c r="AV17" s="49"/>
      <c r="AW17" s="39"/>
      <c r="AX17" s="39">
        <v>10</v>
      </c>
      <c r="AY17" s="30">
        <v>203011.20000000001</v>
      </c>
      <c r="AZ17" s="42" t="s">
        <v>434</v>
      </c>
    </row>
    <row r="18" spans="1:52" ht="58.5" customHeight="1" x14ac:dyDescent="0.25">
      <c r="A18" s="46" t="s">
        <v>1281</v>
      </c>
      <c r="B18" s="48">
        <v>45287</v>
      </c>
      <c r="C18" s="42" t="s">
        <v>435</v>
      </c>
      <c r="D18" s="37" t="s">
        <v>1282</v>
      </c>
      <c r="E18" s="41" t="s">
        <v>1283</v>
      </c>
      <c r="F18" s="38">
        <v>45317</v>
      </c>
      <c r="G18" s="39" t="s">
        <v>1284</v>
      </c>
      <c r="H18" s="42" t="s">
        <v>141</v>
      </c>
      <c r="I18" s="42" t="s">
        <v>1285</v>
      </c>
      <c r="J18" s="56">
        <v>253458935.40000001</v>
      </c>
      <c r="K18" s="56">
        <v>253458935.40000001</v>
      </c>
      <c r="L18" s="56">
        <v>0</v>
      </c>
      <c r="M18" s="56">
        <v>0</v>
      </c>
      <c r="N18" s="44">
        <v>0</v>
      </c>
      <c r="O18" s="45">
        <v>0</v>
      </c>
      <c r="P18" s="43">
        <v>253458935.40000001</v>
      </c>
      <c r="Q18" s="45">
        <v>0</v>
      </c>
      <c r="R18" s="43">
        <v>253458935.40000001</v>
      </c>
      <c r="S18" s="30">
        <v>253458935.40000001</v>
      </c>
      <c r="T18" s="30">
        <v>253458935.40000001</v>
      </c>
      <c r="U18" s="30">
        <v>835.01</v>
      </c>
      <c r="V18" s="43">
        <v>835.01</v>
      </c>
      <c r="W18" s="43">
        <v>25050.3</v>
      </c>
      <c r="X18" s="43">
        <v>303540</v>
      </c>
      <c r="Y18" s="43">
        <v>303540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10118</v>
      </c>
      <c r="AG18" s="43">
        <v>10118</v>
      </c>
      <c r="AH18" s="38">
        <v>45352</v>
      </c>
      <c r="AI18" s="38"/>
      <c r="AJ18" s="38"/>
      <c r="AK18" s="38">
        <v>45383</v>
      </c>
      <c r="AL18" s="38"/>
      <c r="AM18" s="48"/>
      <c r="AN18" s="42"/>
      <c r="AO18" s="42" t="s">
        <v>1286</v>
      </c>
      <c r="AP18" s="42" t="s">
        <v>1287</v>
      </c>
      <c r="AQ18" s="42" t="s">
        <v>1288</v>
      </c>
      <c r="AR18" s="42" t="s">
        <v>1289</v>
      </c>
      <c r="AS18" s="50">
        <v>0</v>
      </c>
      <c r="AT18" s="39">
        <v>100</v>
      </c>
      <c r="AU18" s="39" t="s">
        <v>389</v>
      </c>
      <c r="AV18" s="49">
        <v>30</v>
      </c>
      <c r="AW18" s="39" t="s">
        <v>62</v>
      </c>
      <c r="AX18" s="39">
        <v>10</v>
      </c>
      <c r="AY18" s="30">
        <v>25345893.539999999</v>
      </c>
      <c r="AZ18" s="42" t="s">
        <v>405</v>
      </c>
    </row>
    <row r="19" spans="1:52" ht="58.5" customHeight="1" x14ac:dyDescent="0.25">
      <c r="A19" s="46" t="s">
        <v>1304</v>
      </c>
      <c r="B19" s="48">
        <v>45287</v>
      </c>
      <c r="C19" s="42" t="s">
        <v>435</v>
      </c>
      <c r="D19" s="37" t="s">
        <v>1305</v>
      </c>
      <c r="E19" s="41" t="s">
        <v>1306</v>
      </c>
      <c r="F19" s="38">
        <v>45320</v>
      </c>
      <c r="G19" s="39" t="s">
        <v>1307</v>
      </c>
      <c r="H19" s="42" t="s">
        <v>226</v>
      </c>
      <c r="I19" s="42" t="s">
        <v>1308</v>
      </c>
      <c r="J19" s="56">
        <v>2669581.2000000002</v>
      </c>
      <c r="K19" s="56">
        <v>2669581.2000000002</v>
      </c>
      <c r="L19" s="56">
        <v>0</v>
      </c>
      <c r="M19" s="56">
        <v>0</v>
      </c>
      <c r="N19" s="44">
        <v>0</v>
      </c>
      <c r="O19" s="45">
        <v>0</v>
      </c>
      <c r="P19" s="43">
        <v>2669581.2000000002</v>
      </c>
      <c r="Q19" s="45">
        <v>0</v>
      </c>
      <c r="R19" s="43">
        <v>2669581.2000000002</v>
      </c>
      <c r="S19" s="30">
        <v>2669581.2000000002</v>
      </c>
      <c r="T19" s="30">
        <v>2669581.2000000002</v>
      </c>
      <c r="U19" s="30">
        <v>13.24</v>
      </c>
      <c r="V19" s="43">
        <v>13.24</v>
      </c>
      <c r="W19" s="43">
        <v>794.4</v>
      </c>
      <c r="X19" s="43">
        <v>201630</v>
      </c>
      <c r="Y19" s="43">
        <v>201630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3360.5</v>
      </c>
      <c r="AG19" s="43">
        <v>3361</v>
      </c>
      <c r="AH19" s="38">
        <v>45382</v>
      </c>
      <c r="AI19" s="38"/>
      <c r="AJ19" s="38"/>
      <c r="AK19" s="38">
        <v>45413</v>
      </c>
      <c r="AL19" s="38"/>
      <c r="AM19" s="48"/>
      <c r="AN19" s="42"/>
      <c r="AO19" s="42" t="s">
        <v>1309</v>
      </c>
      <c r="AP19" s="42" t="s">
        <v>1310</v>
      </c>
      <c r="AQ19" s="42" t="s">
        <v>1311</v>
      </c>
      <c r="AR19" s="42" t="s">
        <v>82</v>
      </c>
      <c r="AS19" s="50">
        <v>100</v>
      </c>
      <c r="AT19" s="39">
        <v>0</v>
      </c>
      <c r="AU19" s="39" t="s">
        <v>389</v>
      </c>
      <c r="AV19" s="49">
        <v>60</v>
      </c>
      <c r="AW19" s="39" t="s">
        <v>62</v>
      </c>
      <c r="AX19" s="39">
        <v>10</v>
      </c>
      <c r="AY19" s="30">
        <v>266958.12</v>
      </c>
      <c r="AZ19" s="42" t="s">
        <v>405</v>
      </c>
    </row>
    <row r="20" spans="1:52" ht="58.5" customHeight="1" x14ac:dyDescent="0.25">
      <c r="A20" s="46" t="s">
        <v>1312</v>
      </c>
      <c r="B20" s="48">
        <v>45287</v>
      </c>
      <c r="C20" s="42" t="s">
        <v>435</v>
      </c>
      <c r="D20" s="37" t="s">
        <v>1269</v>
      </c>
      <c r="E20" s="41" t="s">
        <v>1313</v>
      </c>
      <c r="F20" s="38" t="s">
        <v>1269</v>
      </c>
      <c r="G20" s="39" t="s">
        <v>1269</v>
      </c>
      <c r="H20" s="42" t="s">
        <v>1269</v>
      </c>
      <c r="I20" s="42" t="s">
        <v>1314</v>
      </c>
      <c r="J20" s="56">
        <v>8321227.2000000002</v>
      </c>
      <c r="K20" s="56">
        <v>8321227.2000000002</v>
      </c>
      <c r="L20" s="56">
        <v>0</v>
      </c>
      <c r="M20" s="56">
        <v>0</v>
      </c>
      <c r="N20" s="44">
        <v>100</v>
      </c>
      <c r="O20" s="45">
        <v>8321227.2000000002</v>
      </c>
      <c r="P20" s="43"/>
      <c r="Q20" s="45">
        <v>8321227.2000000002</v>
      </c>
      <c r="R20" s="43">
        <v>0</v>
      </c>
      <c r="S20" s="30">
        <v>0</v>
      </c>
      <c r="T20" s="30">
        <v>0</v>
      </c>
      <c r="U20" s="30" t="e">
        <v>#DIV/0!</v>
      </c>
      <c r="V20" s="43" t="e">
        <v>#DIV/0!</v>
      </c>
      <c r="W20" s="43" t="e">
        <v>#DIV/0!</v>
      </c>
      <c r="X20" s="43">
        <v>0</v>
      </c>
      <c r="Y20" s="43">
        <v>0</v>
      </c>
      <c r="Z20" s="43">
        <v>0</v>
      </c>
      <c r="AA20" s="43">
        <v>0</v>
      </c>
      <c r="AB20" s="43"/>
      <c r="AC20" s="43" t="e">
        <v>#DIV/0!</v>
      </c>
      <c r="AD20" s="43"/>
      <c r="AE20" s="43" t="e">
        <v>#DIV/0!</v>
      </c>
      <c r="AF20" s="43" t="e">
        <v>#DIV/0!</v>
      </c>
      <c r="AG20" s="43" t="e">
        <v>#DIV/0!</v>
      </c>
      <c r="AH20" s="38">
        <v>45382</v>
      </c>
      <c r="AI20" s="38"/>
      <c r="AJ20" s="38"/>
      <c r="AK20" s="38"/>
      <c r="AL20" s="38"/>
      <c r="AM20" s="48"/>
      <c r="AN20" s="42"/>
      <c r="AO20" s="42"/>
      <c r="AP20" s="42"/>
      <c r="AQ20" s="42"/>
      <c r="AR20" s="42"/>
      <c r="AS20" s="50"/>
      <c r="AT20" s="39"/>
      <c r="AU20" s="39"/>
      <c r="AV20" s="49"/>
      <c r="AW20" s="39"/>
      <c r="AX20" s="39">
        <v>10</v>
      </c>
      <c r="AY20" s="30">
        <v>832122.72</v>
      </c>
      <c r="AZ20" s="42" t="s">
        <v>1269</v>
      </c>
    </row>
    <row r="21" spans="1:52" ht="58.5" customHeight="1" x14ac:dyDescent="0.25">
      <c r="A21" s="46" t="s">
        <v>1368</v>
      </c>
      <c r="B21" s="48">
        <v>45288</v>
      </c>
      <c r="C21" s="42" t="s">
        <v>435</v>
      </c>
      <c r="D21" s="37" t="s">
        <v>1369</v>
      </c>
      <c r="E21" s="41" t="s">
        <v>1370</v>
      </c>
      <c r="F21" s="38">
        <v>45320</v>
      </c>
      <c r="G21" s="39" t="s">
        <v>1371</v>
      </c>
      <c r="H21" s="42" t="s">
        <v>141</v>
      </c>
      <c r="I21" s="42" t="s">
        <v>1372</v>
      </c>
      <c r="J21" s="56">
        <v>1031720792.4</v>
      </c>
      <c r="K21" s="56">
        <v>1031720792.4</v>
      </c>
      <c r="L21" s="56">
        <v>0</v>
      </c>
      <c r="M21" s="56">
        <v>0</v>
      </c>
      <c r="N21" s="44">
        <v>0</v>
      </c>
      <c r="O21" s="45">
        <v>0</v>
      </c>
      <c r="P21" s="43">
        <v>1031720792.4</v>
      </c>
      <c r="Q21" s="45">
        <v>0</v>
      </c>
      <c r="R21" s="43">
        <v>1031720792.4</v>
      </c>
      <c r="S21" s="30">
        <v>1031720792.4</v>
      </c>
      <c r="T21" s="30">
        <v>1031720792.4</v>
      </c>
      <c r="U21" s="30">
        <v>201.66</v>
      </c>
      <c r="V21" s="43">
        <v>201.66</v>
      </c>
      <c r="W21" s="43">
        <v>6049.8</v>
      </c>
      <c r="X21" s="43">
        <v>5116140</v>
      </c>
      <c r="Y21" s="43">
        <v>5116140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170538</v>
      </c>
      <c r="AG21" s="43">
        <v>170538</v>
      </c>
      <c r="AH21" s="38">
        <v>45397</v>
      </c>
      <c r="AI21" s="38"/>
      <c r="AJ21" s="38"/>
      <c r="AK21" s="38">
        <v>45427</v>
      </c>
      <c r="AL21" s="38"/>
      <c r="AM21" s="48"/>
      <c r="AN21" s="42"/>
      <c r="AO21" s="42" t="s">
        <v>1373</v>
      </c>
      <c r="AP21" s="42" t="s">
        <v>1374</v>
      </c>
      <c r="AQ21" s="42" t="s">
        <v>1375</v>
      </c>
      <c r="AR21" s="42" t="s">
        <v>82</v>
      </c>
      <c r="AS21" s="50">
        <v>100</v>
      </c>
      <c r="AT21" s="39">
        <v>0</v>
      </c>
      <c r="AU21" s="39" t="s">
        <v>389</v>
      </c>
      <c r="AV21" s="49">
        <v>30</v>
      </c>
      <c r="AW21" s="39" t="s">
        <v>62</v>
      </c>
      <c r="AX21" s="39">
        <v>10</v>
      </c>
      <c r="AY21" s="30">
        <v>103172079.23999999</v>
      </c>
      <c r="AZ21" s="42" t="s">
        <v>405</v>
      </c>
    </row>
    <row r="22" spans="1:52" ht="58.5" customHeight="1" x14ac:dyDescent="0.25">
      <c r="A22" s="46" t="s">
        <v>1376</v>
      </c>
      <c r="B22" s="48">
        <v>45288</v>
      </c>
      <c r="C22" s="42" t="s">
        <v>435</v>
      </c>
      <c r="D22" s="37" t="s">
        <v>1377</v>
      </c>
      <c r="E22" s="41" t="s">
        <v>1378</v>
      </c>
      <c r="F22" s="38">
        <v>45320</v>
      </c>
      <c r="G22" s="39" t="s">
        <v>1379</v>
      </c>
      <c r="H22" s="42" t="s">
        <v>54</v>
      </c>
      <c r="I22" s="42" t="s">
        <v>1380</v>
      </c>
      <c r="J22" s="56">
        <v>790983700.20000005</v>
      </c>
      <c r="K22" s="56">
        <v>790983700.20000005</v>
      </c>
      <c r="L22" s="56">
        <v>0</v>
      </c>
      <c r="M22" s="56">
        <v>0</v>
      </c>
      <c r="N22" s="44">
        <v>0</v>
      </c>
      <c r="O22" s="45">
        <v>0</v>
      </c>
      <c r="P22" s="43">
        <v>790983700.20000005</v>
      </c>
      <c r="Q22" s="45">
        <v>0</v>
      </c>
      <c r="R22" s="43">
        <v>790983700.20000005</v>
      </c>
      <c r="S22" s="30">
        <v>790983700.20000005</v>
      </c>
      <c r="T22" s="30">
        <v>790983700.20000005</v>
      </c>
      <c r="U22" s="30">
        <v>414.21000000000004</v>
      </c>
      <c r="V22" s="43">
        <v>414.21000000000004</v>
      </c>
      <c r="W22" s="43">
        <v>12426.300000000001</v>
      </c>
      <c r="X22" s="43">
        <v>1909620</v>
      </c>
      <c r="Y22" s="43">
        <v>1909620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63654</v>
      </c>
      <c r="AG22" s="43">
        <v>63654</v>
      </c>
      <c r="AH22" s="38">
        <v>45514</v>
      </c>
      <c r="AI22" s="38"/>
      <c r="AJ22" s="38"/>
      <c r="AK22" s="38">
        <v>45545</v>
      </c>
      <c r="AL22" s="38"/>
      <c r="AM22" s="48"/>
      <c r="AN22" s="42"/>
      <c r="AO22" s="42" t="s">
        <v>514</v>
      </c>
      <c r="AP22" s="42" t="s">
        <v>515</v>
      </c>
      <c r="AQ22" s="42" t="s">
        <v>516</v>
      </c>
      <c r="AR22" s="42" t="s">
        <v>60</v>
      </c>
      <c r="AS22" s="50">
        <v>0</v>
      </c>
      <c r="AT22" s="39">
        <v>100</v>
      </c>
      <c r="AU22" s="39" t="s">
        <v>389</v>
      </c>
      <c r="AV22" s="49">
        <v>30</v>
      </c>
      <c r="AW22" s="39" t="s">
        <v>62</v>
      </c>
      <c r="AX22" s="39">
        <v>10</v>
      </c>
      <c r="AY22" s="30">
        <v>79098370.019999996</v>
      </c>
      <c r="AZ22" s="42" t="s">
        <v>405</v>
      </c>
    </row>
    <row r="23" spans="1:52" ht="58.5" customHeight="1" x14ac:dyDescent="0.25">
      <c r="A23" s="46" t="s">
        <v>1381</v>
      </c>
      <c r="B23" s="48">
        <v>45288</v>
      </c>
      <c r="C23" s="42" t="s">
        <v>435</v>
      </c>
      <c r="D23" s="37" t="s">
        <v>434</v>
      </c>
      <c r="E23" s="41" t="s">
        <v>1382</v>
      </c>
      <c r="F23" s="38" t="s">
        <v>434</v>
      </c>
      <c r="G23" s="39" t="s">
        <v>434</v>
      </c>
      <c r="H23" s="42" t="s">
        <v>434</v>
      </c>
      <c r="I23" s="42" t="s">
        <v>1383</v>
      </c>
      <c r="J23" s="56">
        <v>71990384.400000006</v>
      </c>
      <c r="K23" s="56">
        <v>71990384.400000006</v>
      </c>
      <c r="L23" s="56">
        <v>0</v>
      </c>
      <c r="M23" s="56">
        <v>0</v>
      </c>
      <c r="N23" s="44">
        <v>100</v>
      </c>
      <c r="O23" s="45">
        <v>71990384.400000006</v>
      </c>
      <c r="P23" s="43"/>
      <c r="Q23" s="45">
        <v>71990384.400000006</v>
      </c>
      <c r="R23" s="43">
        <v>0</v>
      </c>
      <c r="S23" s="30">
        <v>0</v>
      </c>
      <c r="T23" s="30">
        <v>0</v>
      </c>
      <c r="U23" s="30" t="e">
        <v>#DIV/0!</v>
      </c>
      <c r="V23" s="43" t="e">
        <v>#DIV/0!</v>
      </c>
      <c r="W23" s="43" t="e">
        <v>#DIV/0!</v>
      </c>
      <c r="X23" s="43">
        <v>0</v>
      </c>
      <c r="Y23" s="43">
        <v>0</v>
      </c>
      <c r="Z23" s="43">
        <v>0</v>
      </c>
      <c r="AA23" s="43">
        <v>0</v>
      </c>
      <c r="AB23" s="43"/>
      <c r="AC23" s="43" t="e">
        <v>#DIV/0!</v>
      </c>
      <c r="AD23" s="43"/>
      <c r="AE23" s="43" t="e">
        <v>#DIV/0!</v>
      </c>
      <c r="AF23" s="43" t="e">
        <v>#DIV/0!</v>
      </c>
      <c r="AG23" s="43" t="e">
        <v>#DIV/0!</v>
      </c>
      <c r="AH23" s="38">
        <v>45383</v>
      </c>
      <c r="AI23" s="38"/>
      <c r="AJ23" s="38"/>
      <c r="AK23" s="38"/>
      <c r="AL23" s="38"/>
      <c r="AM23" s="48"/>
      <c r="AN23" s="42"/>
      <c r="AO23" s="42"/>
      <c r="AP23" s="42"/>
      <c r="AQ23" s="42"/>
      <c r="AR23" s="42"/>
      <c r="AS23" s="50"/>
      <c r="AT23" s="39"/>
      <c r="AU23" s="39"/>
      <c r="AV23" s="49"/>
      <c r="AW23" s="39"/>
      <c r="AX23" s="39">
        <v>10</v>
      </c>
      <c r="AY23" s="30">
        <v>7199038.4400000004</v>
      </c>
      <c r="AZ23" s="42" t="s">
        <v>434</v>
      </c>
    </row>
    <row r="24" spans="1:52" ht="48.75" customHeight="1" x14ac:dyDescent="0.25">
      <c r="A24" s="61" t="s">
        <v>1526</v>
      </c>
      <c r="B24" s="62">
        <v>45313</v>
      </c>
      <c r="C24" s="42" t="s">
        <v>435</v>
      </c>
      <c r="D24" s="37" t="s">
        <v>434</v>
      </c>
      <c r="E24" s="41" t="s">
        <v>1527</v>
      </c>
      <c r="F24" s="38" t="s">
        <v>434</v>
      </c>
      <c r="G24" s="39" t="s">
        <v>434</v>
      </c>
      <c r="H24" s="42" t="s">
        <v>434</v>
      </c>
      <c r="I24" s="42" t="s">
        <v>1528</v>
      </c>
      <c r="J24" s="63">
        <v>229822000.5</v>
      </c>
      <c r="K24" s="43">
        <v>0</v>
      </c>
      <c r="L24" s="56">
        <v>0</v>
      </c>
      <c r="M24" s="56">
        <v>0</v>
      </c>
      <c r="N24" s="44">
        <v>100</v>
      </c>
      <c r="O24" s="45">
        <v>229822000.5</v>
      </c>
      <c r="P24" s="43"/>
      <c r="Q24" s="45">
        <v>229822000.5</v>
      </c>
      <c r="R24" s="43">
        <v>0</v>
      </c>
      <c r="S24" s="30">
        <v>0</v>
      </c>
      <c r="T24" s="30">
        <v>0</v>
      </c>
      <c r="U24" s="30" t="e">
        <v>#DIV/0!</v>
      </c>
      <c r="V24" s="43" t="e">
        <v>#DIV/0!</v>
      </c>
      <c r="W24" s="43" t="e">
        <v>#DIV/0!</v>
      </c>
      <c r="X24" s="43">
        <v>0</v>
      </c>
      <c r="Y24" s="43">
        <v>0</v>
      </c>
      <c r="Z24" s="43">
        <v>0</v>
      </c>
      <c r="AA24" s="43">
        <v>0</v>
      </c>
      <c r="AB24" s="43"/>
      <c r="AC24" s="43" t="e">
        <v>#DIV/0!</v>
      </c>
      <c r="AD24" s="43"/>
      <c r="AE24" s="43" t="e">
        <v>#DIV/0!</v>
      </c>
      <c r="AF24" s="43" t="e">
        <v>#DIV/0!</v>
      </c>
      <c r="AG24" s="43" t="e">
        <v>#DIV/0!</v>
      </c>
      <c r="AH24" s="38">
        <v>45382</v>
      </c>
      <c r="AI24" s="38"/>
      <c r="AJ24" s="38"/>
      <c r="AK24" s="38"/>
      <c r="AL24" s="38"/>
      <c r="AM24" s="48"/>
      <c r="AN24" s="42"/>
      <c r="AO24" s="42"/>
      <c r="AP24" s="42"/>
      <c r="AQ24" s="42"/>
      <c r="AR24" s="42"/>
      <c r="AS24" s="50"/>
      <c r="AT24" s="39"/>
      <c r="AU24" s="39"/>
      <c r="AV24" s="49"/>
      <c r="AW24" s="39"/>
      <c r="AX24" s="39">
        <v>10</v>
      </c>
      <c r="AY24" s="30">
        <v>22982200.050000001</v>
      </c>
      <c r="AZ24" s="42" t="s">
        <v>434</v>
      </c>
    </row>
    <row r="25" spans="1:52" ht="48.75" customHeight="1" x14ac:dyDescent="0.25">
      <c r="A25" s="61" t="s">
        <v>1529</v>
      </c>
      <c r="B25" s="62">
        <v>45313</v>
      </c>
      <c r="C25" s="42" t="s">
        <v>435</v>
      </c>
      <c r="D25" s="37" t="s">
        <v>1530</v>
      </c>
      <c r="E25" s="41" t="s">
        <v>1531</v>
      </c>
      <c r="F25" s="38">
        <v>45334</v>
      </c>
      <c r="G25" s="39" t="s">
        <v>1532</v>
      </c>
      <c r="H25" s="42" t="s">
        <v>205</v>
      </c>
      <c r="I25" s="42" t="s">
        <v>1533</v>
      </c>
      <c r="J25" s="63">
        <v>3858140</v>
      </c>
      <c r="K25" s="43">
        <v>0</v>
      </c>
      <c r="L25" s="56">
        <v>0</v>
      </c>
      <c r="M25" s="56">
        <v>0</v>
      </c>
      <c r="N25" s="44">
        <v>0</v>
      </c>
      <c r="O25" s="45">
        <v>0</v>
      </c>
      <c r="P25" s="43">
        <v>3858140</v>
      </c>
      <c r="Q25" s="45">
        <v>0</v>
      </c>
      <c r="R25" s="43">
        <v>3858140</v>
      </c>
      <c r="S25" s="30">
        <v>3858140</v>
      </c>
      <c r="T25" s="30">
        <v>3858140</v>
      </c>
      <c r="U25" s="30">
        <v>2.09</v>
      </c>
      <c r="V25" s="43">
        <v>2.09</v>
      </c>
      <c r="W25" s="43">
        <v>418</v>
      </c>
      <c r="X25" s="43">
        <v>1846000</v>
      </c>
      <c r="Y25" s="43">
        <v>1846000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9230</v>
      </c>
      <c r="AG25" s="43">
        <v>9230</v>
      </c>
      <c r="AH25" s="38">
        <v>45382</v>
      </c>
      <c r="AI25" s="38"/>
      <c r="AJ25" s="38"/>
      <c r="AK25" s="38">
        <v>45413</v>
      </c>
      <c r="AL25" s="38"/>
      <c r="AM25" s="48"/>
      <c r="AN25" s="42"/>
      <c r="AO25" s="42" t="s">
        <v>1534</v>
      </c>
      <c r="AP25" s="42" t="s">
        <v>1535</v>
      </c>
      <c r="AQ25" s="42" t="s">
        <v>1536</v>
      </c>
      <c r="AR25" s="42" t="s">
        <v>82</v>
      </c>
      <c r="AS25" s="50">
        <v>100</v>
      </c>
      <c r="AT25" s="39">
        <v>0</v>
      </c>
      <c r="AU25" s="39" t="s">
        <v>83</v>
      </c>
      <c r="AV25" s="49">
        <v>200</v>
      </c>
      <c r="AW25" s="39" t="s">
        <v>221</v>
      </c>
      <c r="AX25" s="39">
        <v>10</v>
      </c>
      <c r="AY25" s="30">
        <v>385814</v>
      </c>
      <c r="AZ25" s="42" t="s">
        <v>405</v>
      </c>
    </row>
    <row r="26" spans="1:52" ht="48.75" customHeight="1" x14ac:dyDescent="0.25">
      <c r="A26" s="61" t="s">
        <v>1537</v>
      </c>
      <c r="B26" s="62">
        <v>45313</v>
      </c>
      <c r="C26" s="42" t="s">
        <v>435</v>
      </c>
      <c r="D26" s="37" t="s">
        <v>1538</v>
      </c>
      <c r="E26" s="41" t="s">
        <v>1539</v>
      </c>
      <c r="F26" s="38">
        <v>45334</v>
      </c>
      <c r="G26" s="39" t="s">
        <v>1540</v>
      </c>
      <c r="H26" s="42" t="s">
        <v>205</v>
      </c>
      <c r="I26" s="42" t="s">
        <v>1541</v>
      </c>
      <c r="J26" s="63">
        <v>331056</v>
      </c>
      <c r="K26" s="43">
        <v>0</v>
      </c>
      <c r="L26" s="56">
        <v>0</v>
      </c>
      <c r="M26" s="56">
        <v>0</v>
      </c>
      <c r="N26" s="44">
        <v>0</v>
      </c>
      <c r="O26" s="45">
        <v>0</v>
      </c>
      <c r="P26" s="43">
        <v>331056</v>
      </c>
      <c r="Q26" s="45">
        <v>0</v>
      </c>
      <c r="R26" s="43">
        <v>331056</v>
      </c>
      <c r="S26" s="30">
        <v>331056</v>
      </c>
      <c r="T26" s="30">
        <v>331056</v>
      </c>
      <c r="U26" s="30">
        <v>183.92</v>
      </c>
      <c r="V26" s="43">
        <v>183.92</v>
      </c>
      <c r="W26" s="43">
        <v>11035.199999999999</v>
      </c>
      <c r="X26" s="43">
        <v>1800</v>
      </c>
      <c r="Y26" s="43">
        <v>1800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30</v>
      </c>
      <c r="AG26" s="43">
        <v>30</v>
      </c>
      <c r="AH26" s="38">
        <v>45366</v>
      </c>
      <c r="AI26" s="38"/>
      <c r="AJ26" s="38"/>
      <c r="AK26" s="38">
        <v>45397</v>
      </c>
      <c r="AL26" s="38"/>
      <c r="AM26" s="48"/>
      <c r="AN26" s="42"/>
      <c r="AO26" s="42" t="s">
        <v>1542</v>
      </c>
      <c r="AP26" s="42" t="s">
        <v>1543</v>
      </c>
      <c r="AQ26" s="42" t="s">
        <v>1544</v>
      </c>
      <c r="AR26" s="42" t="s">
        <v>94</v>
      </c>
      <c r="AS26" s="50">
        <v>0</v>
      </c>
      <c r="AT26" s="39">
        <v>100</v>
      </c>
      <c r="AU26" s="39" t="s">
        <v>389</v>
      </c>
      <c r="AV26" s="49">
        <v>60</v>
      </c>
      <c r="AW26" s="39" t="s">
        <v>221</v>
      </c>
      <c r="AX26" s="39">
        <v>10</v>
      </c>
      <c r="AY26" s="30">
        <v>33105.599999999999</v>
      </c>
      <c r="AZ26" s="42" t="s">
        <v>405</v>
      </c>
    </row>
    <row r="27" spans="1:52" ht="48.75" customHeight="1" x14ac:dyDescent="0.25">
      <c r="A27" s="61" t="s">
        <v>1545</v>
      </c>
      <c r="B27" s="62">
        <v>45313</v>
      </c>
      <c r="C27" s="42" t="s">
        <v>435</v>
      </c>
      <c r="D27" s="37" t="s">
        <v>434</v>
      </c>
      <c r="E27" s="41" t="s">
        <v>1546</v>
      </c>
      <c r="F27" s="38" t="s">
        <v>434</v>
      </c>
      <c r="G27" s="39" t="s">
        <v>434</v>
      </c>
      <c r="H27" s="42" t="s">
        <v>434</v>
      </c>
      <c r="I27" s="42" t="s">
        <v>1547</v>
      </c>
      <c r="J27" s="63">
        <v>388170432</v>
      </c>
      <c r="K27" s="43">
        <v>0</v>
      </c>
      <c r="L27" s="56">
        <v>0</v>
      </c>
      <c r="M27" s="56">
        <v>0</v>
      </c>
      <c r="N27" s="44">
        <v>100</v>
      </c>
      <c r="O27" s="45">
        <v>388170432</v>
      </c>
      <c r="P27" s="43"/>
      <c r="Q27" s="45">
        <v>388170432</v>
      </c>
      <c r="R27" s="43">
        <v>0</v>
      </c>
      <c r="S27" s="30">
        <v>0</v>
      </c>
      <c r="T27" s="30">
        <v>0</v>
      </c>
      <c r="U27" s="30" t="e">
        <v>#DIV/0!</v>
      </c>
      <c r="V27" s="43" t="e">
        <v>#DIV/0!</v>
      </c>
      <c r="W27" s="43" t="e">
        <v>#DIV/0!</v>
      </c>
      <c r="X27" s="43">
        <v>0</v>
      </c>
      <c r="Y27" s="43">
        <v>0</v>
      </c>
      <c r="Z27" s="43">
        <v>0</v>
      </c>
      <c r="AA27" s="43">
        <v>0</v>
      </c>
      <c r="AB27" s="43"/>
      <c r="AC27" s="43" t="e">
        <v>#DIV/0!</v>
      </c>
      <c r="AD27" s="43"/>
      <c r="AE27" s="43" t="e">
        <v>#DIV/0!</v>
      </c>
      <c r="AF27" s="43" t="e">
        <v>#DIV/0!</v>
      </c>
      <c r="AG27" s="43" t="e">
        <v>#DIV/0!</v>
      </c>
      <c r="AH27" s="38">
        <v>45383</v>
      </c>
      <c r="AI27" s="38"/>
      <c r="AJ27" s="38"/>
      <c r="AK27" s="38"/>
      <c r="AL27" s="38"/>
      <c r="AM27" s="48"/>
      <c r="AN27" s="42"/>
      <c r="AO27" s="42"/>
      <c r="AP27" s="42"/>
      <c r="AQ27" s="42"/>
      <c r="AR27" s="42"/>
      <c r="AS27" s="50"/>
      <c r="AT27" s="39"/>
      <c r="AU27" s="39"/>
      <c r="AV27" s="49"/>
      <c r="AW27" s="39"/>
      <c r="AX27" s="39">
        <v>10</v>
      </c>
      <c r="AY27" s="30">
        <v>38817043.200000003</v>
      </c>
      <c r="AZ27" s="42" t="s">
        <v>434</v>
      </c>
    </row>
    <row r="28" spans="1:52" ht="48.75" customHeight="1" x14ac:dyDescent="0.25">
      <c r="A28" s="61" t="s">
        <v>1548</v>
      </c>
      <c r="B28" s="62">
        <v>45313</v>
      </c>
      <c r="C28" s="42" t="s">
        <v>435</v>
      </c>
      <c r="D28" s="37" t="s">
        <v>1549</v>
      </c>
      <c r="E28" s="41" t="s">
        <v>1550</v>
      </c>
      <c r="F28" s="38">
        <v>45334</v>
      </c>
      <c r="G28" s="39" t="s">
        <v>1551</v>
      </c>
      <c r="H28" s="42" t="s">
        <v>226</v>
      </c>
      <c r="I28" s="42" t="s">
        <v>1552</v>
      </c>
      <c r="J28" s="63">
        <v>46479725.399999999</v>
      </c>
      <c r="K28" s="43">
        <v>0</v>
      </c>
      <c r="L28" s="56">
        <v>0</v>
      </c>
      <c r="M28" s="56">
        <v>0</v>
      </c>
      <c r="N28" s="44">
        <v>0</v>
      </c>
      <c r="O28" s="45">
        <v>0</v>
      </c>
      <c r="P28" s="43">
        <v>46479725.399999999</v>
      </c>
      <c r="Q28" s="45">
        <v>0</v>
      </c>
      <c r="R28" s="43">
        <v>46479725.399999999</v>
      </c>
      <c r="S28" s="30">
        <v>46479725.399999999</v>
      </c>
      <c r="T28" s="30">
        <v>46479725.399999999</v>
      </c>
      <c r="U28" s="30">
        <v>4.66</v>
      </c>
      <c r="V28" s="43">
        <v>4.66</v>
      </c>
      <c r="W28" s="43">
        <v>139.80000000000001</v>
      </c>
      <c r="X28" s="43">
        <v>9974190</v>
      </c>
      <c r="Y28" s="43">
        <v>9974190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332473</v>
      </c>
      <c r="AG28" s="43">
        <v>332473</v>
      </c>
      <c r="AH28" s="38">
        <v>45383</v>
      </c>
      <c r="AI28" s="38"/>
      <c r="AJ28" s="38"/>
      <c r="AK28" s="38">
        <v>45413</v>
      </c>
      <c r="AL28" s="38"/>
      <c r="AM28" s="48"/>
      <c r="AN28" s="42"/>
      <c r="AO28" s="42" t="s">
        <v>1553</v>
      </c>
      <c r="AP28" s="42" t="s">
        <v>1554</v>
      </c>
      <c r="AQ28" s="42" t="s">
        <v>1555</v>
      </c>
      <c r="AR28" s="42" t="s">
        <v>82</v>
      </c>
      <c r="AS28" s="50">
        <v>100</v>
      </c>
      <c r="AT28" s="39">
        <v>0</v>
      </c>
      <c r="AU28" s="39" t="s">
        <v>389</v>
      </c>
      <c r="AV28" s="49">
        <v>30</v>
      </c>
      <c r="AW28" s="39" t="s">
        <v>62</v>
      </c>
      <c r="AX28" s="39">
        <v>10</v>
      </c>
      <c r="AY28" s="30">
        <v>4647972.54</v>
      </c>
      <c r="AZ28" s="42" t="s">
        <v>405</v>
      </c>
    </row>
    <row r="29" spans="1:52" ht="48.75" customHeight="1" x14ac:dyDescent="0.25">
      <c r="A29" s="61" t="s">
        <v>1556</v>
      </c>
      <c r="B29" s="62">
        <v>45313</v>
      </c>
      <c r="C29" s="42" t="s">
        <v>435</v>
      </c>
      <c r="D29" s="37" t="s">
        <v>1557</v>
      </c>
      <c r="E29" s="41" t="s">
        <v>1558</v>
      </c>
      <c r="F29" s="38">
        <v>45334</v>
      </c>
      <c r="G29" s="39" t="s">
        <v>1559</v>
      </c>
      <c r="H29" s="42" t="s">
        <v>54</v>
      </c>
      <c r="I29" s="39" t="s">
        <v>1560</v>
      </c>
      <c r="J29" s="63">
        <v>822463.2</v>
      </c>
      <c r="K29" s="43">
        <v>0</v>
      </c>
      <c r="L29" s="56">
        <v>0</v>
      </c>
      <c r="M29" s="56">
        <v>0</v>
      </c>
      <c r="N29" s="44">
        <v>0</v>
      </c>
      <c r="O29" s="45">
        <v>0</v>
      </c>
      <c r="P29" s="43">
        <v>822463.2</v>
      </c>
      <c r="Q29" s="45">
        <v>0</v>
      </c>
      <c r="R29" s="43">
        <v>822463.2</v>
      </c>
      <c r="S29" s="30">
        <v>822463.2</v>
      </c>
      <c r="T29" s="30">
        <v>822463.2</v>
      </c>
      <c r="U29" s="30">
        <v>33.93</v>
      </c>
      <c r="V29" s="43">
        <v>33.93</v>
      </c>
      <c r="W29" s="43">
        <v>2035.8</v>
      </c>
      <c r="X29" s="43">
        <v>24240</v>
      </c>
      <c r="Y29" s="43">
        <v>24240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3">
        <v>404</v>
      </c>
      <c r="AG29" s="43">
        <v>404</v>
      </c>
      <c r="AH29" s="38">
        <v>45366</v>
      </c>
      <c r="AI29" s="38"/>
      <c r="AJ29" s="38"/>
      <c r="AK29" s="38">
        <v>45397</v>
      </c>
      <c r="AL29" s="38"/>
      <c r="AM29" s="48"/>
      <c r="AN29" s="42"/>
      <c r="AO29" s="42" t="s">
        <v>1561</v>
      </c>
      <c r="AP29" s="42" t="s">
        <v>1562</v>
      </c>
      <c r="AQ29" s="42" t="s">
        <v>1563</v>
      </c>
      <c r="AR29" s="42" t="s">
        <v>388</v>
      </c>
      <c r="AS29" s="50">
        <v>0</v>
      </c>
      <c r="AT29" s="39">
        <v>100</v>
      </c>
      <c r="AU29" s="39" t="s">
        <v>389</v>
      </c>
      <c r="AV29" s="49">
        <v>60</v>
      </c>
      <c r="AW29" s="39" t="s">
        <v>62</v>
      </c>
      <c r="AX29" s="39">
        <v>10</v>
      </c>
      <c r="AY29" s="30">
        <v>82246.320000000007</v>
      </c>
      <c r="AZ29" s="42" t="s">
        <v>405</v>
      </c>
    </row>
    <row r="30" spans="1:52" ht="48.75" customHeight="1" x14ac:dyDescent="0.25">
      <c r="A30" s="61" t="s">
        <v>1564</v>
      </c>
      <c r="B30" s="62">
        <v>45313</v>
      </c>
      <c r="C30" s="42" t="s">
        <v>435</v>
      </c>
      <c r="D30" s="37" t="s">
        <v>1565</v>
      </c>
      <c r="E30" s="41" t="s">
        <v>1566</v>
      </c>
      <c r="F30" s="38">
        <v>45334</v>
      </c>
      <c r="G30" s="39" t="s">
        <v>1567</v>
      </c>
      <c r="H30" s="42" t="s">
        <v>54</v>
      </c>
      <c r="I30" s="39" t="s">
        <v>1568</v>
      </c>
      <c r="J30" s="63">
        <v>79713664.799999997</v>
      </c>
      <c r="K30" s="43">
        <v>0</v>
      </c>
      <c r="L30" s="56">
        <v>0</v>
      </c>
      <c r="M30" s="56">
        <v>0</v>
      </c>
      <c r="N30" s="44">
        <v>0</v>
      </c>
      <c r="O30" s="45">
        <v>0</v>
      </c>
      <c r="P30" s="43">
        <v>79713664.799999997</v>
      </c>
      <c r="Q30" s="45">
        <v>0</v>
      </c>
      <c r="R30" s="43">
        <v>79713664.799999997</v>
      </c>
      <c r="S30" s="30">
        <v>79713664.799999997</v>
      </c>
      <c r="T30" s="30">
        <v>79713664.799999997</v>
      </c>
      <c r="U30" s="30">
        <v>127.82</v>
      </c>
      <c r="V30" s="43">
        <v>127.82</v>
      </c>
      <c r="W30" s="43">
        <v>7669.2</v>
      </c>
      <c r="X30" s="43">
        <v>623640</v>
      </c>
      <c r="Y30" s="43">
        <v>180000</v>
      </c>
      <c r="Z30" s="43">
        <v>443640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10394</v>
      </c>
      <c r="AG30" s="43">
        <v>10394</v>
      </c>
      <c r="AH30" s="38">
        <v>45352</v>
      </c>
      <c r="AI30" s="38">
        <v>45397</v>
      </c>
      <c r="AJ30" s="38"/>
      <c r="AK30" s="38">
        <v>45383</v>
      </c>
      <c r="AL30" s="38">
        <v>45427</v>
      </c>
      <c r="AM30" s="48"/>
      <c r="AN30" s="42"/>
      <c r="AO30" s="42" t="s">
        <v>1561</v>
      </c>
      <c r="AP30" s="42" t="s">
        <v>1569</v>
      </c>
      <c r="AQ30" s="42" t="s">
        <v>1563</v>
      </c>
      <c r="AR30" s="42" t="s">
        <v>388</v>
      </c>
      <c r="AS30" s="50">
        <v>0</v>
      </c>
      <c r="AT30" s="39">
        <v>100</v>
      </c>
      <c r="AU30" s="39" t="s">
        <v>389</v>
      </c>
      <c r="AV30" s="49">
        <v>60</v>
      </c>
      <c r="AW30" s="39" t="s">
        <v>62</v>
      </c>
      <c r="AX30" s="39">
        <v>10</v>
      </c>
      <c r="AY30" s="30">
        <v>7971366.4800000004</v>
      </c>
      <c r="AZ30" s="42" t="s">
        <v>405</v>
      </c>
    </row>
    <row r="31" spans="1:52" ht="48.75" customHeight="1" x14ac:dyDescent="0.25">
      <c r="A31" s="61" t="s">
        <v>1570</v>
      </c>
      <c r="B31" s="62">
        <v>45313</v>
      </c>
      <c r="C31" s="42" t="s">
        <v>435</v>
      </c>
      <c r="D31" s="37"/>
      <c r="E31" s="41" t="s">
        <v>1571</v>
      </c>
      <c r="F31" s="38"/>
      <c r="G31" s="39"/>
      <c r="H31" s="42"/>
      <c r="I31" s="39" t="s">
        <v>1572</v>
      </c>
      <c r="J31" s="63">
        <v>1115237257.2</v>
      </c>
      <c r="K31" s="43">
        <v>0</v>
      </c>
      <c r="L31" s="56">
        <v>0</v>
      </c>
      <c r="M31" s="56">
        <v>0</v>
      </c>
      <c r="N31" s="44">
        <v>100</v>
      </c>
      <c r="O31" s="45">
        <v>1115237257.2</v>
      </c>
      <c r="P31" s="43"/>
      <c r="Q31" s="45">
        <v>1115237257.2</v>
      </c>
      <c r="R31" s="43">
        <v>0</v>
      </c>
      <c r="S31" s="30">
        <v>0</v>
      </c>
      <c r="T31" s="30">
        <v>0</v>
      </c>
      <c r="U31" s="30" t="e">
        <v>#DIV/0!</v>
      </c>
      <c r="V31" s="43" t="e">
        <v>#DIV/0!</v>
      </c>
      <c r="W31" s="43" t="e">
        <v>#DIV/0!</v>
      </c>
      <c r="X31" s="43">
        <v>0</v>
      </c>
      <c r="Y31" s="43">
        <v>0</v>
      </c>
      <c r="Z31" s="43">
        <v>0</v>
      </c>
      <c r="AA31" s="43">
        <v>0</v>
      </c>
      <c r="AB31" s="43"/>
      <c r="AC31" s="43" t="e">
        <v>#DIV/0!</v>
      </c>
      <c r="AD31" s="43"/>
      <c r="AE31" s="43" t="e">
        <v>#DIV/0!</v>
      </c>
      <c r="AF31" s="43" t="e">
        <v>#DIV/0!</v>
      </c>
      <c r="AG31" s="43" t="e">
        <v>#DIV/0!</v>
      </c>
      <c r="AH31" s="38">
        <v>45383</v>
      </c>
      <c r="AI31" s="38"/>
      <c r="AJ31" s="38"/>
      <c r="AK31" s="38"/>
      <c r="AL31" s="38"/>
      <c r="AM31" s="48"/>
      <c r="AN31" s="42"/>
      <c r="AO31" s="42"/>
      <c r="AP31" s="42"/>
      <c r="AQ31" s="42"/>
      <c r="AR31" s="42"/>
      <c r="AS31" s="50"/>
      <c r="AT31" s="39"/>
      <c r="AU31" s="39"/>
      <c r="AV31" s="49"/>
      <c r="AW31" s="39"/>
      <c r="AX31" s="39">
        <v>10</v>
      </c>
      <c r="AY31" s="30">
        <v>111523725.72</v>
      </c>
      <c r="AZ31" s="42"/>
    </row>
    <row r="32" spans="1:52" ht="48.75" customHeight="1" x14ac:dyDescent="0.25">
      <c r="A32" s="61" t="s">
        <v>1573</v>
      </c>
      <c r="B32" s="62">
        <v>45313</v>
      </c>
      <c r="C32" s="42" t="s">
        <v>435</v>
      </c>
      <c r="D32" s="37" t="s">
        <v>434</v>
      </c>
      <c r="E32" s="41" t="s">
        <v>1574</v>
      </c>
      <c r="F32" s="38" t="s">
        <v>434</v>
      </c>
      <c r="G32" s="39" t="s">
        <v>434</v>
      </c>
      <c r="H32" s="42" t="s">
        <v>434</v>
      </c>
      <c r="I32" s="39" t="s">
        <v>1575</v>
      </c>
      <c r="J32" s="63">
        <v>64233933</v>
      </c>
      <c r="K32" s="43">
        <v>0</v>
      </c>
      <c r="L32" s="56">
        <v>0</v>
      </c>
      <c r="M32" s="56">
        <v>0</v>
      </c>
      <c r="N32" s="44">
        <v>100</v>
      </c>
      <c r="O32" s="45">
        <v>64233933</v>
      </c>
      <c r="P32" s="43"/>
      <c r="Q32" s="45">
        <v>64233933</v>
      </c>
      <c r="R32" s="43">
        <v>0</v>
      </c>
      <c r="S32" s="30">
        <v>0</v>
      </c>
      <c r="T32" s="30">
        <v>0</v>
      </c>
      <c r="U32" s="30" t="e">
        <v>#DIV/0!</v>
      </c>
      <c r="V32" s="43" t="e">
        <v>#DIV/0!</v>
      </c>
      <c r="W32" s="43" t="e">
        <v>#DIV/0!</v>
      </c>
      <c r="X32" s="43">
        <v>0</v>
      </c>
      <c r="Y32" s="43">
        <v>0</v>
      </c>
      <c r="Z32" s="43">
        <v>0</v>
      </c>
      <c r="AA32" s="43">
        <v>0</v>
      </c>
      <c r="AB32" s="43"/>
      <c r="AC32" s="43" t="e">
        <v>#DIV/0!</v>
      </c>
      <c r="AD32" s="43"/>
      <c r="AE32" s="43" t="e">
        <v>#DIV/0!</v>
      </c>
      <c r="AF32" s="43" t="e">
        <v>#DIV/0!</v>
      </c>
      <c r="AG32" s="43" t="e">
        <v>#DIV/0!</v>
      </c>
      <c r="AH32" s="38">
        <v>45383</v>
      </c>
      <c r="AI32" s="38"/>
      <c r="AJ32" s="38"/>
      <c r="AK32" s="38"/>
      <c r="AL32" s="38"/>
      <c r="AM32" s="48"/>
      <c r="AN32" s="42"/>
      <c r="AO32" s="42"/>
      <c r="AP32" s="42"/>
      <c r="AQ32" s="42"/>
      <c r="AR32" s="42"/>
      <c r="AS32" s="50"/>
      <c r="AT32" s="39"/>
      <c r="AU32" s="39"/>
      <c r="AV32" s="49"/>
      <c r="AW32" s="39"/>
      <c r="AX32" s="39">
        <v>10</v>
      </c>
      <c r="AY32" s="30">
        <v>6423393.2999999998</v>
      </c>
      <c r="AZ32" s="42" t="s">
        <v>434</v>
      </c>
    </row>
    <row r="33" spans="1:52" ht="48.75" customHeight="1" x14ac:dyDescent="0.25">
      <c r="A33" s="61" t="s">
        <v>1576</v>
      </c>
      <c r="B33" s="62">
        <v>45313</v>
      </c>
      <c r="C33" s="42" t="s">
        <v>435</v>
      </c>
      <c r="D33" s="37" t="s">
        <v>1577</v>
      </c>
      <c r="E33" s="41" t="s">
        <v>1578</v>
      </c>
      <c r="F33" s="38">
        <v>45334</v>
      </c>
      <c r="G33" s="39" t="s">
        <v>1579</v>
      </c>
      <c r="H33" s="42" t="s">
        <v>226</v>
      </c>
      <c r="I33" s="42" t="s">
        <v>1580</v>
      </c>
      <c r="J33" s="63">
        <v>113162592</v>
      </c>
      <c r="K33" s="43">
        <v>0</v>
      </c>
      <c r="L33" s="56">
        <v>0</v>
      </c>
      <c r="M33" s="56">
        <v>0</v>
      </c>
      <c r="N33" s="44">
        <v>0</v>
      </c>
      <c r="O33" s="45">
        <v>0</v>
      </c>
      <c r="P33" s="43">
        <v>113162592</v>
      </c>
      <c r="Q33" s="45">
        <v>0</v>
      </c>
      <c r="R33" s="43">
        <v>113162592</v>
      </c>
      <c r="S33" s="30">
        <v>113162592</v>
      </c>
      <c r="T33" s="30">
        <v>113162592</v>
      </c>
      <c r="U33" s="30">
        <v>23.05</v>
      </c>
      <c r="V33" s="43">
        <v>23.05</v>
      </c>
      <c r="W33" s="43" t="e">
        <v>#VALUE!</v>
      </c>
      <c r="X33" s="43">
        <v>4909440</v>
      </c>
      <c r="Y33" s="43">
        <v>4909440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3" t="e">
        <v>#VALUE!</v>
      </c>
      <c r="AG33" s="43" t="e">
        <v>#VALUE!</v>
      </c>
      <c r="AH33" s="38">
        <v>45383</v>
      </c>
      <c r="AI33" s="38"/>
      <c r="AJ33" s="38"/>
      <c r="AK33" s="38">
        <v>45413</v>
      </c>
      <c r="AL33" s="38"/>
      <c r="AM33" s="48"/>
      <c r="AN33" s="42"/>
      <c r="AO33" s="42" t="s">
        <v>1581</v>
      </c>
      <c r="AP33" s="42" t="s">
        <v>1582</v>
      </c>
      <c r="AQ33" s="42" t="s">
        <v>1583</v>
      </c>
      <c r="AR33" s="42" t="s">
        <v>82</v>
      </c>
      <c r="AS33" s="50">
        <v>100</v>
      </c>
      <c r="AT33" s="39">
        <v>0</v>
      </c>
      <c r="AU33" s="39" t="s">
        <v>389</v>
      </c>
      <c r="AV33" s="53" t="s">
        <v>1584</v>
      </c>
      <c r="AW33" s="39" t="s">
        <v>62</v>
      </c>
      <c r="AX33" s="39">
        <v>10</v>
      </c>
      <c r="AY33" s="30">
        <v>11316259.199999999</v>
      </c>
      <c r="AZ33" s="42" t="s">
        <v>405</v>
      </c>
    </row>
    <row r="34" spans="1:52" ht="48.75" customHeight="1" x14ac:dyDescent="0.25">
      <c r="A34" s="61" t="s">
        <v>1585</v>
      </c>
      <c r="B34" s="62">
        <v>45313</v>
      </c>
      <c r="C34" s="42" t="s">
        <v>435</v>
      </c>
      <c r="D34" s="37" t="s">
        <v>1586</v>
      </c>
      <c r="E34" s="41" t="s">
        <v>1587</v>
      </c>
      <c r="F34" s="38">
        <v>45334</v>
      </c>
      <c r="G34" s="39" t="s">
        <v>1588</v>
      </c>
      <c r="H34" s="42" t="s">
        <v>226</v>
      </c>
      <c r="I34" s="42" t="s">
        <v>1589</v>
      </c>
      <c r="J34" s="63">
        <v>113308.8</v>
      </c>
      <c r="K34" s="43">
        <v>0</v>
      </c>
      <c r="L34" s="56">
        <v>0</v>
      </c>
      <c r="M34" s="56">
        <v>0</v>
      </c>
      <c r="N34" s="44">
        <v>0</v>
      </c>
      <c r="O34" s="45">
        <v>0</v>
      </c>
      <c r="P34" s="43">
        <v>113308.8</v>
      </c>
      <c r="Q34" s="45">
        <v>0</v>
      </c>
      <c r="R34" s="43">
        <v>113308.8</v>
      </c>
      <c r="S34" s="30">
        <v>113308.8</v>
      </c>
      <c r="T34" s="30">
        <v>113308.8</v>
      </c>
      <c r="U34" s="30">
        <v>6.38</v>
      </c>
      <c r="V34" s="43">
        <v>6.38</v>
      </c>
      <c r="W34" s="43">
        <v>382.8</v>
      </c>
      <c r="X34" s="43">
        <v>17760</v>
      </c>
      <c r="Y34" s="43">
        <v>17760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296</v>
      </c>
      <c r="AG34" s="43">
        <v>296</v>
      </c>
      <c r="AH34" s="38">
        <v>45366</v>
      </c>
      <c r="AI34" s="38"/>
      <c r="AJ34" s="38"/>
      <c r="AK34" s="38">
        <v>45397</v>
      </c>
      <c r="AL34" s="38"/>
      <c r="AM34" s="48"/>
      <c r="AN34" s="42"/>
      <c r="AO34" s="42" t="s">
        <v>1590</v>
      </c>
      <c r="AP34" s="42" t="s">
        <v>1591</v>
      </c>
      <c r="AQ34" s="42" t="s">
        <v>1592</v>
      </c>
      <c r="AR34" s="42" t="s">
        <v>82</v>
      </c>
      <c r="AS34" s="50">
        <v>100</v>
      </c>
      <c r="AT34" s="39">
        <v>0</v>
      </c>
      <c r="AU34" s="39" t="s">
        <v>389</v>
      </c>
      <c r="AV34" s="49">
        <v>60</v>
      </c>
      <c r="AW34" s="39" t="s">
        <v>62</v>
      </c>
      <c r="AX34" s="39">
        <v>10</v>
      </c>
      <c r="AY34" s="30">
        <v>11330.88</v>
      </c>
      <c r="AZ34" s="42" t="s">
        <v>405</v>
      </c>
    </row>
    <row r="35" spans="1:52" ht="48.75" customHeight="1" x14ac:dyDescent="0.25">
      <c r="A35" s="61" t="s">
        <v>1593</v>
      </c>
      <c r="B35" s="62">
        <v>45313</v>
      </c>
      <c r="C35" s="42" t="s">
        <v>435</v>
      </c>
      <c r="D35" s="37" t="s">
        <v>434</v>
      </c>
      <c r="E35" s="41" t="s">
        <v>1594</v>
      </c>
      <c r="F35" s="38" t="s">
        <v>434</v>
      </c>
      <c r="G35" s="39" t="s">
        <v>434</v>
      </c>
      <c r="H35" s="42" t="s">
        <v>434</v>
      </c>
      <c r="I35" s="42" t="s">
        <v>1595</v>
      </c>
      <c r="J35" s="63">
        <v>6380774.4000000004</v>
      </c>
      <c r="K35" s="43">
        <v>0</v>
      </c>
      <c r="L35" s="56">
        <v>0</v>
      </c>
      <c r="M35" s="56">
        <v>0</v>
      </c>
      <c r="N35" s="44">
        <v>100</v>
      </c>
      <c r="O35" s="45">
        <v>6380774.4000000004</v>
      </c>
      <c r="P35" s="43"/>
      <c r="Q35" s="45">
        <v>6380774.4000000004</v>
      </c>
      <c r="R35" s="43">
        <v>0</v>
      </c>
      <c r="S35" s="30">
        <v>0</v>
      </c>
      <c r="T35" s="30">
        <v>0</v>
      </c>
      <c r="U35" s="30" t="e">
        <v>#DIV/0!</v>
      </c>
      <c r="V35" s="43" t="e">
        <v>#DIV/0!</v>
      </c>
      <c r="W35" s="43" t="e">
        <v>#DIV/0!</v>
      </c>
      <c r="X35" s="43">
        <v>0</v>
      </c>
      <c r="Y35" s="43">
        <v>0</v>
      </c>
      <c r="Z35" s="43">
        <v>0</v>
      </c>
      <c r="AA35" s="43">
        <v>0</v>
      </c>
      <c r="AB35" s="43"/>
      <c r="AC35" s="43" t="e">
        <v>#DIV/0!</v>
      </c>
      <c r="AD35" s="43"/>
      <c r="AE35" s="43" t="e">
        <v>#DIV/0!</v>
      </c>
      <c r="AF35" s="43" t="e">
        <v>#DIV/0!</v>
      </c>
      <c r="AG35" s="43" t="e">
        <v>#DIV/0!</v>
      </c>
      <c r="AH35" s="38">
        <v>45382</v>
      </c>
      <c r="AI35" s="38">
        <v>45473</v>
      </c>
      <c r="AJ35" s="38"/>
      <c r="AK35" s="38"/>
      <c r="AL35" s="38"/>
      <c r="AM35" s="48"/>
      <c r="AN35" s="42"/>
      <c r="AO35" s="42"/>
      <c r="AP35" s="42"/>
      <c r="AQ35" s="42"/>
      <c r="AR35" s="42"/>
      <c r="AS35" s="50"/>
      <c r="AT35" s="39"/>
      <c r="AU35" s="39"/>
      <c r="AV35" s="49"/>
      <c r="AW35" s="39"/>
      <c r="AX35" s="39">
        <v>10</v>
      </c>
      <c r="AY35" s="30">
        <v>638077.43999999994</v>
      </c>
      <c r="AZ35" s="42" t="s">
        <v>434</v>
      </c>
    </row>
    <row r="36" spans="1:52" ht="48.75" customHeight="1" x14ac:dyDescent="0.25">
      <c r="A36" s="61" t="s">
        <v>1596</v>
      </c>
      <c r="B36" s="62">
        <v>45313</v>
      </c>
      <c r="C36" s="42" t="s">
        <v>435</v>
      </c>
      <c r="D36" s="37" t="s">
        <v>1597</v>
      </c>
      <c r="E36" s="41" t="s">
        <v>1598</v>
      </c>
      <c r="F36" s="38">
        <v>45334</v>
      </c>
      <c r="G36" s="39" t="s">
        <v>1599</v>
      </c>
      <c r="H36" s="42" t="s">
        <v>205</v>
      </c>
      <c r="I36" s="42" t="s">
        <v>1600</v>
      </c>
      <c r="J36" s="63">
        <v>1209780</v>
      </c>
      <c r="K36" s="43">
        <v>0</v>
      </c>
      <c r="L36" s="56">
        <v>0</v>
      </c>
      <c r="M36" s="56">
        <v>0</v>
      </c>
      <c r="N36" s="44">
        <v>0</v>
      </c>
      <c r="O36" s="45">
        <v>0</v>
      </c>
      <c r="P36" s="43">
        <v>1209780</v>
      </c>
      <c r="Q36" s="45">
        <v>0</v>
      </c>
      <c r="R36" s="43">
        <v>1209780</v>
      </c>
      <c r="S36" s="30">
        <v>1209780</v>
      </c>
      <c r="T36" s="30">
        <v>1209780</v>
      </c>
      <c r="U36" s="30">
        <v>336.05</v>
      </c>
      <c r="V36" s="43">
        <v>336.05</v>
      </c>
      <c r="W36" s="43">
        <v>20163</v>
      </c>
      <c r="X36" s="43">
        <v>3600</v>
      </c>
      <c r="Y36" s="43">
        <v>3600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60</v>
      </c>
      <c r="AG36" s="43">
        <v>60</v>
      </c>
      <c r="AH36" s="38">
        <v>45366</v>
      </c>
      <c r="AI36" s="38"/>
      <c r="AJ36" s="38"/>
      <c r="AK36" s="38">
        <v>45397</v>
      </c>
      <c r="AL36" s="38"/>
      <c r="AM36" s="48"/>
      <c r="AN36" s="42"/>
      <c r="AO36" s="42" t="s">
        <v>1542</v>
      </c>
      <c r="AP36" s="42" t="s">
        <v>1601</v>
      </c>
      <c r="AQ36" s="42" t="s">
        <v>1544</v>
      </c>
      <c r="AR36" s="42" t="s">
        <v>94</v>
      </c>
      <c r="AS36" s="50">
        <v>0</v>
      </c>
      <c r="AT36" s="39">
        <v>100</v>
      </c>
      <c r="AU36" s="39" t="s">
        <v>389</v>
      </c>
      <c r="AV36" s="49">
        <v>60</v>
      </c>
      <c r="AW36" s="39" t="s">
        <v>221</v>
      </c>
      <c r="AX36" s="39">
        <v>10</v>
      </c>
      <c r="AY36" s="30">
        <v>120978</v>
      </c>
      <c r="AZ36" s="42" t="s">
        <v>405</v>
      </c>
    </row>
    <row r="37" spans="1:52" ht="48.75" customHeight="1" x14ac:dyDescent="0.25">
      <c r="A37" s="61" t="s">
        <v>1604</v>
      </c>
      <c r="B37" s="62">
        <v>45313</v>
      </c>
      <c r="C37" s="42" t="s">
        <v>435</v>
      </c>
      <c r="D37" s="37" t="s">
        <v>434</v>
      </c>
      <c r="E37" s="41" t="s">
        <v>1605</v>
      </c>
      <c r="F37" s="38" t="s">
        <v>434</v>
      </c>
      <c r="G37" s="39" t="s">
        <v>434</v>
      </c>
      <c r="H37" s="42" t="s">
        <v>434</v>
      </c>
      <c r="I37" s="42" t="s">
        <v>1606</v>
      </c>
      <c r="J37" s="63">
        <v>64033200</v>
      </c>
      <c r="K37" s="43">
        <v>0</v>
      </c>
      <c r="L37" s="56">
        <v>0</v>
      </c>
      <c r="M37" s="56">
        <v>0</v>
      </c>
      <c r="N37" s="44">
        <v>100</v>
      </c>
      <c r="O37" s="45">
        <v>64033200</v>
      </c>
      <c r="P37" s="43"/>
      <c r="Q37" s="45">
        <v>64033200</v>
      </c>
      <c r="R37" s="43">
        <v>0</v>
      </c>
      <c r="S37" s="30">
        <v>0</v>
      </c>
      <c r="T37" s="30">
        <v>0</v>
      </c>
      <c r="U37" s="30" t="e">
        <v>#DIV/0!</v>
      </c>
      <c r="V37" s="43" t="e">
        <v>#DIV/0!</v>
      </c>
      <c r="W37" s="43" t="e">
        <v>#DIV/0!</v>
      </c>
      <c r="X37" s="43">
        <v>0</v>
      </c>
      <c r="Y37" s="43">
        <v>0</v>
      </c>
      <c r="Z37" s="43">
        <v>0</v>
      </c>
      <c r="AA37" s="43">
        <v>0</v>
      </c>
      <c r="AB37" s="43"/>
      <c r="AC37" s="43" t="e">
        <v>#DIV/0!</v>
      </c>
      <c r="AD37" s="43"/>
      <c r="AE37" s="43" t="e">
        <v>#DIV/0!</v>
      </c>
      <c r="AF37" s="43" t="e">
        <v>#DIV/0!</v>
      </c>
      <c r="AG37" s="43" t="e">
        <v>#DIV/0!</v>
      </c>
      <c r="AH37" s="38">
        <v>45383</v>
      </c>
      <c r="AI37" s="38"/>
      <c r="AJ37" s="38"/>
      <c r="AK37" s="38"/>
      <c r="AL37" s="38"/>
      <c r="AM37" s="48"/>
      <c r="AN37" s="42"/>
      <c r="AO37" s="42"/>
      <c r="AP37" s="42"/>
      <c r="AQ37" s="42"/>
      <c r="AR37" s="42"/>
      <c r="AS37" s="50"/>
      <c r="AT37" s="39"/>
      <c r="AU37" s="39"/>
      <c r="AV37" s="49"/>
      <c r="AW37" s="39"/>
      <c r="AX37" s="39">
        <v>10</v>
      </c>
      <c r="AY37" s="30">
        <v>6403320</v>
      </c>
      <c r="AZ37" s="42" t="s">
        <v>434</v>
      </c>
    </row>
    <row r="38" spans="1:52" ht="48.75" customHeight="1" x14ac:dyDescent="0.25">
      <c r="A38" s="61" t="s">
        <v>1621</v>
      </c>
      <c r="B38" s="62">
        <v>45315</v>
      </c>
      <c r="C38" s="42" t="s">
        <v>435</v>
      </c>
      <c r="D38" s="37" t="s">
        <v>1622</v>
      </c>
      <c r="E38" s="41" t="s">
        <v>1623</v>
      </c>
      <c r="F38" s="38">
        <v>45335</v>
      </c>
      <c r="G38" s="39" t="s">
        <v>1624</v>
      </c>
      <c r="H38" s="42" t="s">
        <v>54</v>
      </c>
      <c r="I38" s="42" t="s">
        <v>1625</v>
      </c>
      <c r="J38" s="63">
        <v>13141958.4</v>
      </c>
      <c r="K38" s="43">
        <v>0</v>
      </c>
      <c r="L38" s="56">
        <v>0</v>
      </c>
      <c r="M38" s="56">
        <v>0</v>
      </c>
      <c r="N38" s="44">
        <v>0</v>
      </c>
      <c r="O38" s="45">
        <v>0</v>
      </c>
      <c r="P38" s="43">
        <v>13141958.4</v>
      </c>
      <c r="Q38" s="45">
        <v>0</v>
      </c>
      <c r="R38" s="43">
        <v>13141958.4</v>
      </c>
      <c r="S38" s="30">
        <v>13141958.4</v>
      </c>
      <c r="T38" s="30">
        <v>13141958.4</v>
      </c>
      <c r="U38" s="30">
        <v>54.54</v>
      </c>
      <c r="V38" s="43">
        <v>54.54</v>
      </c>
      <c r="W38" s="43">
        <v>3272.4</v>
      </c>
      <c r="X38" s="43">
        <v>240960</v>
      </c>
      <c r="Y38" s="43">
        <v>178920</v>
      </c>
      <c r="Z38" s="43">
        <v>62040</v>
      </c>
      <c r="AA38" s="43">
        <v>0</v>
      </c>
      <c r="AB38" s="43">
        <v>0</v>
      </c>
      <c r="AC38" s="43">
        <v>0</v>
      </c>
      <c r="AD38" s="43">
        <v>0</v>
      </c>
      <c r="AE38" s="43">
        <v>0</v>
      </c>
      <c r="AF38" s="43">
        <v>4016</v>
      </c>
      <c r="AG38" s="43">
        <v>4016</v>
      </c>
      <c r="AH38" s="38">
        <v>45444</v>
      </c>
      <c r="AI38" s="38">
        <v>45505</v>
      </c>
      <c r="AJ38" s="38"/>
      <c r="AK38" s="38">
        <v>45474</v>
      </c>
      <c r="AL38" s="38">
        <v>45536</v>
      </c>
      <c r="AM38" s="48"/>
      <c r="AN38" s="42"/>
      <c r="AO38" s="42" t="s">
        <v>1626</v>
      </c>
      <c r="AP38" s="42" t="s">
        <v>1627</v>
      </c>
      <c r="AQ38" s="42" t="s">
        <v>1628</v>
      </c>
      <c r="AR38" s="42" t="s">
        <v>94</v>
      </c>
      <c r="AS38" s="50">
        <v>0</v>
      </c>
      <c r="AT38" s="39">
        <v>100</v>
      </c>
      <c r="AU38" s="39" t="s">
        <v>389</v>
      </c>
      <c r="AV38" s="49">
        <v>60</v>
      </c>
      <c r="AW38" s="39" t="s">
        <v>62</v>
      </c>
      <c r="AX38" s="39">
        <v>10</v>
      </c>
      <c r="AY38" s="30">
        <v>1314195.8400000001</v>
      </c>
      <c r="AZ38" s="42" t="s">
        <v>405</v>
      </c>
    </row>
    <row r="39" spans="1:52" ht="48.75" customHeight="1" x14ac:dyDescent="0.25">
      <c r="A39" s="61" t="s">
        <v>1629</v>
      </c>
      <c r="B39" s="62">
        <v>45315</v>
      </c>
      <c r="C39" s="42" t="s">
        <v>435</v>
      </c>
      <c r="D39" s="37"/>
      <c r="E39" s="41" t="s">
        <v>1630</v>
      </c>
      <c r="F39" s="38"/>
      <c r="G39" s="39"/>
      <c r="H39" s="42"/>
      <c r="I39" s="42" t="s">
        <v>1631</v>
      </c>
      <c r="J39" s="63">
        <v>1645354403.7</v>
      </c>
      <c r="K39" s="43">
        <v>0</v>
      </c>
      <c r="L39" s="56">
        <v>0</v>
      </c>
      <c r="M39" s="56">
        <v>0</v>
      </c>
      <c r="N39" s="44">
        <v>100</v>
      </c>
      <c r="O39" s="45">
        <v>1645354403.7</v>
      </c>
      <c r="P39" s="43"/>
      <c r="Q39" s="45">
        <v>1645354403.7</v>
      </c>
      <c r="R39" s="43">
        <v>0</v>
      </c>
      <c r="S39" s="30">
        <v>0</v>
      </c>
      <c r="T39" s="30">
        <v>0</v>
      </c>
      <c r="U39" s="30" t="e">
        <v>#DIV/0!</v>
      </c>
      <c r="V39" s="43" t="e">
        <v>#DIV/0!</v>
      </c>
      <c r="W39" s="43" t="e">
        <v>#DIV/0!</v>
      </c>
      <c r="X39" s="43">
        <v>0</v>
      </c>
      <c r="Y39" s="43">
        <v>0</v>
      </c>
      <c r="Z39" s="43">
        <v>0</v>
      </c>
      <c r="AA39" s="43">
        <v>0</v>
      </c>
      <c r="AB39" s="43"/>
      <c r="AC39" s="43" t="e">
        <v>#DIV/0!</v>
      </c>
      <c r="AD39" s="43"/>
      <c r="AE39" s="43" t="e">
        <v>#DIV/0!</v>
      </c>
      <c r="AF39" s="43" t="e">
        <v>#DIV/0!</v>
      </c>
      <c r="AG39" s="43" t="e">
        <v>#DIV/0!</v>
      </c>
      <c r="AH39" s="38">
        <v>45352</v>
      </c>
      <c r="AI39" s="38">
        <v>45474</v>
      </c>
      <c r="AJ39" s="38"/>
      <c r="AK39" s="38"/>
      <c r="AL39" s="38"/>
      <c r="AM39" s="48"/>
      <c r="AN39" s="42"/>
      <c r="AO39" s="42"/>
      <c r="AP39" s="42"/>
      <c r="AQ39" s="42"/>
      <c r="AR39" s="42"/>
      <c r="AS39" s="50"/>
      <c r="AT39" s="39"/>
      <c r="AU39" s="39"/>
      <c r="AV39" s="49"/>
      <c r="AW39" s="39"/>
      <c r="AX39" s="39">
        <v>10</v>
      </c>
      <c r="AY39" s="30">
        <v>164535440.37</v>
      </c>
      <c r="AZ39" s="42"/>
    </row>
    <row r="40" spans="1:52" ht="48.75" customHeight="1" x14ac:dyDescent="0.25">
      <c r="A40" s="61" t="s">
        <v>1632</v>
      </c>
      <c r="B40" s="62">
        <v>45315</v>
      </c>
      <c r="C40" s="42" t="s">
        <v>435</v>
      </c>
      <c r="D40" s="37" t="s">
        <v>434</v>
      </c>
      <c r="E40" s="41" t="s">
        <v>1633</v>
      </c>
      <c r="F40" s="38" t="s">
        <v>434</v>
      </c>
      <c r="G40" s="39" t="s">
        <v>434</v>
      </c>
      <c r="H40" s="42" t="s">
        <v>434</v>
      </c>
      <c r="I40" s="42" t="s">
        <v>1634</v>
      </c>
      <c r="J40" s="63">
        <v>25002721.199999999</v>
      </c>
      <c r="K40" s="43">
        <v>0</v>
      </c>
      <c r="L40" s="56">
        <v>0</v>
      </c>
      <c r="M40" s="56">
        <v>0</v>
      </c>
      <c r="N40" s="44">
        <v>100</v>
      </c>
      <c r="O40" s="45">
        <v>25002721.199999999</v>
      </c>
      <c r="P40" s="43"/>
      <c r="Q40" s="45">
        <v>25002721.199999999</v>
      </c>
      <c r="R40" s="43">
        <v>0</v>
      </c>
      <c r="S40" s="30">
        <v>0</v>
      </c>
      <c r="T40" s="30">
        <v>0</v>
      </c>
      <c r="U40" s="30" t="e">
        <v>#DIV/0!</v>
      </c>
      <c r="V40" s="43" t="e">
        <v>#DIV/0!</v>
      </c>
      <c r="W40" s="43" t="e">
        <v>#DIV/0!</v>
      </c>
      <c r="X40" s="43">
        <v>0</v>
      </c>
      <c r="Y40" s="43">
        <v>0</v>
      </c>
      <c r="Z40" s="43">
        <v>0</v>
      </c>
      <c r="AA40" s="43">
        <v>0</v>
      </c>
      <c r="AB40" s="43"/>
      <c r="AC40" s="43" t="e">
        <v>#DIV/0!</v>
      </c>
      <c r="AD40" s="43"/>
      <c r="AE40" s="43" t="e">
        <v>#DIV/0!</v>
      </c>
      <c r="AF40" s="43" t="e">
        <v>#DIV/0!</v>
      </c>
      <c r="AG40" s="43" t="e">
        <v>#DIV/0!</v>
      </c>
      <c r="AH40" s="38">
        <v>45383</v>
      </c>
      <c r="AI40" s="38"/>
      <c r="AJ40" s="38"/>
      <c r="AK40" s="38"/>
      <c r="AL40" s="38"/>
      <c r="AM40" s="48"/>
      <c r="AN40" s="42"/>
      <c r="AO40" s="42"/>
      <c r="AP40" s="42"/>
      <c r="AQ40" s="42"/>
      <c r="AR40" s="42"/>
      <c r="AS40" s="50"/>
      <c r="AT40" s="39"/>
      <c r="AU40" s="39"/>
      <c r="AV40" s="49"/>
      <c r="AW40" s="39"/>
      <c r="AX40" s="39">
        <v>10</v>
      </c>
      <c r="AY40" s="30">
        <v>2500272.12</v>
      </c>
      <c r="AZ40" s="42" t="s">
        <v>434</v>
      </c>
    </row>
    <row r="41" spans="1:52" ht="48.75" customHeight="1" x14ac:dyDescent="0.25">
      <c r="A41" s="61" t="s">
        <v>1635</v>
      </c>
      <c r="B41" s="62">
        <v>45315</v>
      </c>
      <c r="C41" s="42" t="s">
        <v>435</v>
      </c>
      <c r="D41" s="37" t="s">
        <v>1636</v>
      </c>
      <c r="E41" s="41" t="s">
        <v>1637</v>
      </c>
      <c r="F41" s="38">
        <v>45335</v>
      </c>
      <c r="G41" s="39" t="s">
        <v>1638</v>
      </c>
      <c r="H41" s="59" t="s">
        <v>1639</v>
      </c>
      <c r="I41" s="42" t="s">
        <v>1640</v>
      </c>
      <c r="J41" s="63">
        <v>12275383.800000001</v>
      </c>
      <c r="K41" s="43">
        <v>0</v>
      </c>
      <c r="L41" s="56">
        <v>0</v>
      </c>
      <c r="M41" s="56">
        <v>0</v>
      </c>
      <c r="N41" s="44">
        <v>2.5715204114432657</v>
      </c>
      <c r="O41" s="45">
        <v>315664</v>
      </c>
      <c r="P41" s="43">
        <v>11959719.800000001</v>
      </c>
      <c r="Q41" s="45">
        <v>315664</v>
      </c>
      <c r="R41" s="43">
        <v>11959719.800000001</v>
      </c>
      <c r="S41" s="30">
        <v>11959719.800000001</v>
      </c>
      <c r="T41" s="30">
        <v>11959719.800000001</v>
      </c>
      <c r="U41" s="30">
        <v>30.310000000000002</v>
      </c>
      <c r="V41" s="43">
        <v>30.310000000000002</v>
      </c>
      <c r="W41" s="43">
        <v>606.20000000000005</v>
      </c>
      <c r="X41" s="43">
        <v>394580</v>
      </c>
      <c r="Y41" s="43">
        <v>394580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v>0</v>
      </c>
      <c r="AF41" s="43">
        <v>19729</v>
      </c>
      <c r="AG41" s="43">
        <v>19729</v>
      </c>
      <c r="AH41" s="38">
        <v>45383</v>
      </c>
      <c r="AI41" s="38"/>
      <c r="AJ41" s="38"/>
      <c r="AK41" s="38">
        <v>45413</v>
      </c>
      <c r="AL41" s="38"/>
      <c r="AM41" s="48"/>
      <c r="AN41" s="42"/>
      <c r="AO41" s="42" t="s">
        <v>1641</v>
      </c>
      <c r="AP41" s="42" t="s">
        <v>1642</v>
      </c>
      <c r="AQ41" s="42" t="s">
        <v>1643</v>
      </c>
      <c r="AR41" s="42" t="s">
        <v>82</v>
      </c>
      <c r="AS41" s="50">
        <v>100</v>
      </c>
      <c r="AT41" s="39">
        <v>0</v>
      </c>
      <c r="AU41" s="39" t="s">
        <v>389</v>
      </c>
      <c r="AV41" s="49">
        <v>20</v>
      </c>
      <c r="AW41" s="39" t="s">
        <v>62</v>
      </c>
      <c r="AX41" s="39">
        <v>10</v>
      </c>
      <c r="AY41" s="30">
        <v>1227538.3799999999</v>
      </c>
      <c r="AZ41" s="42" t="s">
        <v>405</v>
      </c>
    </row>
    <row r="42" spans="1:52" ht="48.75" customHeight="1" x14ac:dyDescent="0.25">
      <c r="A42" s="61" t="s">
        <v>1644</v>
      </c>
      <c r="B42" s="62">
        <v>45315</v>
      </c>
      <c r="C42" s="42" t="s">
        <v>435</v>
      </c>
      <c r="D42" s="37" t="s">
        <v>1645</v>
      </c>
      <c r="E42" s="41" t="s">
        <v>1646</v>
      </c>
      <c r="F42" s="38">
        <v>45335</v>
      </c>
      <c r="G42" s="39" t="s">
        <v>1647</v>
      </c>
      <c r="H42" s="42" t="s">
        <v>226</v>
      </c>
      <c r="I42" s="42" t="s">
        <v>1648</v>
      </c>
      <c r="J42" s="63">
        <v>901309.5</v>
      </c>
      <c r="K42" s="43">
        <v>0</v>
      </c>
      <c r="L42" s="56">
        <v>0</v>
      </c>
      <c r="M42" s="56">
        <v>0</v>
      </c>
      <c r="N42" s="44">
        <v>0</v>
      </c>
      <c r="O42" s="45">
        <v>0</v>
      </c>
      <c r="P42" s="43">
        <v>901309.5</v>
      </c>
      <c r="Q42" s="45">
        <v>0</v>
      </c>
      <c r="R42" s="43">
        <v>901309.5</v>
      </c>
      <c r="S42" s="30">
        <v>901309.5</v>
      </c>
      <c r="T42" s="30">
        <v>901309.5</v>
      </c>
      <c r="U42" s="30">
        <v>4.97</v>
      </c>
      <c r="V42" s="43">
        <v>4.97</v>
      </c>
      <c r="W42" s="43">
        <v>298.2</v>
      </c>
      <c r="X42" s="43">
        <v>181350</v>
      </c>
      <c r="Y42" s="43">
        <v>181350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v>0</v>
      </c>
      <c r="AF42" s="43">
        <v>3022.5</v>
      </c>
      <c r="AG42" s="43">
        <v>3023</v>
      </c>
      <c r="AH42" s="38">
        <v>45383</v>
      </c>
      <c r="AI42" s="38"/>
      <c r="AJ42" s="38"/>
      <c r="AK42" s="38">
        <v>45413</v>
      </c>
      <c r="AL42" s="38"/>
      <c r="AM42" s="48"/>
      <c r="AN42" s="42"/>
      <c r="AO42" s="42" t="s">
        <v>1649</v>
      </c>
      <c r="AP42" s="42" t="s">
        <v>1650</v>
      </c>
      <c r="AQ42" s="42" t="s">
        <v>1651</v>
      </c>
      <c r="AR42" s="42" t="s">
        <v>82</v>
      </c>
      <c r="AS42" s="50">
        <v>100</v>
      </c>
      <c r="AT42" s="39">
        <v>0</v>
      </c>
      <c r="AU42" s="39" t="s">
        <v>389</v>
      </c>
      <c r="AV42" s="49">
        <v>60</v>
      </c>
      <c r="AW42" s="39" t="s">
        <v>221</v>
      </c>
      <c r="AX42" s="39">
        <v>10</v>
      </c>
      <c r="AY42" s="30">
        <v>90130.95</v>
      </c>
      <c r="AZ42" s="42" t="s">
        <v>405</v>
      </c>
    </row>
    <row r="43" spans="1:52" ht="48.75" customHeight="1" x14ac:dyDescent="0.25">
      <c r="A43" s="61" t="s">
        <v>1652</v>
      </c>
      <c r="B43" s="62">
        <v>45315</v>
      </c>
      <c r="C43" s="42" t="s">
        <v>435</v>
      </c>
      <c r="D43" s="37"/>
      <c r="E43" s="41" t="s">
        <v>1653</v>
      </c>
      <c r="F43" s="38">
        <v>45343</v>
      </c>
      <c r="G43" s="39" t="s">
        <v>1654</v>
      </c>
      <c r="H43" s="42" t="s">
        <v>1655</v>
      </c>
      <c r="I43" s="42" t="s">
        <v>1656</v>
      </c>
      <c r="J43" s="63">
        <v>62961254.399999999</v>
      </c>
      <c r="K43" s="43">
        <v>0</v>
      </c>
      <c r="L43" s="56">
        <v>0</v>
      </c>
      <c r="M43" s="56">
        <v>0</v>
      </c>
      <c r="N43" s="44">
        <v>1.1718749999999929</v>
      </c>
      <c r="O43" s="45">
        <v>737827.19999999553</v>
      </c>
      <c r="P43" s="43">
        <v>62223427.200000003</v>
      </c>
      <c r="Q43" s="45">
        <v>737827.19999999553</v>
      </c>
      <c r="R43" s="43">
        <v>62223427.200000003</v>
      </c>
      <c r="S43" s="30">
        <v>62223427.200000003</v>
      </c>
      <c r="T43" s="30">
        <v>62223427.200000003</v>
      </c>
      <c r="U43" s="30">
        <v>27.830000000000002</v>
      </c>
      <c r="V43" s="43">
        <v>27.830000000000002</v>
      </c>
      <c r="W43" s="43">
        <v>556.6</v>
      </c>
      <c r="X43" s="43">
        <v>2235840</v>
      </c>
      <c r="Y43" s="43">
        <v>846360</v>
      </c>
      <c r="Z43" s="43">
        <v>1389480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3">
        <v>111792</v>
      </c>
      <c r="AG43" s="43">
        <v>111792</v>
      </c>
      <c r="AH43" s="38">
        <v>45383</v>
      </c>
      <c r="AI43" s="38">
        <v>45444</v>
      </c>
      <c r="AJ43" s="38"/>
      <c r="AK43" s="38">
        <v>45413</v>
      </c>
      <c r="AL43" s="38">
        <v>45474</v>
      </c>
      <c r="AM43" s="48"/>
      <c r="AN43" s="42"/>
      <c r="AO43" s="42" t="s">
        <v>1657</v>
      </c>
      <c r="AP43" s="42" t="s">
        <v>1658</v>
      </c>
      <c r="AQ43" s="42" t="s">
        <v>1659</v>
      </c>
      <c r="AR43" s="42" t="s">
        <v>82</v>
      </c>
      <c r="AS43" s="50">
        <v>100</v>
      </c>
      <c r="AT43" s="39">
        <v>0</v>
      </c>
      <c r="AU43" s="39" t="s">
        <v>389</v>
      </c>
      <c r="AV43" s="49">
        <v>20</v>
      </c>
      <c r="AW43" s="39" t="s">
        <v>62</v>
      </c>
      <c r="AX43" s="39">
        <v>10</v>
      </c>
      <c r="AY43" s="30">
        <v>6296125.4400000004</v>
      </c>
      <c r="AZ43" s="42" t="s">
        <v>405</v>
      </c>
    </row>
    <row r="44" spans="1:52" ht="48.75" customHeight="1" x14ac:dyDescent="0.25">
      <c r="A44" s="61" t="s">
        <v>1660</v>
      </c>
      <c r="B44" s="62">
        <v>45315</v>
      </c>
      <c r="C44" s="42" t="s">
        <v>435</v>
      </c>
      <c r="D44" s="39" t="s">
        <v>434</v>
      </c>
      <c r="E44" s="41" t="s">
        <v>1661</v>
      </c>
      <c r="F44" s="39" t="s">
        <v>434</v>
      </c>
      <c r="G44" s="39" t="s">
        <v>434</v>
      </c>
      <c r="H44" s="39" t="s">
        <v>434</v>
      </c>
      <c r="I44" s="42" t="s">
        <v>1662</v>
      </c>
      <c r="J44" s="63">
        <v>21929927.280000001</v>
      </c>
      <c r="K44" s="43">
        <v>0</v>
      </c>
      <c r="L44" s="56">
        <v>0</v>
      </c>
      <c r="M44" s="56">
        <v>0</v>
      </c>
      <c r="N44" s="44">
        <v>100</v>
      </c>
      <c r="O44" s="45">
        <v>21929927.280000001</v>
      </c>
      <c r="P44" s="43"/>
      <c r="Q44" s="45">
        <v>21929927.280000001</v>
      </c>
      <c r="R44" s="43">
        <v>0</v>
      </c>
      <c r="S44" s="30">
        <v>0</v>
      </c>
      <c r="T44" s="30">
        <v>0</v>
      </c>
      <c r="U44" s="30" t="e">
        <v>#DIV/0!</v>
      </c>
      <c r="V44" s="43" t="e">
        <v>#DIV/0!</v>
      </c>
      <c r="W44" s="43" t="e">
        <v>#DIV/0!</v>
      </c>
      <c r="X44" s="43">
        <v>0</v>
      </c>
      <c r="Y44" s="43">
        <v>0</v>
      </c>
      <c r="Z44" s="43">
        <v>0</v>
      </c>
      <c r="AA44" s="43">
        <v>0</v>
      </c>
      <c r="AB44" s="43"/>
      <c r="AC44" s="43" t="e">
        <v>#DIV/0!</v>
      </c>
      <c r="AD44" s="43"/>
      <c r="AE44" s="43" t="e">
        <v>#DIV/0!</v>
      </c>
      <c r="AF44" s="43" t="e">
        <v>#DIV/0!</v>
      </c>
      <c r="AG44" s="43" t="e">
        <v>#DIV/0!</v>
      </c>
      <c r="AH44" s="38">
        <v>45382</v>
      </c>
      <c r="AI44" s="38"/>
      <c r="AJ44" s="38"/>
      <c r="AK44" s="38"/>
      <c r="AL44" s="38"/>
      <c r="AM44" s="48"/>
      <c r="AN44" s="42"/>
      <c r="AO44" s="42"/>
      <c r="AP44" s="42"/>
      <c r="AQ44" s="42"/>
      <c r="AR44" s="42"/>
      <c r="AS44" s="50"/>
      <c r="AT44" s="39"/>
      <c r="AU44" s="39"/>
      <c r="AV44" s="49"/>
      <c r="AW44" s="39"/>
      <c r="AX44" s="39">
        <v>10</v>
      </c>
      <c r="AY44" s="30">
        <v>2192992.7280000001</v>
      </c>
      <c r="AZ44" s="42" t="s">
        <v>434</v>
      </c>
    </row>
    <row r="45" spans="1:52" ht="48.75" customHeight="1" x14ac:dyDescent="0.25">
      <c r="A45" s="61" t="s">
        <v>1663</v>
      </c>
      <c r="B45" s="62">
        <v>45315</v>
      </c>
      <c r="C45" s="42" t="s">
        <v>435</v>
      </c>
      <c r="D45" s="39" t="s">
        <v>434</v>
      </c>
      <c r="E45" s="41" t="s">
        <v>1664</v>
      </c>
      <c r="F45" s="39" t="s">
        <v>434</v>
      </c>
      <c r="G45" s="39" t="s">
        <v>434</v>
      </c>
      <c r="H45" s="39" t="s">
        <v>434</v>
      </c>
      <c r="I45" s="42" t="s">
        <v>1665</v>
      </c>
      <c r="J45" s="63">
        <v>187929721.19999999</v>
      </c>
      <c r="K45" s="43">
        <v>0</v>
      </c>
      <c r="L45" s="56">
        <v>0</v>
      </c>
      <c r="M45" s="56">
        <v>0</v>
      </c>
      <c r="N45" s="44">
        <v>100</v>
      </c>
      <c r="O45" s="45">
        <v>187929721.19999999</v>
      </c>
      <c r="P45" s="43"/>
      <c r="Q45" s="45">
        <v>187929721.19999999</v>
      </c>
      <c r="R45" s="43">
        <v>0</v>
      </c>
      <c r="S45" s="30">
        <v>0</v>
      </c>
      <c r="T45" s="30">
        <v>0</v>
      </c>
      <c r="U45" s="30" t="e">
        <v>#DIV/0!</v>
      </c>
      <c r="V45" s="43" t="e">
        <v>#DIV/0!</v>
      </c>
      <c r="W45" s="43" t="e">
        <v>#DIV/0!</v>
      </c>
      <c r="X45" s="43">
        <v>0</v>
      </c>
      <c r="Y45" s="43">
        <v>0</v>
      </c>
      <c r="Z45" s="43">
        <v>0</v>
      </c>
      <c r="AA45" s="43">
        <v>0</v>
      </c>
      <c r="AB45" s="43"/>
      <c r="AC45" s="43" t="e">
        <v>#DIV/0!</v>
      </c>
      <c r="AD45" s="43"/>
      <c r="AE45" s="43" t="e">
        <v>#DIV/0!</v>
      </c>
      <c r="AF45" s="43" t="e">
        <v>#DIV/0!</v>
      </c>
      <c r="AG45" s="43" t="e">
        <v>#DIV/0!</v>
      </c>
      <c r="AH45" s="38">
        <v>45382</v>
      </c>
      <c r="AI45" s="38"/>
      <c r="AJ45" s="38"/>
      <c r="AK45" s="38"/>
      <c r="AL45" s="38"/>
      <c r="AM45" s="48"/>
      <c r="AN45" s="42"/>
      <c r="AO45" s="42"/>
      <c r="AP45" s="42"/>
      <c r="AQ45" s="42"/>
      <c r="AR45" s="42"/>
      <c r="AS45" s="50"/>
      <c r="AT45" s="39"/>
      <c r="AU45" s="39"/>
      <c r="AV45" s="49"/>
      <c r="AW45" s="39"/>
      <c r="AX45" s="39">
        <v>10</v>
      </c>
      <c r="AY45" s="30">
        <v>18792972.120000001</v>
      </c>
      <c r="AZ45" s="42" t="s">
        <v>434</v>
      </c>
    </row>
    <row r="46" spans="1:52" ht="48.75" customHeight="1" x14ac:dyDescent="0.25">
      <c r="A46" s="61" t="s">
        <v>1666</v>
      </c>
      <c r="B46" s="62">
        <v>45315</v>
      </c>
      <c r="C46" s="42" t="s">
        <v>435</v>
      </c>
      <c r="D46" s="39" t="s">
        <v>434</v>
      </c>
      <c r="E46" s="41" t="s">
        <v>1667</v>
      </c>
      <c r="F46" s="39" t="s">
        <v>434</v>
      </c>
      <c r="G46" s="39" t="s">
        <v>434</v>
      </c>
      <c r="H46" s="39" t="s">
        <v>434</v>
      </c>
      <c r="I46" s="42" t="s">
        <v>1668</v>
      </c>
      <c r="J46" s="63">
        <v>35170380</v>
      </c>
      <c r="K46" s="43">
        <v>0</v>
      </c>
      <c r="L46" s="56">
        <v>0</v>
      </c>
      <c r="M46" s="56">
        <v>0</v>
      </c>
      <c r="N46" s="44">
        <v>100</v>
      </c>
      <c r="O46" s="45">
        <v>35170380</v>
      </c>
      <c r="P46" s="43"/>
      <c r="Q46" s="45">
        <v>35170380</v>
      </c>
      <c r="R46" s="43">
        <v>0</v>
      </c>
      <c r="S46" s="30">
        <v>0</v>
      </c>
      <c r="T46" s="30">
        <v>0</v>
      </c>
      <c r="U46" s="30" t="e">
        <v>#DIV/0!</v>
      </c>
      <c r="V46" s="43" t="e">
        <v>#DIV/0!</v>
      </c>
      <c r="W46" s="43" t="e">
        <v>#DIV/0!</v>
      </c>
      <c r="X46" s="43">
        <v>0</v>
      </c>
      <c r="Y46" s="43">
        <v>0</v>
      </c>
      <c r="Z46" s="43">
        <v>0</v>
      </c>
      <c r="AA46" s="43">
        <v>0</v>
      </c>
      <c r="AB46" s="43"/>
      <c r="AC46" s="43" t="e">
        <v>#DIV/0!</v>
      </c>
      <c r="AD46" s="43"/>
      <c r="AE46" s="43" t="e">
        <v>#DIV/0!</v>
      </c>
      <c r="AF46" s="43" t="e">
        <v>#DIV/0!</v>
      </c>
      <c r="AG46" s="43" t="e">
        <v>#DIV/0!</v>
      </c>
      <c r="AH46" s="38">
        <v>45383</v>
      </c>
      <c r="AI46" s="38"/>
      <c r="AJ46" s="38"/>
      <c r="AK46" s="38"/>
      <c r="AL46" s="38"/>
      <c r="AM46" s="48"/>
      <c r="AN46" s="42"/>
      <c r="AO46" s="42"/>
      <c r="AP46" s="42"/>
      <c r="AQ46" s="42"/>
      <c r="AR46" s="42"/>
      <c r="AS46" s="50"/>
      <c r="AT46" s="39"/>
      <c r="AU46" s="39"/>
      <c r="AV46" s="49"/>
      <c r="AW46" s="39"/>
      <c r="AX46" s="39">
        <v>10</v>
      </c>
      <c r="AY46" s="30">
        <v>3517038</v>
      </c>
      <c r="AZ46" s="42" t="s">
        <v>434</v>
      </c>
    </row>
    <row r="47" spans="1:52" ht="48.75" customHeight="1" x14ac:dyDescent="0.25">
      <c r="A47" s="61" t="s">
        <v>1669</v>
      </c>
      <c r="B47" s="62">
        <v>45315</v>
      </c>
      <c r="C47" s="42" t="s">
        <v>435</v>
      </c>
      <c r="D47" s="39" t="s">
        <v>434</v>
      </c>
      <c r="E47" s="41" t="s">
        <v>1670</v>
      </c>
      <c r="F47" s="39" t="s">
        <v>434</v>
      </c>
      <c r="G47" s="39" t="s">
        <v>434</v>
      </c>
      <c r="H47" s="39" t="s">
        <v>434</v>
      </c>
      <c r="I47" s="42" t="s">
        <v>1671</v>
      </c>
      <c r="J47" s="63">
        <v>1138737.6000000001</v>
      </c>
      <c r="K47" s="43">
        <v>0</v>
      </c>
      <c r="L47" s="56">
        <v>0</v>
      </c>
      <c r="M47" s="56">
        <v>0</v>
      </c>
      <c r="N47" s="44">
        <v>100</v>
      </c>
      <c r="O47" s="45">
        <v>1138737.6000000001</v>
      </c>
      <c r="P47" s="43"/>
      <c r="Q47" s="45">
        <v>1138737.6000000001</v>
      </c>
      <c r="R47" s="43">
        <v>0</v>
      </c>
      <c r="S47" s="30">
        <v>0</v>
      </c>
      <c r="T47" s="30">
        <v>0</v>
      </c>
      <c r="U47" s="30" t="e">
        <v>#DIV/0!</v>
      </c>
      <c r="V47" s="43" t="e">
        <v>#DIV/0!</v>
      </c>
      <c r="W47" s="43" t="e">
        <v>#DIV/0!</v>
      </c>
      <c r="X47" s="43">
        <v>0</v>
      </c>
      <c r="Y47" s="43">
        <v>0</v>
      </c>
      <c r="Z47" s="43">
        <v>0</v>
      </c>
      <c r="AA47" s="43">
        <v>0</v>
      </c>
      <c r="AB47" s="43"/>
      <c r="AC47" s="43" t="e">
        <v>#DIV/0!</v>
      </c>
      <c r="AD47" s="43"/>
      <c r="AE47" s="43" t="e">
        <v>#DIV/0!</v>
      </c>
      <c r="AF47" s="43" t="e">
        <v>#DIV/0!</v>
      </c>
      <c r="AG47" s="43" t="e">
        <v>#DIV/0!</v>
      </c>
      <c r="AH47" s="38">
        <v>45383</v>
      </c>
      <c r="AI47" s="38"/>
      <c r="AJ47" s="38"/>
      <c r="AK47" s="38"/>
      <c r="AL47" s="38"/>
      <c r="AM47" s="48"/>
      <c r="AN47" s="42"/>
      <c r="AO47" s="42"/>
      <c r="AP47" s="42"/>
      <c r="AQ47" s="42"/>
      <c r="AR47" s="42"/>
      <c r="AS47" s="50"/>
      <c r="AT47" s="39"/>
      <c r="AU47" s="39"/>
      <c r="AV47" s="49"/>
      <c r="AW47" s="39"/>
      <c r="AX47" s="39">
        <v>10</v>
      </c>
      <c r="AY47" s="30">
        <v>113873.76</v>
      </c>
      <c r="AZ47" s="42" t="s">
        <v>434</v>
      </c>
    </row>
    <row r="48" spans="1:52" ht="48.75" customHeight="1" x14ac:dyDescent="0.25">
      <c r="A48" s="61" t="s">
        <v>1672</v>
      </c>
      <c r="B48" s="62">
        <v>45315</v>
      </c>
      <c r="C48" s="42" t="s">
        <v>435</v>
      </c>
      <c r="D48" s="37" t="s">
        <v>1673</v>
      </c>
      <c r="E48" s="41" t="s">
        <v>1674</v>
      </c>
      <c r="F48" s="38">
        <v>45335</v>
      </c>
      <c r="G48" s="39" t="s">
        <v>1675</v>
      </c>
      <c r="H48" s="42" t="s">
        <v>205</v>
      </c>
      <c r="I48" s="42" t="s">
        <v>1676</v>
      </c>
      <c r="J48" s="63">
        <v>8321227.2000000002</v>
      </c>
      <c r="K48" s="43">
        <v>0</v>
      </c>
      <c r="L48" s="56">
        <v>0</v>
      </c>
      <c r="M48" s="56">
        <v>0</v>
      </c>
      <c r="N48" s="44">
        <v>0</v>
      </c>
      <c r="O48" s="45">
        <v>0</v>
      </c>
      <c r="P48" s="43">
        <v>8321227.2000000002</v>
      </c>
      <c r="Q48" s="45">
        <v>0</v>
      </c>
      <c r="R48" s="43">
        <v>8321227.2000000002</v>
      </c>
      <c r="S48" s="30">
        <v>8321227.2000000002</v>
      </c>
      <c r="T48" s="30">
        <v>8321227.2000000002</v>
      </c>
      <c r="U48" s="30">
        <v>25.740000000000002</v>
      </c>
      <c r="V48" s="43">
        <v>25.740000000000002</v>
      </c>
      <c r="W48" s="43">
        <v>1544.4</v>
      </c>
      <c r="X48" s="43">
        <v>323280</v>
      </c>
      <c r="Y48" s="43">
        <v>323280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3">
        <v>5388</v>
      </c>
      <c r="AG48" s="43">
        <v>5388</v>
      </c>
      <c r="AH48" s="38">
        <v>45382</v>
      </c>
      <c r="AI48" s="38"/>
      <c r="AJ48" s="38"/>
      <c r="AK48" s="38">
        <v>45413</v>
      </c>
      <c r="AL48" s="38"/>
      <c r="AM48" s="48"/>
      <c r="AN48" s="42"/>
      <c r="AO48" s="42" t="s">
        <v>1677</v>
      </c>
      <c r="AP48" s="42" t="s">
        <v>1678</v>
      </c>
      <c r="AQ48" s="42" t="s">
        <v>1679</v>
      </c>
      <c r="AR48" s="42" t="s">
        <v>82</v>
      </c>
      <c r="AS48" s="50">
        <v>100</v>
      </c>
      <c r="AT48" s="39">
        <v>0</v>
      </c>
      <c r="AU48" s="39" t="s">
        <v>389</v>
      </c>
      <c r="AV48" s="49">
        <v>60</v>
      </c>
      <c r="AW48" s="39" t="s">
        <v>221</v>
      </c>
      <c r="AX48" s="39">
        <v>10</v>
      </c>
      <c r="AY48" s="30">
        <v>832122.72</v>
      </c>
      <c r="AZ48" s="42" t="s">
        <v>405</v>
      </c>
    </row>
    <row r="49" spans="1:52" ht="48.75" customHeight="1" x14ac:dyDescent="0.25">
      <c r="A49" s="61" t="s">
        <v>1680</v>
      </c>
      <c r="B49" s="62">
        <v>45315</v>
      </c>
      <c r="C49" s="42" t="s">
        <v>435</v>
      </c>
      <c r="D49" s="37" t="s">
        <v>1681</v>
      </c>
      <c r="E49" s="41" t="s">
        <v>1682</v>
      </c>
      <c r="F49" s="38">
        <v>45335</v>
      </c>
      <c r="G49" s="39" t="s">
        <v>1683</v>
      </c>
      <c r="H49" s="42" t="s">
        <v>205</v>
      </c>
      <c r="I49" s="42" t="s">
        <v>1684</v>
      </c>
      <c r="J49" s="63">
        <v>7038016</v>
      </c>
      <c r="K49" s="43">
        <v>0</v>
      </c>
      <c r="L49" s="56">
        <v>0</v>
      </c>
      <c r="M49" s="56">
        <v>0</v>
      </c>
      <c r="N49" s="44">
        <v>0</v>
      </c>
      <c r="O49" s="45">
        <v>0</v>
      </c>
      <c r="P49" s="43">
        <v>7038016</v>
      </c>
      <c r="Q49" s="45">
        <v>0</v>
      </c>
      <c r="R49" s="43">
        <v>7038016</v>
      </c>
      <c r="S49" s="30">
        <v>6987200</v>
      </c>
      <c r="T49" s="30">
        <v>6987200</v>
      </c>
      <c r="U49" s="30">
        <v>11</v>
      </c>
      <c r="V49" s="43">
        <v>11</v>
      </c>
      <c r="W49" s="43">
        <v>3300</v>
      </c>
      <c r="X49" s="43">
        <v>635200</v>
      </c>
      <c r="Y49" s="43">
        <v>635200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43">
        <v>2117.3333333333335</v>
      </c>
      <c r="AG49" s="43">
        <v>2118</v>
      </c>
      <c r="AH49" s="38">
        <v>45366</v>
      </c>
      <c r="AI49" s="38"/>
      <c r="AJ49" s="38"/>
      <c r="AK49" s="38">
        <v>45397</v>
      </c>
      <c r="AL49" s="38"/>
      <c r="AM49" s="48"/>
      <c r="AN49" s="42"/>
      <c r="AO49" s="42" t="s">
        <v>1685</v>
      </c>
      <c r="AP49" s="42" t="s">
        <v>1686</v>
      </c>
      <c r="AQ49" s="42" t="s">
        <v>1687</v>
      </c>
      <c r="AR49" s="42" t="s">
        <v>82</v>
      </c>
      <c r="AS49" s="50">
        <v>100</v>
      </c>
      <c r="AT49" s="39">
        <v>0</v>
      </c>
      <c r="AU49" s="39" t="s">
        <v>83</v>
      </c>
      <c r="AV49" s="49">
        <v>300</v>
      </c>
      <c r="AW49" s="39" t="s">
        <v>221</v>
      </c>
      <c r="AX49" s="39">
        <v>10</v>
      </c>
      <c r="AY49" s="30">
        <v>703801.6</v>
      </c>
      <c r="AZ49" s="42" t="s">
        <v>405</v>
      </c>
    </row>
    <row r="50" spans="1:52" ht="48.75" customHeight="1" x14ac:dyDescent="0.25">
      <c r="A50" s="61" t="s">
        <v>1688</v>
      </c>
      <c r="B50" s="62">
        <v>45316</v>
      </c>
      <c r="C50" s="42" t="s">
        <v>435</v>
      </c>
      <c r="D50" s="37" t="s">
        <v>1689</v>
      </c>
      <c r="E50" s="41" t="s">
        <v>1690</v>
      </c>
      <c r="F50" s="38">
        <v>45335</v>
      </c>
      <c r="G50" s="39" t="s">
        <v>1691</v>
      </c>
      <c r="H50" s="42" t="s">
        <v>226</v>
      </c>
      <c r="I50" s="42" t="s">
        <v>1692</v>
      </c>
      <c r="J50" s="63">
        <v>12870732</v>
      </c>
      <c r="K50" s="43">
        <v>0</v>
      </c>
      <c r="L50" s="56">
        <v>0</v>
      </c>
      <c r="M50" s="56">
        <v>0</v>
      </c>
      <c r="N50" s="44">
        <v>0</v>
      </c>
      <c r="O50" s="45">
        <v>0</v>
      </c>
      <c r="P50" s="43">
        <v>12870732</v>
      </c>
      <c r="Q50" s="45">
        <v>0</v>
      </c>
      <c r="R50" s="43">
        <v>12870732</v>
      </c>
      <c r="S50" s="30">
        <v>12870732</v>
      </c>
      <c r="T50" s="30">
        <v>12870732</v>
      </c>
      <c r="U50" s="30">
        <v>62.54</v>
      </c>
      <c r="V50" s="43">
        <v>62.54</v>
      </c>
      <c r="W50" s="43">
        <v>7504.8</v>
      </c>
      <c r="X50" s="43">
        <v>205800</v>
      </c>
      <c r="Y50" s="43">
        <v>205800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3">
        <v>0</v>
      </c>
      <c r="AF50" s="43">
        <v>1715</v>
      </c>
      <c r="AG50" s="43">
        <v>1715</v>
      </c>
      <c r="AH50" s="38">
        <v>45366</v>
      </c>
      <c r="AI50" s="38"/>
      <c r="AJ50" s="38"/>
      <c r="AK50" s="38">
        <v>45397</v>
      </c>
      <c r="AL50" s="38"/>
      <c r="AM50" s="48"/>
      <c r="AN50" s="42"/>
      <c r="AO50" s="42" t="s">
        <v>1693</v>
      </c>
      <c r="AP50" s="42" t="s">
        <v>1694</v>
      </c>
      <c r="AQ50" s="42" t="s">
        <v>1695</v>
      </c>
      <c r="AR50" s="42" t="s">
        <v>82</v>
      </c>
      <c r="AS50" s="50">
        <v>100</v>
      </c>
      <c r="AT50" s="39">
        <v>0</v>
      </c>
      <c r="AU50" s="39" t="s">
        <v>389</v>
      </c>
      <c r="AV50" s="49">
        <v>120</v>
      </c>
      <c r="AW50" s="39" t="s">
        <v>62</v>
      </c>
      <c r="AX50" s="39">
        <v>10</v>
      </c>
      <c r="AY50" s="30">
        <v>1287073.2</v>
      </c>
      <c r="AZ50" s="42" t="s">
        <v>405</v>
      </c>
    </row>
    <row r="51" spans="1:52" ht="48.75" customHeight="1" x14ac:dyDescent="0.25">
      <c r="A51" s="61" t="s">
        <v>1696</v>
      </c>
      <c r="B51" s="62">
        <v>45316</v>
      </c>
      <c r="C51" s="42" t="s">
        <v>435</v>
      </c>
      <c r="D51" s="37" t="s">
        <v>1697</v>
      </c>
      <c r="E51" s="41" t="s">
        <v>1698</v>
      </c>
      <c r="F51" s="38">
        <v>45335</v>
      </c>
      <c r="G51" s="39" t="s">
        <v>1699</v>
      </c>
      <c r="H51" s="42" t="s">
        <v>226</v>
      </c>
      <c r="I51" s="42" t="s">
        <v>1700</v>
      </c>
      <c r="J51" s="63">
        <v>10821789</v>
      </c>
      <c r="K51" s="43">
        <v>0</v>
      </c>
      <c r="L51" s="56">
        <v>0</v>
      </c>
      <c r="M51" s="56">
        <v>0</v>
      </c>
      <c r="N51" s="44">
        <v>0</v>
      </c>
      <c r="O51" s="45">
        <v>0</v>
      </c>
      <c r="P51" s="43">
        <v>10821789</v>
      </c>
      <c r="Q51" s="45">
        <v>0</v>
      </c>
      <c r="R51" s="43">
        <v>10821789</v>
      </c>
      <c r="S51" s="30">
        <v>10821789</v>
      </c>
      <c r="T51" s="30">
        <v>10821789</v>
      </c>
      <c r="U51" s="30">
        <v>9.1300000000000008</v>
      </c>
      <c r="V51" s="43">
        <v>9.1300000000000008</v>
      </c>
      <c r="W51" s="43">
        <v>547.80000000000007</v>
      </c>
      <c r="X51" s="43">
        <v>1185300</v>
      </c>
      <c r="Y51" s="43">
        <v>1185300</v>
      </c>
      <c r="Z51" s="43">
        <v>0</v>
      </c>
      <c r="AA51" s="43">
        <v>0</v>
      </c>
      <c r="AB51" s="43">
        <v>0</v>
      </c>
      <c r="AC51" s="43">
        <v>0</v>
      </c>
      <c r="AD51" s="43">
        <v>0</v>
      </c>
      <c r="AE51" s="43">
        <v>0</v>
      </c>
      <c r="AF51" s="43">
        <v>19755</v>
      </c>
      <c r="AG51" s="43">
        <v>19755</v>
      </c>
      <c r="AH51" s="38">
        <v>45383</v>
      </c>
      <c r="AI51" s="38"/>
      <c r="AJ51" s="38"/>
      <c r="AK51" s="38">
        <v>45413</v>
      </c>
      <c r="AL51" s="38"/>
      <c r="AM51" s="48"/>
      <c r="AN51" s="42"/>
      <c r="AO51" s="42" t="s">
        <v>1649</v>
      </c>
      <c r="AP51" s="42" t="s">
        <v>1701</v>
      </c>
      <c r="AQ51" s="42" t="s">
        <v>1651</v>
      </c>
      <c r="AR51" s="42" t="s">
        <v>82</v>
      </c>
      <c r="AS51" s="50">
        <v>100</v>
      </c>
      <c r="AT51" s="39">
        <v>0</v>
      </c>
      <c r="AU51" s="39" t="s">
        <v>389</v>
      </c>
      <c r="AV51" s="49">
        <v>60</v>
      </c>
      <c r="AW51" s="39" t="s">
        <v>62</v>
      </c>
      <c r="AX51" s="39">
        <v>10</v>
      </c>
      <c r="AY51" s="30">
        <v>1082178.8999999999</v>
      </c>
      <c r="AZ51" s="42" t="s">
        <v>405</v>
      </c>
    </row>
    <row r="52" spans="1:52" ht="48.75" customHeight="1" x14ac:dyDescent="0.25">
      <c r="A52" s="61" t="s">
        <v>1702</v>
      </c>
      <c r="B52" s="62">
        <v>45316</v>
      </c>
      <c r="C52" s="42" t="s">
        <v>435</v>
      </c>
      <c r="D52" s="37" t="s">
        <v>1703</v>
      </c>
      <c r="E52" s="41" t="s">
        <v>1704</v>
      </c>
      <c r="F52" s="38">
        <v>45335</v>
      </c>
      <c r="G52" s="39" t="s">
        <v>1705</v>
      </c>
      <c r="H52" s="42" t="s">
        <v>226</v>
      </c>
      <c r="I52" s="42" t="s">
        <v>1706</v>
      </c>
      <c r="J52" s="63">
        <v>2895874.56</v>
      </c>
      <c r="K52" s="43">
        <v>0</v>
      </c>
      <c r="L52" s="56">
        <v>0</v>
      </c>
      <c r="M52" s="56">
        <v>0</v>
      </c>
      <c r="N52" s="44">
        <v>0</v>
      </c>
      <c r="O52" s="45">
        <v>0</v>
      </c>
      <c r="P52" s="43">
        <v>2895874.56</v>
      </c>
      <c r="Q52" s="45">
        <v>0</v>
      </c>
      <c r="R52" s="43">
        <v>2895874.56</v>
      </c>
      <c r="S52" s="30">
        <v>2895874.56</v>
      </c>
      <c r="T52" s="30">
        <v>2895874.56</v>
      </c>
      <c r="U52" s="30">
        <v>2.58</v>
      </c>
      <c r="V52" s="43">
        <v>2.58</v>
      </c>
      <c r="W52" s="43">
        <v>154.80000000000001</v>
      </c>
      <c r="X52" s="43">
        <v>1122432</v>
      </c>
      <c r="Y52" s="43">
        <v>1122432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3">
        <v>0</v>
      </c>
      <c r="AF52" s="43">
        <v>18707.2</v>
      </c>
      <c r="AG52" s="43">
        <v>18708</v>
      </c>
      <c r="AH52" s="38">
        <v>45366</v>
      </c>
      <c r="AI52" s="38"/>
      <c r="AJ52" s="38"/>
      <c r="AK52" s="38">
        <v>45397</v>
      </c>
      <c r="AL52" s="38"/>
      <c r="AM52" s="48"/>
      <c r="AN52" s="42"/>
      <c r="AO52" s="42" t="s">
        <v>1707</v>
      </c>
      <c r="AP52" s="42" t="s">
        <v>1708</v>
      </c>
      <c r="AQ52" s="42" t="s">
        <v>1709</v>
      </c>
      <c r="AR52" s="42" t="s">
        <v>82</v>
      </c>
      <c r="AS52" s="50">
        <v>100</v>
      </c>
      <c r="AT52" s="39">
        <v>0</v>
      </c>
      <c r="AU52" s="39" t="s">
        <v>389</v>
      </c>
      <c r="AV52" s="49">
        <v>60</v>
      </c>
      <c r="AW52" s="39" t="s">
        <v>62</v>
      </c>
      <c r="AX52" s="39">
        <v>10</v>
      </c>
      <c r="AY52" s="30">
        <v>289587.45600000001</v>
      </c>
      <c r="AZ52" s="42" t="s">
        <v>405</v>
      </c>
    </row>
    <row r="53" spans="1:52" ht="48.75" customHeight="1" x14ac:dyDescent="0.25">
      <c r="A53" s="61" t="s">
        <v>1710</v>
      </c>
      <c r="B53" s="62">
        <v>45316</v>
      </c>
      <c r="C53" s="42" t="s">
        <v>435</v>
      </c>
      <c r="D53" s="37" t="s">
        <v>434</v>
      </c>
      <c r="E53" s="41" t="s">
        <v>1711</v>
      </c>
      <c r="F53" s="38" t="s">
        <v>434</v>
      </c>
      <c r="G53" s="39" t="s">
        <v>434</v>
      </c>
      <c r="H53" s="42" t="s">
        <v>434</v>
      </c>
      <c r="I53" s="42" t="s">
        <v>1712</v>
      </c>
      <c r="J53" s="63">
        <v>95225220</v>
      </c>
      <c r="K53" s="43">
        <v>0</v>
      </c>
      <c r="L53" s="56">
        <v>0</v>
      </c>
      <c r="M53" s="56">
        <v>0</v>
      </c>
      <c r="N53" s="44">
        <v>100</v>
      </c>
      <c r="O53" s="45">
        <v>95225220</v>
      </c>
      <c r="P53" s="43"/>
      <c r="Q53" s="45">
        <v>95225220</v>
      </c>
      <c r="R53" s="43">
        <v>0</v>
      </c>
      <c r="S53" s="30">
        <v>0</v>
      </c>
      <c r="T53" s="30">
        <v>0</v>
      </c>
      <c r="U53" s="30" t="e">
        <v>#DIV/0!</v>
      </c>
      <c r="V53" s="43" t="e">
        <v>#DIV/0!</v>
      </c>
      <c r="W53" s="43" t="e">
        <v>#DIV/0!</v>
      </c>
      <c r="X53" s="43">
        <v>0</v>
      </c>
      <c r="Y53" s="43">
        <v>0</v>
      </c>
      <c r="Z53" s="43">
        <v>0</v>
      </c>
      <c r="AA53" s="43">
        <v>0</v>
      </c>
      <c r="AB53" s="43"/>
      <c r="AC53" s="43" t="e">
        <v>#DIV/0!</v>
      </c>
      <c r="AD53" s="43"/>
      <c r="AE53" s="43" t="e">
        <v>#DIV/0!</v>
      </c>
      <c r="AF53" s="43" t="e">
        <v>#DIV/0!</v>
      </c>
      <c r="AG53" s="43" t="e">
        <v>#DIV/0!</v>
      </c>
      <c r="AH53" s="38">
        <v>45383</v>
      </c>
      <c r="AI53" s="38"/>
      <c r="AJ53" s="38"/>
      <c r="AK53" s="38"/>
      <c r="AL53" s="38"/>
      <c r="AM53" s="48"/>
      <c r="AN53" s="42"/>
      <c r="AO53" s="42"/>
      <c r="AP53" s="42"/>
      <c r="AQ53" s="42"/>
      <c r="AR53" s="42"/>
      <c r="AS53" s="50"/>
      <c r="AT53" s="39"/>
      <c r="AU53" s="39"/>
      <c r="AV53" s="49"/>
      <c r="AW53" s="39"/>
      <c r="AX53" s="39">
        <v>10</v>
      </c>
      <c r="AY53" s="30">
        <v>9522522</v>
      </c>
      <c r="AZ53" s="42" t="s">
        <v>434</v>
      </c>
    </row>
    <row r="54" spans="1:52" ht="48.75" customHeight="1" x14ac:dyDescent="0.25">
      <c r="A54" s="61" t="s">
        <v>1713</v>
      </c>
      <c r="B54" s="62">
        <v>45316</v>
      </c>
      <c r="C54" s="42" t="s">
        <v>435</v>
      </c>
      <c r="D54" s="37" t="s">
        <v>1714</v>
      </c>
      <c r="E54" s="41" t="s">
        <v>1715</v>
      </c>
      <c r="F54" s="38">
        <v>45335</v>
      </c>
      <c r="G54" s="39" t="s">
        <v>1716</v>
      </c>
      <c r="H54" s="42" t="s">
        <v>226</v>
      </c>
      <c r="I54" s="42" t="s">
        <v>1717</v>
      </c>
      <c r="J54" s="63">
        <v>78794.100000000006</v>
      </c>
      <c r="K54" s="43">
        <v>0</v>
      </c>
      <c r="L54" s="56">
        <v>0</v>
      </c>
      <c r="M54" s="56">
        <v>0</v>
      </c>
      <c r="N54" s="44">
        <v>0</v>
      </c>
      <c r="O54" s="45">
        <v>0</v>
      </c>
      <c r="P54" s="63">
        <v>78794.100000000006</v>
      </c>
      <c r="Q54" s="45">
        <v>0</v>
      </c>
      <c r="R54" s="63">
        <v>78794.100000000006</v>
      </c>
      <c r="S54" s="30">
        <v>78794.100000000006</v>
      </c>
      <c r="T54" s="30">
        <v>78794.100000000006</v>
      </c>
      <c r="U54" s="30">
        <v>2.31</v>
      </c>
      <c r="V54" s="43">
        <v>2.31</v>
      </c>
      <c r="W54" s="43">
        <v>69.3</v>
      </c>
      <c r="X54" s="43">
        <v>34110</v>
      </c>
      <c r="Y54" s="43">
        <v>34110</v>
      </c>
      <c r="Z54" s="43">
        <v>0</v>
      </c>
      <c r="AA54" s="43">
        <v>0</v>
      </c>
      <c r="AB54" s="43">
        <v>0</v>
      </c>
      <c r="AC54" s="43">
        <v>0</v>
      </c>
      <c r="AD54" s="43">
        <v>0</v>
      </c>
      <c r="AE54" s="43">
        <v>0</v>
      </c>
      <c r="AF54" s="43">
        <v>1137</v>
      </c>
      <c r="AG54" s="43">
        <v>1137</v>
      </c>
      <c r="AH54" s="38">
        <v>45383</v>
      </c>
      <c r="AI54" s="38"/>
      <c r="AJ54" s="38"/>
      <c r="AK54" s="38">
        <v>45413</v>
      </c>
      <c r="AL54" s="38"/>
      <c r="AM54" s="48"/>
      <c r="AN54" s="42"/>
      <c r="AO54" s="42" t="s">
        <v>1553</v>
      </c>
      <c r="AP54" s="42" t="s">
        <v>1390</v>
      </c>
      <c r="AQ54" s="42" t="s">
        <v>1555</v>
      </c>
      <c r="AR54" s="42" t="s">
        <v>82</v>
      </c>
      <c r="AS54" s="50">
        <v>100</v>
      </c>
      <c r="AT54" s="39">
        <v>0</v>
      </c>
      <c r="AU54" s="39" t="s">
        <v>389</v>
      </c>
      <c r="AV54" s="49">
        <v>30</v>
      </c>
      <c r="AW54" s="39" t="s">
        <v>221</v>
      </c>
      <c r="AX54" s="39">
        <v>10</v>
      </c>
      <c r="AY54" s="30">
        <v>7879.41</v>
      </c>
      <c r="AZ54" s="42" t="s">
        <v>405</v>
      </c>
    </row>
    <row r="55" spans="1:52" ht="48.75" customHeight="1" x14ac:dyDescent="0.25">
      <c r="A55" s="61" t="s">
        <v>1718</v>
      </c>
      <c r="B55" s="62">
        <v>45316</v>
      </c>
      <c r="C55" s="42" t="s">
        <v>435</v>
      </c>
      <c r="D55" s="37" t="s">
        <v>1719</v>
      </c>
      <c r="E55" s="41" t="s">
        <v>1720</v>
      </c>
      <c r="F55" s="38">
        <v>45335</v>
      </c>
      <c r="G55" s="39" t="s">
        <v>1721</v>
      </c>
      <c r="H55" s="42" t="s">
        <v>54</v>
      </c>
      <c r="I55" s="42" t="s">
        <v>1722</v>
      </c>
      <c r="J55" s="63">
        <v>1866913.68</v>
      </c>
      <c r="K55" s="43">
        <v>0</v>
      </c>
      <c r="L55" s="56">
        <v>0</v>
      </c>
      <c r="M55" s="56">
        <v>0</v>
      </c>
      <c r="N55" s="44">
        <v>0</v>
      </c>
      <c r="O55" s="45">
        <v>0</v>
      </c>
      <c r="P55" s="43">
        <v>1866913.68</v>
      </c>
      <c r="Q55" s="45">
        <v>0</v>
      </c>
      <c r="R55" s="43">
        <v>1866913.68</v>
      </c>
      <c r="S55" s="30">
        <v>1866913.68</v>
      </c>
      <c r="T55" s="30">
        <v>1866913.68</v>
      </c>
      <c r="U55" s="30">
        <v>2.92</v>
      </c>
      <c r="V55" s="43">
        <v>2.92</v>
      </c>
      <c r="W55" s="43">
        <v>700.8</v>
      </c>
      <c r="X55" s="43">
        <v>639354</v>
      </c>
      <c r="Y55" s="43">
        <v>639354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3">
        <v>0</v>
      </c>
      <c r="AF55" s="43">
        <v>2663.9749999999999</v>
      </c>
      <c r="AG55" s="43">
        <v>2664</v>
      </c>
      <c r="AH55" s="38">
        <v>45383</v>
      </c>
      <c r="AI55" s="38"/>
      <c r="AJ55" s="38"/>
      <c r="AK55" s="38">
        <v>45413</v>
      </c>
      <c r="AL55" s="38"/>
      <c r="AM55" s="48"/>
      <c r="AN55" s="42"/>
      <c r="AO55" s="42" t="s">
        <v>1723</v>
      </c>
      <c r="AP55" s="42" t="s">
        <v>1724</v>
      </c>
      <c r="AQ55" s="42" t="s">
        <v>1725</v>
      </c>
      <c r="AR55" s="42" t="s">
        <v>388</v>
      </c>
      <c r="AS55" s="50">
        <v>0</v>
      </c>
      <c r="AT55" s="39">
        <v>100</v>
      </c>
      <c r="AU55" s="39" t="s">
        <v>83</v>
      </c>
      <c r="AV55" s="49">
        <v>240</v>
      </c>
      <c r="AW55" s="39" t="s">
        <v>62</v>
      </c>
      <c r="AX55" s="39">
        <v>10</v>
      </c>
      <c r="AY55" s="30">
        <v>186691.36800000002</v>
      </c>
      <c r="AZ55" s="42" t="s">
        <v>405</v>
      </c>
    </row>
    <row r="56" spans="1:52" ht="48.75" customHeight="1" x14ac:dyDescent="0.25">
      <c r="A56" s="61" t="s">
        <v>1745</v>
      </c>
      <c r="B56" s="62">
        <v>45316</v>
      </c>
      <c r="C56" s="42" t="s">
        <v>435</v>
      </c>
      <c r="D56" s="37" t="s">
        <v>434</v>
      </c>
      <c r="E56" s="41" t="s">
        <v>1746</v>
      </c>
      <c r="F56" s="38" t="s">
        <v>434</v>
      </c>
      <c r="G56" s="39" t="s">
        <v>434</v>
      </c>
      <c r="H56" s="42" t="s">
        <v>434</v>
      </c>
      <c r="I56" s="39" t="s">
        <v>1747</v>
      </c>
      <c r="J56" s="63">
        <v>7532379.6900000004</v>
      </c>
      <c r="K56" s="43">
        <v>0</v>
      </c>
      <c r="L56" s="56">
        <v>0</v>
      </c>
      <c r="M56" s="56">
        <v>0</v>
      </c>
      <c r="N56" s="44">
        <v>100</v>
      </c>
      <c r="O56" s="45">
        <v>7532379.6900000004</v>
      </c>
      <c r="P56" s="43"/>
      <c r="Q56" s="45">
        <v>7532379.6900000004</v>
      </c>
      <c r="R56" s="43">
        <v>0</v>
      </c>
      <c r="S56" s="30">
        <v>0</v>
      </c>
      <c r="T56" s="30">
        <v>0</v>
      </c>
      <c r="U56" s="30" t="e">
        <v>#DIV/0!</v>
      </c>
      <c r="V56" s="43" t="e">
        <v>#DIV/0!</v>
      </c>
      <c r="W56" s="43" t="e">
        <v>#DIV/0!</v>
      </c>
      <c r="X56" s="43">
        <v>0</v>
      </c>
      <c r="Y56" s="43">
        <v>0</v>
      </c>
      <c r="Z56" s="43">
        <v>0</v>
      </c>
      <c r="AA56" s="43">
        <v>0</v>
      </c>
      <c r="AB56" s="43"/>
      <c r="AC56" s="43" t="e">
        <v>#DIV/0!</v>
      </c>
      <c r="AD56" s="43"/>
      <c r="AE56" s="43" t="e">
        <v>#DIV/0!</v>
      </c>
      <c r="AF56" s="43" t="e">
        <v>#DIV/0!</v>
      </c>
      <c r="AG56" s="43" t="e">
        <v>#DIV/0!</v>
      </c>
      <c r="AH56" s="38">
        <v>45382</v>
      </c>
      <c r="AI56" s="38"/>
      <c r="AJ56" s="38"/>
      <c r="AK56" s="38"/>
      <c r="AL56" s="38"/>
      <c r="AM56" s="48"/>
      <c r="AN56" s="42"/>
      <c r="AO56" s="42"/>
      <c r="AP56" s="42"/>
      <c r="AQ56" s="42"/>
      <c r="AR56" s="42"/>
      <c r="AS56" s="50"/>
      <c r="AT56" s="39"/>
      <c r="AU56" s="39"/>
      <c r="AV56" s="49"/>
      <c r="AW56" s="39"/>
      <c r="AX56" s="39">
        <v>10</v>
      </c>
      <c r="AY56" s="30">
        <v>753237.96900000004</v>
      </c>
      <c r="AZ56" s="42" t="s">
        <v>434</v>
      </c>
    </row>
    <row r="57" spans="1:52" ht="58.5" customHeight="1" x14ac:dyDescent="0.25">
      <c r="A57" s="61" t="s">
        <v>1800</v>
      </c>
      <c r="B57" s="62">
        <v>45320</v>
      </c>
      <c r="C57" s="42" t="s">
        <v>435</v>
      </c>
      <c r="D57" s="37"/>
      <c r="E57" s="41" t="s">
        <v>1801</v>
      </c>
      <c r="F57" s="38">
        <v>45342</v>
      </c>
      <c r="G57" s="39" t="s">
        <v>1802</v>
      </c>
      <c r="H57" s="42" t="s">
        <v>54</v>
      </c>
      <c r="I57" s="42" t="s">
        <v>1803</v>
      </c>
      <c r="J57" s="63">
        <v>71990384.400000006</v>
      </c>
      <c r="K57" s="43">
        <v>0</v>
      </c>
      <c r="L57" s="56">
        <v>0</v>
      </c>
      <c r="M57" s="56">
        <v>0</v>
      </c>
      <c r="N57" s="44">
        <v>0</v>
      </c>
      <c r="O57" s="45">
        <v>0</v>
      </c>
      <c r="P57" s="43">
        <v>71990384.400000006</v>
      </c>
      <c r="Q57" s="45">
        <v>0</v>
      </c>
      <c r="R57" s="43">
        <v>71990384.400000006</v>
      </c>
      <c r="S57" s="30">
        <v>71990384.400000006</v>
      </c>
      <c r="T57" s="30">
        <v>71990384.400000006</v>
      </c>
      <c r="U57" s="30">
        <v>387.42</v>
      </c>
      <c r="V57" s="43">
        <v>387.42</v>
      </c>
      <c r="W57" s="43">
        <v>11622.6</v>
      </c>
      <c r="X57" s="43">
        <v>185820</v>
      </c>
      <c r="Y57" s="43">
        <v>185820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3">
        <v>0</v>
      </c>
      <c r="AF57" s="43">
        <v>6194</v>
      </c>
      <c r="AG57" s="43">
        <v>6194</v>
      </c>
      <c r="AH57" s="38">
        <v>45383</v>
      </c>
      <c r="AI57" s="38"/>
      <c r="AJ57" s="38"/>
      <c r="AK57" s="38">
        <v>45413</v>
      </c>
      <c r="AL57" s="38"/>
      <c r="AM57" s="48"/>
      <c r="AN57" s="42"/>
      <c r="AO57" s="42" t="s">
        <v>1804</v>
      </c>
      <c r="AP57" s="42" t="s">
        <v>1805</v>
      </c>
      <c r="AQ57" s="42" t="s">
        <v>1806</v>
      </c>
      <c r="AR57" s="42" t="s">
        <v>60</v>
      </c>
      <c r="AS57" s="50">
        <v>0</v>
      </c>
      <c r="AT57" s="39">
        <v>100</v>
      </c>
      <c r="AU57" s="39" t="s">
        <v>389</v>
      </c>
      <c r="AV57" s="49">
        <v>30</v>
      </c>
      <c r="AW57" s="39" t="s">
        <v>62</v>
      </c>
      <c r="AX57" s="39">
        <v>10</v>
      </c>
      <c r="AY57" s="30">
        <v>7199038.4400000004</v>
      </c>
      <c r="AZ57" s="42" t="s">
        <v>405</v>
      </c>
    </row>
    <row r="58" spans="1:52" ht="48.75" customHeight="1" x14ac:dyDescent="0.25">
      <c r="A58" s="61" t="s">
        <v>1813</v>
      </c>
      <c r="B58" s="62">
        <v>45320</v>
      </c>
      <c r="C58" s="42" t="s">
        <v>435</v>
      </c>
      <c r="D58" s="39" t="s">
        <v>434</v>
      </c>
      <c r="E58" s="41" t="s">
        <v>1814</v>
      </c>
      <c r="F58" s="39" t="s">
        <v>434</v>
      </c>
      <c r="G58" s="39" t="s">
        <v>434</v>
      </c>
      <c r="H58" s="39" t="s">
        <v>434</v>
      </c>
      <c r="I58" s="42" t="s">
        <v>1815</v>
      </c>
      <c r="J58" s="63">
        <v>1051214.3999999999</v>
      </c>
      <c r="K58" s="43">
        <v>0</v>
      </c>
      <c r="L58" s="56">
        <v>0</v>
      </c>
      <c r="M58" s="56">
        <v>0</v>
      </c>
      <c r="N58" s="44">
        <v>100</v>
      </c>
      <c r="O58" s="45">
        <v>1051214.3999999999</v>
      </c>
      <c r="P58" s="43"/>
      <c r="Q58" s="45">
        <v>1051214.3999999999</v>
      </c>
      <c r="R58" s="43">
        <v>0</v>
      </c>
      <c r="S58" s="30">
        <v>0</v>
      </c>
      <c r="T58" s="30">
        <v>0</v>
      </c>
      <c r="U58" s="30">
        <v>0.37</v>
      </c>
      <c r="V58" s="43">
        <v>0</v>
      </c>
      <c r="W58" s="43">
        <v>0</v>
      </c>
      <c r="X58" s="43">
        <v>2841120</v>
      </c>
      <c r="Y58" s="43">
        <v>2841120</v>
      </c>
      <c r="Z58" s="43">
        <v>0</v>
      </c>
      <c r="AA58" s="43">
        <v>0</v>
      </c>
      <c r="AB58" s="43"/>
      <c r="AC58" s="43">
        <v>0</v>
      </c>
      <c r="AD58" s="43"/>
      <c r="AE58" s="43">
        <v>0</v>
      </c>
      <c r="AF58" s="43" t="e">
        <v>#DIV/0!</v>
      </c>
      <c r="AG58" s="43" t="e">
        <v>#DIV/0!</v>
      </c>
      <c r="AH58" s="38">
        <v>45366</v>
      </c>
      <c r="AI58" s="38"/>
      <c r="AJ58" s="38"/>
      <c r="AK58" s="38"/>
      <c r="AL58" s="38"/>
      <c r="AM58" s="48"/>
      <c r="AN58" s="42"/>
      <c r="AO58" s="42"/>
      <c r="AP58" s="42"/>
      <c r="AQ58" s="42"/>
      <c r="AR58" s="42"/>
      <c r="AS58" s="50"/>
      <c r="AT58" s="39"/>
      <c r="AU58" s="39"/>
      <c r="AV58" s="49"/>
      <c r="AW58" s="39"/>
      <c r="AX58" s="39">
        <v>10</v>
      </c>
      <c r="AY58" s="30">
        <v>105121.44</v>
      </c>
      <c r="AZ58" s="42" t="s">
        <v>434</v>
      </c>
    </row>
    <row r="59" spans="1:52" ht="48.75" customHeight="1" x14ac:dyDescent="0.25">
      <c r="A59" s="61" t="s">
        <v>1816</v>
      </c>
      <c r="B59" s="62">
        <v>45320</v>
      </c>
      <c r="C59" s="42" t="s">
        <v>435</v>
      </c>
      <c r="D59" s="39" t="s">
        <v>434</v>
      </c>
      <c r="E59" s="41" t="s">
        <v>1814</v>
      </c>
      <c r="F59" s="39" t="s">
        <v>434</v>
      </c>
      <c r="G59" s="39" t="s">
        <v>434</v>
      </c>
      <c r="H59" s="39" t="s">
        <v>434</v>
      </c>
      <c r="I59" s="42" t="s">
        <v>1817</v>
      </c>
      <c r="J59" s="63">
        <v>62318490</v>
      </c>
      <c r="K59" s="43">
        <v>0</v>
      </c>
      <c r="L59" s="56">
        <v>0</v>
      </c>
      <c r="M59" s="56">
        <v>0</v>
      </c>
      <c r="N59" s="44">
        <v>100</v>
      </c>
      <c r="O59" s="45">
        <v>62318490</v>
      </c>
      <c r="P59" s="43"/>
      <c r="Q59" s="45">
        <v>62318490</v>
      </c>
      <c r="R59" s="43">
        <v>0</v>
      </c>
      <c r="S59" s="30">
        <v>0</v>
      </c>
      <c r="T59" s="30">
        <v>0</v>
      </c>
      <c r="U59" s="30">
        <v>6.5</v>
      </c>
      <c r="V59" s="43">
        <v>0</v>
      </c>
      <c r="W59" s="43">
        <v>0</v>
      </c>
      <c r="X59" s="43">
        <v>9587460</v>
      </c>
      <c r="Y59" s="43">
        <v>9587460</v>
      </c>
      <c r="Z59" s="43">
        <v>0</v>
      </c>
      <c r="AA59" s="43">
        <v>0</v>
      </c>
      <c r="AB59" s="43"/>
      <c r="AC59" s="43">
        <v>0</v>
      </c>
      <c r="AD59" s="43"/>
      <c r="AE59" s="43">
        <v>0</v>
      </c>
      <c r="AF59" s="43" t="e">
        <v>#DIV/0!</v>
      </c>
      <c r="AG59" s="43" t="e">
        <v>#DIV/0!</v>
      </c>
      <c r="AH59" s="38">
        <v>45383</v>
      </c>
      <c r="AI59" s="38"/>
      <c r="AJ59" s="38"/>
      <c r="AK59" s="38"/>
      <c r="AL59" s="38"/>
      <c r="AM59" s="48"/>
      <c r="AN59" s="42"/>
      <c r="AO59" s="42"/>
      <c r="AP59" s="42"/>
      <c r="AQ59" s="42"/>
      <c r="AR59" s="42"/>
      <c r="AS59" s="50"/>
      <c r="AT59" s="39"/>
      <c r="AU59" s="39"/>
      <c r="AV59" s="49"/>
      <c r="AW59" s="39"/>
      <c r="AX59" s="39">
        <v>10</v>
      </c>
      <c r="AY59" s="30">
        <v>6231849</v>
      </c>
      <c r="AZ59" s="42" t="s">
        <v>434</v>
      </c>
    </row>
    <row r="60" spans="1:52" ht="48.75" customHeight="1" x14ac:dyDescent="0.25">
      <c r="A60" s="61" t="s">
        <v>1831</v>
      </c>
      <c r="B60" s="62">
        <v>45320</v>
      </c>
      <c r="C60" s="42" t="s">
        <v>435</v>
      </c>
      <c r="D60" s="39" t="s">
        <v>434</v>
      </c>
      <c r="E60" s="41" t="s">
        <v>1832</v>
      </c>
      <c r="F60" s="39" t="s">
        <v>434</v>
      </c>
      <c r="G60" s="39" t="s">
        <v>434</v>
      </c>
      <c r="H60" s="39" t="s">
        <v>434</v>
      </c>
      <c r="I60" s="42" t="s">
        <v>1833</v>
      </c>
      <c r="J60" s="63">
        <v>4590227.4000000004</v>
      </c>
      <c r="K60" s="43">
        <v>0</v>
      </c>
      <c r="L60" s="56">
        <v>0</v>
      </c>
      <c r="M60" s="56">
        <v>0</v>
      </c>
      <c r="N60" s="44">
        <v>100</v>
      </c>
      <c r="O60" s="45">
        <v>4590227.4000000004</v>
      </c>
      <c r="P60" s="43"/>
      <c r="Q60" s="45">
        <v>4590227.4000000004</v>
      </c>
      <c r="R60" s="43">
        <v>0</v>
      </c>
      <c r="S60" s="30">
        <v>0</v>
      </c>
      <c r="T60" s="30">
        <v>0</v>
      </c>
      <c r="U60" s="30">
        <v>45477</v>
      </c>
      <c r="V60" s="43">
        <v>0</v>
      </c>
      <c r="W60" s="43">
        <v>0</v>
      </c>
      <c r="X60" s="43">
        <v>1127820</v>
      </c>
      <c r="Y60" s="43">
        <v>1127820</v>
      </c>
      <c r="Z60" s="43">
        <v>0</v>
      </c>
      <c r="AA60" s="43">
        <v>0</v>
      </c>
      <c r="AB60" s="43"/>
      <c r="AC60" s="43">
        <v>0</v>
      </c>
      <c r="AD60" s="43"/>
      <c r="AE60" s="43">
        <v>0</v>
      </c>
      <c r="AF60" s="43" t="e">
        <v>#DIV/0!</v>
      </c>
      <c r="AG60" s="43" t="e">
        <v>#DIV/0!</v>
      </c>
      <c r="AH60" s="38">
        <v>45383</v>
      </c>
      <c r="AI60" s="38"/>
      <c r="AJ60" s="38"/>
      <c r="AK60" s="38"/>
      <c r="AL60" s="38"/>
      <c r="AM60" s="48"/>
      <c r="AN60" s="42"/>
      <c r="AO60" s="42"/>
      <c r="AP60" s="42"/>
      <c r="AQ60" s="42"/>
      <c r="AR60" s="42"/>
      <c r="AS60" s="50"/>
      <c r="AT60" s="39"/>
      <c r="AU60" s="39"/>
      <c r="AV60" s="49"/>
      <c r="AW60" s="39"/>
      <c r="AX60" s="39">
        <v>10</v>
      </c>
      <c r="AY60" s="30">
        <v>459022.74</v>
      </c>
      <c r="AZ60" s="42" t="s">
        <v>434</v>
      </c>
    </row>
    <row r="61" spans="1:52" ht="48" customHeight="1" x14ac:dyDescent="0.25">
      <c r="A61" s="61" t="s">
        <v>1866</v>
      </c>
      <c r="B61" s="62">
        <v>45322</v>
      </c>
      <c r="C61" s="42" t="s">
        <v>435</v>
      </c>
      <c r="D61" s="39" t="s">
        <v>434</v>
      </c>
      <c r="E61" s="41" t="s">
        <v>1867</v>
      </c>
      <c r="F61" s="39" t="s">
        <v>434</v>
      </c>
      <c r="G61" s="39" t="s">
        <v>434</v>
      </c>
      <c r="H61" s="39" t="s">
        <v>434</v>
      </c>
      <c r="I61" s="65" t="s">
        <v>1274</v>
      </c>
      <c r="J61" s="63">
        <v>2935272</v>
      </c>
      <c r="K61" s="43">
        <v>0</v>
      </c>
      <c r="L61" s="56">
        <v>0</v>
      </c>
      <c r="M61" s="56">
        <v>0</v>
      </c>
      <c r="N61" s="44">
        <v>100</v>
      </c>
      <c r="O61" s="45">
        <v>2935272</v>
      </c>
      <c r="P61" s="43"/>
      <c r="Q61" s="45">
        <v>2935272</v>
      </c>
      <c r="R61" s="43">
        <v>0</v>
      </c>
      <c r="S61" s="30">
        <v>0</v>
      </c>
      <c r="T61" s="30">
        <v>0</v>
      </c>
      <c r="U61" s="30">
        <v>64.37</v>
      </c>
      <c r="V61" s="43">
        <v>0</v>
      </c>
      <c r="W61" s="43">
        <v>0</v>
      </c>
      <c r="X61" s="43">
        <v>45600</v>
      </c>
      <c r="Y61" s="43">
        <v>45600</v>
      </c>
      <c r="Z61" s="43">
        <v>0</v>
      </c>
      <c r="AA61" s="43">
        <v>0</v>
      </c>
      <c r="AB61" s="43"/>
      <c r="AC61" s="43">
        <v>0</v>
      </c>
      <c r="AD61" s="43"/>
      <c r="AE61" s="43">
        <v>0</v>
      </c>
      <c r="AF61" s="43" t="e">
        <v>#DIV/0!</v>
      </c>
      <c r="AG61" s="43" t="e">
        <v>#DIV/0!</v>
      </c>
      <c r="AH61" s="38">
        <v>45505</v>
      </c>
      <c r="AI61" s="38"/>
      <c r="AJ61" s="38"/>
      <c r="AK61" s="38"/>
      <c r="AL61" s="38"/>
      <c r="AM61" s="48"/>
      <c r="AN61" s="42"/>
      <c r="AO61" s="42"/>
      <c r="AP61" s="42"/>
      <c r="AQ61" s="42"/>
      <c r="AR61" s="42"/>
      <c r="AS61" s="50"/>
      <c r="AT61" s="39"/>
      <c r="AU61" s="39"/>
      <c r="AV61" s="49"/>
      <c r="AW61" s="39"/>
      <c r="AX61" s="39">
        <v>10</v>
      </c>
      <c r="AY61" s="30">
        <v>293527.2</v>
      </c>
      <c r="AZ61" s="42" t="s">
        <v>434</v>
      </c>
    </row>
    <row r="62" spans="1:52" ht="48" customHeight="1" x14ac:dyDescent="0.25">
      <c r="A62" s="61" t="s">
        <v>1868</v>
      </c>
      <c r="B62" s="62">
        <v>45322</v>
      </c>
      <c r="C62" s="42" t="s">
        <v>435</v>
      </c>
      <c r="D62" s="37"/>
      <c r="E62" s="41" t="s">
        <v>1869</v>
      </c>
      <c r="F62" s="38"/>
      <c r="G62" s="39"/>
      <c r="H62" s="42"/>
      <c r="I62" s="64" t="s">
        <v>1870</v>
      </c>
      <c r="J62" s="63">
        <v>2261169228.5999999</v>
      </c>
      <c r="K62" s="43">
        <v>0</v>
      </c>
      <c r="L62" s="56">
        <v>0</v>
      </c>
      <c r="M62" s="56">
        <v>0</v>
      </c>
      <c r="N62" s="44">
        <v>100</v>
      </c>
      <c r="O62" s="45">
        <v>2261169228.5999999</v>
      </c>
      <c r="P62" s="43"/>
      <c r="Q62" s="45">
        <v>2261169228.5999999</v>
      </c>
      <c r="R62" s="43">
        <v>0</v>
      </c>
      <c r="S62" s="30">
        <v>0</v>
      </c>
      <c r="T62" s="30">
        <v>0</v>
      </c>
      <c r="U62" s="30">
        <v>206.94</v>
      </c>
      <c r="V62" s="43">
        <v>0</v>
      </c>
      <c r="W62" s="43">
        <v>0</v>
      </c>
      <c r="X62" s="43">
        <v>10926690</v>
      </c>
      <c r="Y62" s="43">
        <v>10926690</v>
      </c>
      <c r="Z62" s="43">
        <v>0</v>
      </c>
      <c r="AA62" s="43">
        <v>0</v>
      </c>
      <c r="AB62" s="43"/>
      <c r="AC62" s="43">
        <v>0</v>
      </c>
      <c r="AD62" s="43"/>
      <c r="AE62" s="43">
        <v>0</v>
      </c>
      <c r="AF62" s="43" t="e">
        <v>#DIV/0!</v>
      </c>
      <c r="AG62" s="43" t="e">
        <v>#DIV/0!</v>
      </c>
      <c r="AH62" s="38">
        <v>45383</v>
      </c>
      <c r="AI62" s="38"/>
      <c r="AJ62" s="38"/>
      <c r="AK62" s="38"/>
      <c r="AL62" s="38"/>
      <c r="AM62" s="48"/>
      <c r="AN62" s="42"/>
      <c r="AO62" s="42"/>
      <c r="AP62" s="42"/>
      <c r="AQ62" s="42"/>
      <c r="AR62" s="42"/>
      <c r="AS62" s="50"/>
      <c r="AT62" s="39"/>
      <c r="AU62" s="39"/>
      <c r="AV62" s="49"/>
      <c r="AW62" s="39"/>
      <c r="AX62" s="39">
        <v>10</v>
      </c>
      <c r="AY62" s="30">
        <v>226116922.86000001</v>
      </c>
      <c r="AZ62" s="42"/>
    </row>
    <row r="63" spans="1:52" ht="48" customHeight="1" x14ac:dyDescent="0.25">
      <c r="A63" s="61" t="s">
        <v>1891</v>
      </c>
      <c r="B63" s="62">
        <v>45323</v>
      </c>
      <c r="C63" s="42" t="s">
        <v>435</v>
      </c>
      <c r="D63" s="37"/>
      <c r="E63" s="41" t="s">
        <v>1892</v>
      </c>
      <c r="F63" s="38"/>
      <c r="G63" s="39"/>
      <c r="H63" s="42"/>
      <c r="I63" s="65" t="s">
        <v>1893</v>
      </c>
      <c r="J63" s="63">
        <v>2453204734.1999998</v>
      </c>
      <c r="K63" s="43">
        <v>0</v>
      </c>
      <c r="L63" s="56">
        <v>0</v>
      </c>
      <c r="M63" s="56">
        <v>0</v>
      </c>
      <c r="N63" s="44">
        <v>100</v>
      </c>
      <c r="O63" s="45">
        <v>2453204734.1999998</v>
      </c>
      <c r="P63" s="43"/>
      <c r="Q63" s="45">
        <v>2453204734.1999998</v>
      </c>
      <c r="R63" s="43">
        <v>0</v>
      </c>
      <c r="S63" s="30">
        <v>0</v>
      </c>
      <c r="T63" s="30">
        <v>0</v>
      </c>
      <c r="U63" s="30">
        <v>183.31</v>
      </c>
      <c r="V63" s="43">
        <v>0</v>
      </c>
      <c r="W63" s="43">
        <v>0</v>
      </c>
      <c r="X63" s="43">
        <v>13382820</v>
      </c>
      <c r="Y63" s="43">
        <v>13382820</v>
      </c>
      <c r="Z63" s="43">
        <v>0</v>
      </c>
      <c r="AA63" s="43">
        <v>0</v>
      </c>
      <c r="AB63" s="43"/>
      <c r="AC63" s="43">
        <v>0</v>
      </c>
      <c r="AD63" s="43"/>
      <c r="AE63" s="43">
        <v>0</v>
      </c>
      <c r="AF63" s="43" t="e">
        <v>#DIV/0!</v>
      </c>
      <c r="AG63" s="43" t="e">
        <v>#DIV/0!</v>
      </c>
      <c r="AH63" s="38">
        <v>45397</v>
      </c>
      <c r="AI63" s="38"/>
      <c r="AJ63" s="38"/>
      <c r="AK63" s="38"/>
      <c r="AL63" s="38"/>
      <c r="AM63" s="48"/>
      <c r="AN63" s="42"/>
      <c r="AO63" s="42"/>
      <c r="AP63" s="42"/>
      <c r="AQ63" s="42"/>
      <c r="AR63" s="42"/>
      <c r="AS63" s="50"/>
      <c r="AT63" s="39"/>
      <c r="AU63" s="39"/>
      <c r="AV63" s="49"/>
      <c r="AW63" s="39"/>
      <c r="AX63" s="39">
        <v>10</v>
      </c>
      <c r="AY63" s="30">
        <v>245320473.41999999</v>
      </c>
      <c r="AZ63" s="42"/>
    </row>
    <row r="64" spans="1:52" ht="39" customHeight="1" x14ac:dyDescent="0.25">
      <c r="A64" s="61" t="s">
        <v>1953</v>
      </c>
      <c r="B64" s="62">
        <v>45328</v>
      </c>
      <c r="C64" s="42" t="s">
        <v>1954</v>
      </c>
      <c r="D64" s="39" t="s">
        <v>434</v>
      </c>
      <c r="E64" s="41" t="s">
        <v>1955</v>
      </c>
      <c r="F64" s="39" t="s">
        <v>434</v>
      </c>
      <c r="G64" s="39" t="s">
        <v>434</v>
      </c>
      <c r="H64" s="39" t="s">
        <v>434</v>
      </c>
      <c r="I64" s="66" t="s">
        <v>1956</v>
      </c>
      <c r="J64" s="67">
        <v>9820.7999999999993</v>
      </c>
      <c r="K64" s="43">
        <v>0</v>
      </c>
      <c r="L64" s="56">
        <v>0</v>
      </c>
      <c r="M64" s="56">
        <v>0</v>
      </c>
      <c r="N64" s="44">
        <v>100</v>
      </c>
      <c r="O64" s="45">
        <v>9820.7999999999993</v>
      </c>
      <c r="P64" s="43"/>
      <c r="Q64" s="45">
        <v>9820.7999999999993</v>
      </c>
      <c r="R64" s="43">
        <v>0</v>
      </c>
      <c r="S64" s="30">
        <v>0</v>
      </c>
      <c r="T64" s="30">
        <v>0</v>
      </c>
      <c r="U64" s="30" t="e">
        <v>#DIV/0!</v>
      </c>
      <c r="V64" s="43" t="e">
        <v>#DIV/0!</v>
      </c>
      <c r="W64" s="43" t="e">
        <v>#DIV/0!</v>
      </c>
      <c r="X64" s="43">
        <v>0</v>
      </c>
      <c r="Y64" s="43">
        <v>0</v>
      </c>
      <c r="Z64" s="43">
        <v>0</v>
      </c>
      <c r="AA64" s="43">
        <v>0</v>
      </c>
      <c r="AB64" s="43"/>
      <c r="AC64" s="43" t="e">
        <v>#DIV/0!</v>
      </c>
      <c r="AD64" s="43"/>
      <c r="AE64" s="43" t="e">
        <v>#DIV/0!</v>
      </c>
      <c r="AF64" s="43" t="e">
        <v>#DIV/0!</v>
      </c>
      <c r="AG64" s="43" t="e">
        <v>#DIV/0!</v>
      </c>
      <c r="AH64" s="38">
        <v>45397</v>
      </c>
      <c r="AI64" s="38"/>
      <c r="AJ64" s="38"/>
      <c r="AK64" s="38"/>
      <c r="AL64" s="38"/>
      <c r="AM64" s="48"/>
      <c r="AN64" s="42"/>
      <c r="AO64" s="42"/>
      <c r="AP64" s="42"/>
      <c r="AQ64" s="42"/>
      <c r="AR64" s="42"/>
      <c r="AS64" s="50"/>
      <c r="AT64" s="39"/>
      <c r="AU64" s="39"/>
      <c r="AV64" s="49"/>
      <c r="AW64" s="39"/>
      <c r="AX64" s="39">
        <v>10</v>
      </c>
      <c r="AY64" s="30">
        <v>982.08</v>
      </c>
      <c r="AZ64" s="42" t="s">
        <v>434</v>
      </c>
    </row>
    <row r="65" spans="1:52" ht="39" customHeight="1" x14ac:dyDescent="0.25">
      <c r="A65" s="61" t="s">
        <v>1962</v>
      </c>
      <c r="B65" s="62">
        <v>45329</v>
      </c>
      <c r="C65" s="42" t="s">
        <v>1954</v>
      </c>
      <c r="D65" s="37" t="s">
        <v>1963</v>
      </c>
      <c r="E65" s="41" t="s">
        <v>1964</v>
      </c>
      <c r="F65" s="38">
        <v>45341</v>
      </c>
      <c r="G65" s="39" t="s">
        <v>1965</v>
      </c>
      <c r="H65" s="59" t="s">
        <v>1966</v>
      </c>
      <c r="I65" s="64" t="s">
        <v>1580</v>
      </c>
      <c r="J65" s="63">
        <v>2434080</v>
      </c>
      <c r="K65" s="43">
        <v>0</v>
      </c>
      <c r="L65" s="56">
        <v>0</v>
      </c>
      <c r="M65" s="56">
        <v>0</v>
      </c>
      <c r="N65" s="44">
        <v>14.099783080260304</v>
      </c>
      <c r="O65" s="45">
        <v>343200</v>
      </c>
      <c r="P65" s="43">
        <v>2090880</v>
      </c>
      <c r="Q65" s="45">
        <v>343200</v>
      </c>
      <c r="R65" s="43">
        <v>2090880</v>
      </c>
      <c r="S65" s="30">
        <v>2090880</v>
      </c>
      <c r="T65" s="30">
        <v>2090880</v>
      </c>
      <c r="U65" s="30">
        <v>19.8</v>
      </c>
      <c r="V65" s="43">
        <v>19.8</v>
      </c>
      <c r="W65" s="43">
        <v>990</v>
      </c>
      <c r="X65" s="43">
        <v>105600</v>
      </c>
      <c r="Y65" s="43">
        <v>105600</v>
      </c>
      <c r="Z65" s="43">
        <v>0</v>
      </c>
      <c r="AA65" s="43">
        <v>0</v>
      </c>
      <c r="AB65" s="43">
        <v>0</v>
      </c>
      <c r="AC65" s="43">
        <v>0</v>
      </c>
      <c r="AD65" s="43">
        <v>0</v>
      </c>
      <c r="AE65" s="43">
        <v>0</v>
      </c>
      <c r="AF65" s="43">
        <v>2112</v>
      </c>
      <c r="AG65" s="43">
        <v>2112</v>
      </c>
      <c r="AH65" s="38">
        <v>45397</v>
      </c>
      <c r="AI65" s="38"/>
      <c r="AJ65" s="38"/>
      <c r="AK65" s="38">
        <v>45427</v>
      </c>
      <c r="AL65" s="38"/>
      <c r="AM65" s="48"/>
      <c r="AN65" s="42"/>
      <c r="AO65" s="42" t="s">
        <v>1967</v>
      </c>
      <c r="AP65" s="42" t="s">
        <v>1968</v>
      </c>
      <c r="AQ65" s="42" t="s">
        <v>1969</v>
      </c>
      <c r="AR65" s="42" t="s">
        <v>82</v>
      </c>
      <c r="AS65" s="50">
        <v>100</v>
      </c>
      <c r="AT65" s="39">
        <v>0</v>
      </c>
      <c r="AU65" s="39" t="s">
        <v>389</v>
      </c>
      <c r="AV65" s="49">
        <v>50</v>
      </c>
      <c r="AW65" s="39" t="s">
        <v>221</v>
      </c>
      <c r="AX65" s="39">
        <v>10</v>
      </c>
      <c r="AY65" s="30">
        <v>243408</v>
      </c>
      <c r="AZ65" s="42" t="s">
        <v>405</v>
      </c>
    </row>
    <row r="66" spans="1:52" ht="39" customHeight="1" x14ac:dyDescent="0.25">
      <c r="A66" s="61" t="s">
        <v>1970</v>
      </c>
      <c r="B66" s="62">
        <v>45329</v>
      </c>
      <c r="C66" s="42" t="s">
        <v>1954</v>
      </c>
      <c r="D66" s="39" t="s">
        <v>434</v>
      </c>
      <c r="E66" s="41" t="s">
        <v>1971</v>
      </c>
      <c r="F66" s="39" t="s">
        <v>434</v>
      </c>
      <c r="G66" s="39" t="s">
        <v>434</v>
      </c>
      <c r="H66" s="39" t="s">
        <v>434</v>
      </c>
      <c r="I66" s="64" t="s">
        <v>1712</v>
      </c>
      <c r="J66" s="63">
        <v>4644</v>
      </c>
      <c r="K66" s="43">
        <v>0</v>
      </c>
      <c r="L66" s="56">
        <v>0</v>
      </c>
      <c r="M66" s="56">
        <v>0</v>
      </c>
      <c r="N66" s="44">
        <v>100</v>
      </c>
      <c r="O66" s="45">
        <v>4644</v>
      </c>
      <c r="P66" s="43"/>
      <c r="Q66" s="45">
        <v>4644</v>
      </c>
      <c r="R66" s="43">
        <v>0</v>
      </c>
      <c r="S66" s="30">
        <v>0</v>
      </c>
      <c r="T66" s="30">
        <v>0</v>
      </c>
      <c r="U66" s="30" t="e">
        <v>#DIV/0!</v>
      </c>
      <c r="V66" s="43" t="e">
        <v>#DIV/0!</v>
      </c>
      <c r="W66" s="43" t="e">
        <v>#DIV/0!</v>
      </c>
      <c r="X66" s="43">
        <v>0</v>
      </c>
      <c r="Y66" s="43">
        <v>0</v>
      </c>
      <c r="Z66" s="43">
        <v>0</v>
      </c>
      <c r="AA66" s="43">
        <v>0</v>
      </c>
      <c r="AB66" s="43"/>
      <c r="AC66" s="43" t="e">
        <v>#DIV/0!</v>
      </c>
      <c r="AD66" s="43"/>
      <c r="AE66" s="43" t="e">
        <v>#DIV/0!</v>
      </c>
      <c r="AF66" s="43" t="e">
        <v>#DIV/0!</v>
      </c>
      <c r="AG66" s="43" t="e">
        <v>#DIV/0!</v>
      </c>
      <c r="AH66" s="38">
        <v>45397</v>
      </c>
      <c r="AI66" s="38"/>
      <c r="AJ66" s="38"/>
      <c r="AK66" s="38"/>
      <c r="AL66" s="38"/>
      <c r="AM66" s="48"/>
      <c r="AN66" s="42"/>
      <c r="AO66" s="42"/>
      <c r="AP66" s="42"/>
      <c r="AQ66" s="42"/>
      <c r="AR66" s="42"/>
      <c r="AS66" s="50"/>
      <c r="AT66" s="39"/>
      <c r="AU66" s="39"/>
      <c r="AV66" s="49"/>
      <c r="AW66" s="39"/>
      <c r="AX66" s="39">
        <v>10</v>
      </c>
      <c r="AY66" s="30">
        <v>464.4</v>
      </c>
      <c r="AZ66" s="42"/>
    </row>
    <row r="67" spans="1:52" ht="39" customHeight="1" x14ac:dyDescent="0.25">
      <c r="A67" s="61" t="s">
        <v>1986</v>
      </c>
      <c r="B67" s="62">
        <v>45329</v>
      </c>
      <c r="C67" s="42" t="s">
        <v>1954</v>
      </c>
      <c r="D67" s="39" t="s">
        <v>434</v>
      </c>
      <c r="E67" s="41" t="s">
        <v>1987</v>
      </c>
      <c r="F67" s="39" t="s">
        <v>434</v>
      </c>
      <c r="G67" s="39" t="s">
        <v>434</v>
      </c>
      <c r="H67" s="39" t="s">
        <v>434</v>
      </c>
      <c r="I67" s="65" t="s">
        <v>494</v>
      </c>
      <c r="J67" s="63">
        <v>18191.7</v>
      </c>
      <c r="K67" s="43">
        <v>0</v>
      </c>
      <c r="L67" s="56">
        <v>0</v>
      </c>
      <c r="M67" s="56">
        <v>0</v>
      </c>
      <c r="N67" s="44">
        <v>100</v>
      </c>
      <c r="O67" s="45">
        <v>18191.7</v>
      </c>
      <c r="P67" s="43"/>
      <c r="Q67" s="45">
        <v>18191.7</v>
      </c>
      <c r="R67" s="43">
        <v>0</v>
      </c>
      <c r="S67" s="30">
        <v>0</v>
      </c>
      <c r="T67" s="30">
        <v>0</v>
      </c>
      <c r="U67" s="30" t="e">
        <v>#DIV/0!</v>
      </c>
      <c r="V67" s="43" t="e">
        <v>#DIV/0!</v>
      </c>
      <c r="W67" s="43" t="e">
        <v>#DIV/0!</v>
      </c>
      <c r="X67" s="43">
        <v>0</v>
      </c>
      <c r="Y67" s="43">
        <v>0</v>
      </c>
      <c r="Z67" s="43">
        <v>0</v>
      </c>
      <c r="AA67" s="43">
        <v>0</v>
      </c>
      <c r="AB67" s="43"/>
      <c r="AC67" s="43" t="e">
        <v>#DIV/0!</v>
      </c>
      <c r="AD67" s="43"/>
      <c r="AE67" s="43" t="e">
        <v>#DIV/0!</v>
      </c>
      <c r="AF67" s="43" t="e">
        <v>#DIV/0!</v>
      </c>
      <c r="AG67" s="43" t="e">
        <v>#DIV/0!</v>
      </c>
      <c r="AH67" s="38">
        <v>45397</v>
      </c>
      <c r="AI67" s="38"/>
      <c r="AJ67" s="38"/>
      <c r="AK67" s="38"/>
      <c r="AL67" s="38"/>
      <c r="AM67" s="48"/>
      <c r="AN67" s="42"/>
      <c r="AO67" s="42"/>
      <c r="AP67" s="42"/>
      <c r="AQ67" s="42"/>
      <c r="AR67" s="42"/>
      <c r="AS67" s="50"/>
      <c r="AT67" s="39"/>
      <c r="AU67" s="39"/>
      <c r="AV67" s="49"/>
      <c r="AW67" s="39"/>
      <c r="AX67" s="39">
        <v>10</v>
      </c>
      <c r="AY67" s="30">
        <v>1819.17</v>
      </c>
      <c r="AZ67" s="42" t="s">
        <v>434</v>
      </c>
    </row>
    <row r="68" spans="1:52" ht="39" customHeight="1" x14ac:dyDescent="0.25">
      <c r="A68" s="61" t="s">
        <v>1991</v>
      </c>
      <c r="B68" s="62">
        <v>45329</v>
      </c>
      <c r="C68" s="42" t="s">
        <v>1954</v>
      </c>
      <c r="D68" s="39" t="s">
        <v>434</v>
      </c>
      <c r="E68" s="41" t="s">
        <v>1992</v>
      </c>
      <c r="F68" s="39" t="s">
        <v>434</v>
      </c>
      <c r="G68" s="39" t="s">
        <v>434</v>
      </c>
      <c r="H68" s="39" t="s">
        <v>434</v>
      </c>
      <c r="I68" s="64" t="s">
        <v>1625</v>
      </c>
      <c r="J68" s="63">
        <v>80173.8</v>
      </c>
      <c r="K68" s="43">
        <v>0</v>
      </c>
      <c r="L68" s="56">
        <v>0</v>
      </c>
      <c r="M68" s="56">
        <v>0</v>
      </c>
      <c r="N68" s="44">
        <v>100</v>
      </c>
      <c r="O68" s="45">
        <v>80173.8</v>
      </c>
      <c r="P68" s="43"/>
      <c r="Q68" s="45">
        <v>80173.8</v>
      </c>
      <c r="R68" s="43">
        <v>0</v>
      </c>
      <c r="S68" s="30">
        <v>0</v>
      </c>
      <c r="T68" s="30">
        <v>0</v>
      </c>
      <c r="U68" s="30" t="e">
        <v>#DIV/0!</v>
      </c>
      <c r="V68" s="43" t="e">
        <v>#DIV/0!</v>
      </c>
      <c r="W68" s="43" t="e">
        <v>#DIV/0!</v>
      </c>
      <c r="X68" s="43">
        <v>0</v>
      </c>
      <c r="Y68" s="43">
        <v>0</v>
      </c>
      <c r="Z68" s="43">
        <v>0</v>
      </c>
      <c r="AA68" s="43">
        <v>0</v>
      </c>
      <c r="AB68" s="43"/>
      <c r="AC68" s="43" t="e">
        <v>#DIV/0!</v>
      </c>
      <c r="AD68" s="43"/>
      <c r="AE68" s="43" t="e">
        <v>#DIV/0!</v>
      </c>
      <c r="AF68" s="43" t="e">
        <v>#DIV/0!</v>
      </c>
      <c r="AG68" s="43" t="e">
        <v>#DIV/0!</v>
      </c>
      <c r="AH68" s="38">
        <v>45444</v>
      </c>
      <c r="AI68" s="38"/>
      <c r="AJ68" s="38"/>
      <c r="AK68" s="38"/>
      <c r="AL68" s="38"/>
      <c r="AM68" s="48"/>
      <c r="AN68" s="42"/>
      <c r="AO68" s="42"/>
      <c r="AP68" s="42"/>
      <c r="AQ68" s="42"/>
      <c r="AR68" s="42"/>
      <c r="AS68" s="50"/>
      <c r="AT68" s="39"/>
      <c r="AU68" s="39"/>
      <c r="AV68" s="49"/>
      <c r="AW68" s="39"/>
      <c r="AX68" s="39">
        <v>10</v>
      </c>
      <c r="AY68" s="30">
        <v>8017.38</v>
      </c>
      <c r="AZ68" s="42" t="s">
        <v>434</v>
      </c>
    </row>
    <row r="69" spans="1:52" ht="39" customHeight="1" x14ac:dyDescent="0.25">
      <c r="A69" s="61" t="s">
        <v>1993</v>
      </c>
      <c r="B69" s="62">
        <v>45329</v>
      </c>
      <c r="C69" s="42" t="s">
        <v>1954</v>
      </c>
      <c r="D69" s="39" t="s">
        <v>434</v>
      </c>
      <c r="E69" s="41" t="s">
        <v>1994</v>
      </c>
      <c r="F69" s="39" t="s">
        <v>434</v>
      </c>
      <c r="G69" s="39" t="s">
        <v>434</v>
      </c>
      <c r="H69" s="39" t="s">
        <v>434</v>
      </c>
      <c r="I69" s="64" t="s">
        <v>1631</v>
      </c>
      <c r="J69" s="63">
        <v>4143700</v>
      </c>
      <c r="K69" s="43">
        <v>0</v>
      </c>
      <c r="L69" s="56">
        <v>0</v>
      </c>
      <c r="M69" s="56">
        <v>0</v>
      </c>
      <c r="N69" s="44">
        <v>100</v>
      </c>
      <c r="O69" s="45">
        <v>4143700</v>
      </c>
      <c r="P69" s="43"/>
      <c r="Q69" s="45">
        <v>4143700</v>
      </c>
      <c r="R69" s="43">
        <v>0</v>
      </c>
      <c r="S69" s="30">
        <v>0</v>
      </c>
      <c r="T69" s="30">
        <v>0</v>
      </c>
      <c r="U69" s="30" t="e">
        <v>#DIV/0!</v>
      </c>
      <c r="V69" s="43" t="e">
        <v>#DIV/0!</v>
      </c>
      <c r="W69" s="43" t="e">
        <v>#DIV/0!</v>
      </c>
      <c r="X69" s="43">
        <v>0</v>
      </c>
      <c r="Y69" s="43">
        <v>0</v>
      </c>
      <c r="Z69" s="43">
        <v>0</v>
      </c>
      <c r="AA69" s="43">
        <v>0</v>
      </c>
      <c r="AB69" s="43"/>
      <c r="AC69" s="43" t="e">
        <v>#DIV/0!</v>
      </c>
      <c r="AD69" s="43"/>
      <c r="AE69" s="43" t="e">
        <v>#DIV/0!</v>
      </c>
      <c r="AF69" s="43" t="e">
        <v>#DIV/0!</v>
      </c>
      <c r="AG69" s="43" t="e">
        <v>#DIV/0!</v>
      </c>
      <c r="AH69" s="38">
        <v>45474</v>
      </c>
      <c r="AI69" s="38"/>
      <c r="AJ69" s="38"/>
      <c r="AK69" s="38"/>
      <c r="AL69" s="38"/>
      <c r="AM69" s="48"/>
      <c r="AN69" s="42"/>
      <c r="AO69" s="42"/>
      <c r="AP69" s="42"/>
      <c r="AQ69" s="42"/>
      <c r="AR69" s="42"/>
      <c r="AS69" s="50"/>
      <c r="AT69" s="39"/>
      <c r="AU69" s="39"/>
      <c r="AV69" s="49"/>
      <c r="AW69" s="39"/>
      <c r="AX69" s="39">
        <v>10</v>
      </c>
      <c r="AY69" s="30">
        <v>414370</v>
      </c>
      <c r="AZ69" s="42" t="s">
        <v>434</v>
      </c>
    </row>
    <row r="70" spans="1:52" ht="39" customHeight="1" x14ac:dyDescent="0.25">
      <c r="A70" s="61" t="s">
        <v>2008</v>
      </c>
      <c r="B70" s="62">
        <v>45330</v>
      </c>
      <c r="C70" s="42" t="s">
        <v>1954</v>
      </c>
      <c r="D70" s="39" t="s">
        <v>434</v>
      </c>
      <c r="E70" s="41" t="s">
        <v>2009</v>
      </c>
      <c r="F70" s="39" t="s">
        <v>434</v>
      </c>
      <c r="G70" s="39" t="s">
        <v>434</v>
      </c>
      <c r="H70" s="39" t="s">
        <v>434</v>
      </c>
      <c r="I70" s="64" t="s">
        <v>1665</v>
      </c>
      <c r="J70" s="63">
        <v>10444.200000000001</v>
      </c>
      <c r="K70" s="43">
        <v>0</v>
      </c>
      <c r="L70" s="56">
        <v>0</v>
      </c>
      <c r="M70" s="56">
        <v>0</v>
      </c>
      <c r="N70" s="44">
        <v>100</v>
      </c>
      <c r="O70" s="45">
        <v>10444.200000000001</v>
      </c>
      <c r="P70" s="43"/>
      <c r="Q70" s="45">
        <v>10444.200000000001</v>
      </c>
      <c r="R70" s="43">
        <v>0</v>
      </c>
      <c r="S70" s="30">
        <v>0</v>
      </c>
      <c r="T70" s="30">
        <v>0</v>
      </c>
      <c r="U70" s="30" t="e">
        <v>#DIV/0!</v>
      </c>
      <c r="V70" s="43" t="e">
        <v>#DIV/0!</v>
      </c>
      <c r="W70" s="43" t="e">
        <v>#DIV/0!</v>
      </c>
      <c r="X70" s="43">
        <v>0</v>
      </c>
      <c r="Y70" s="43">
        <v>0</v>
      </c>
      <c r="Z70" s="43">
        <v>0</v>
      </c>
      <c r="AA70" s="43">
        <v>0</v>
      </c>
      <c r="AB70" s="43"/>
      <c r="AC70" s="43" t="e">
        <v>#DIV/0!</v>
      </c>
      <c r="AD70" s="43"/>
      <c r="AE70" s="43" t="e">
        <v>#DIV/0!</v>
      </c>
      <c r="AF70" s="43" t="e">
        <v>#DIV/0!</v>
      </c>
      <c r="AG70" s="43" t="e">
        <v>#DIV/0!</v>
      </c>
      <c r="AH70" s="38">
        <v>45397</v>
      </c>
      <c r="AI70" s="38"/>
      <c r="AJ70" s="38"/>
      <c r="AK70" s="38"/>
      <c r="AL70" s="38"/>
      <c r="AM70" s="48"/>
      <c r="AN70" s="42"/>
      <c r="AO70" s="42"/>
      <c r="AP70" s="42"/>
      <c r="AQ70" s="42"/>
      <c r="AR70" s="42"/>
      <c r="AS70" s="50"/>
      <c r="AT70" s="39"/>
      <c r="AU70" s="39"/>
      <c r="AV70" s="49"/>
      <c r="AW70" s="39"/>
      <c r="AX70" s="39">
        <v>10</v>
      </c>
      <c r="AY70" s="30">
        <v>1044.42</v>
      </c>
      <c r="AZ70" s="42"/>
    </row>
    <row r="71" spans="1:52" ht="39" customHeight="1" x14ac:dyDescent="0.25">
      <c r="A71" s="61" t="s">
        <v>2012</v>
      </c>
      <c r="B71" s="62">
        <v>45330</v>
      </c>
      <c r="C71" s="42" t="s">
        <v>1954</v>
      </c>
      <c r="D71" s="39" t="s">
        <v>434</v>
      </c>
      <c r="E71" s="41" t="s">
        <v>2013</v>
      </c>
      <c r="F71" s="39" t="s">
        <v>434</v>
      </c>
      <c r="G71" s="39" t="s">
        <v>434</v>
      </c>
      <c r="H71" s="39" t="s">
        <v>434</v>
      </c>
      <c r="I71" s="65" t="s">
        <v>1747</v>
      </c>
      <c r="J71" s="63">
        <v>106913.4</v>
      </c>
      <c r="K71" s="43">
        <v>0</v>
      </c>
      <c r="L71" s="56">
        <v>0</v>
      </c>
      <c r="M71" s="56">
        <v>0</v>
      </c>
      <c r="N71" s="44">
        <v>100</v>
      </c>
      <c r="O71" s="45">
        <v>106913.4</v>
      </c>
      <c r="P71" s="43"/>
      <c r="Q71" s="45">
        <v>106913.4</v>
      </c>
      <c r="R71" s="43">
        <v>0</v>
      </c>
      <c r="S71" s="30">
        <v>0</v>
      </c>
      <c r="T71" s="30">
        <v>0</v>
      </c>
      <c r="U71" s="30" t="e">
        <v>#DIV/0!</v>
      </c>
      <c r="V71" s="43" t="e">
        <v>#DIV/0!</v>
      </c>
      <c r="W71" s="43" t="e">
        <v>#DIV/0!</v>
      </c>
      <c r="X71" s="43">
        <v>0</v>
      </c>
      <c r="Y71" s="43">
        <v>0</v>
      </c>
      <c r="Z71" s="43">
        <v>0</v>
      </c>
      <c r="AA71" s="43">
        <v>0</v>
      </c>
      <c r="AB71" s="43"/>
      <c r="AC71" s="43" t="e">
        <v>#DIV/0!</v>
      </c>
      <c r="AD71" s="43"/>
      <c r="AE71" s="43" t="e">
        <v>#DIV/0!</v>
      </c>
      <c r="AF71" s="43" t="e">
        <v>#DIV/0!</v>
      </c>
      <c r="AG71" s="43" t="e">
        <v>#DIV/0!</v>
      </c>
      <c r="AH71" s="38">
        <v>45397</v>
      </c>
      <c r="AI71" s="38"/>
      <c r="AJ71" s="38"/>
      <c r="AK71" s="38"/>
      <c r="AL71" s="38"/>
      <c r="AM71" s="48"/>
      <c r="AN71" s="42"/>
      <c r="AO71" s="42"/>
      <c r="AP71" s="42"/>
      <c r="AQ71" s="42"/>
      <c r="AR71" s="42"/>
      <c r="AS71" s="50"/>
      <c r="AT71" s="39"/>
      <c r="AU71" s="39"/>
      <c r="AV71" s="49"/>
      <c r="AW71" s="39"/>
      <c r="AX71" s="39">
        <v>10</v>
      </c>
      <c r="AY71" s="30">
        <v>10691.34</v>
      </c>
      <c r="AZ71" s="42" t="s">
        <v>434</v>
      </c>
    </row>
    <row r="72" spans="1:52" ht="39" customHeight="1" x14ac:dyDescent="0.25">
      <c r="A72" s="61" t="s">
        <v>2014</v>
      </c>
      <c r="B72" s="62">
        <v>45330</v>
      </c>
      <c r="C72" s="42" t="s">
        <v>1954</v>
      </c>
      <c r="D72" s="39" t="s">
        <v>434</v>
      </c>
      <c r="E72" s="41" t="s">
        <v>2015</v>
      </c>
      <c r="F72" s="39" t="s">
        <v>434</v>
      </c>
      <c r="G72" s="39" t="s">
        <v>434</v>
      </c>
      <c r="H72" s="39" t="s">
        <v>434</v>
      </c>
      <c r="I72" s="64" t="s">
        <v>1684</v>
      </c>
      <c r="J72" s="63">
        <v>28586.400000000001</v>
      </c>
      <c r="K72" s="43">
        <v>0</v>
      </c>
      <c r="L72" s="56">
        <v>0</v>
      </c>
      <c r="M72" s="56">
        <v>0</v>
      </c>
      <c r="N72" s="44">
        <v>100</v>
      </c>
      <c r="O72" s="45">
        <v>28586.400000000001</v>
      </c>
      <c r="P72" s="43"/>
      <c r="Q72" s="45">
        <v>28586.400000000001</v>
      </c>
      <c r="R72" s="43">
        <v>0</v>
      </c>
      <c r="S72" s="30">
        <v>0</v>
      </c>
      <c r="T72" s="30">
        <v>0</v>
      </c>
      <c r="U72" s="30" t="e">
        <v>#DIV/0!</v>
      </c>
      <c r="V72" s="43" t="e">
        <v>#DIV/0!</v>
      </c>
      <c r="W72" s="43" t="e">
        <v>#DIV/0!</v>
      </c>
      <c r="X72" s="43">
        <v>0</v>
      </c>
      <c r="Y72" s="43">
        <v>0</v>
      </c>
      <c r="Z72" s="43">
        <v>0</v>
      </c>
      <c r="AA72" s="43">
        <v>0</v>
      </c>
      <c r="AB72" s="43"/>
      <c r="AC72" s="43" t="e">
        <v>#DIV/0!</v>
      </c>
      <c r="AD72" s="43"/>
      <c r="AE72" s="43" t="e">
        <v>#DIV/0!</v>
      </c>
      <c r="AF72" s="43" t="e">
        <v>#DIV/0!</v>
      </c>
      <c r="AG72" s="43" t="e">
        <v>#DIV/0!</v>
      </c>
      <c r="AH72" s="38">
        <v>45397</v>
      </c>
      <c r="AI72" s="38"/>
      <c r="AJ72" s="38"/>
      <c r="AK72" s="38"/>
      <c r="AL72" s="38"/>
      <c r="AM72" s="48"/>
      <c r="AN72" s="42"/>
      <c r="AO72" s="42"/>
      <c r="AP72" s="42"/>
      <c r="AQ72" s="42"/>
      <c r="AR72" s="42"/>
      <c r="AS72" s="50"/>
      <c r="AT72" s="39"/>
      <c r="AU72" s="39"/>
      <c r="AV72" s="49"/>
      <c r="AW72" s="39"/>
      <c r="AX72" s="39">
        <v>10</v>
      </c>
      <c r="AY72" s="30">
        <v>2858.64</v>
      </c>
      <c r="AZ72" s="42" t="s">
        <v>434</v>
      </c>
    </row>
    <row r="73" spans="1:52" ht="39" customHeight="1" x14ac:dyDescent="0.25">
      <c r="A73" s="61" t="s">
        <v>2016</v>
      </c>
      <c r="B73" s="62">
        <v>45330</v>
      </c>
      <c r="C73" s="42" t="s">
        <v>435</v>
      </c>
      <c r="D73" s="37"/>
      <c r="E73" s="41" t="s">
        <v>2017</v>
      </c>
      <c r="F73" s="38"/>
      <c r="G73" s="39"/>
      <c r="H73" s="42"/>
      <c r="I73" s="64" t="s">
        <v>2018</v>
      </c>
      <c r="J73" s="63">
        <v>20244060</v>
      </c>
      <c r="K73" s="43">
        <v>0</v>
      </c>
      <c r="L73" s="56">
        <v>0</v>
      </c>
      <c r="M73" s="56">
        <v>0</v>
      </c>
      <c r="N73" s="44">
        <v>100</v>
      </c>
      <c r="O73" s="45">
        <v>20244060</v>
      </c>
      <c r="P73" s="43"/>
      <c r="Q73" s="45">
        <v>20244060</v>
      </c>
      <c r="R73" s="43">
        <v>0</v>
      </c>
      <c r="S73" s="30">
        <v>0</v>
      </c>
      <c r="T73" s="30">
        <v>0</v>
      </c>
      <c r="U73" s="30" t="e">
        <v>#DIV/0!</v>
      </c>
      <c r="V73" s="43" t="e">
        <v>#DIV/0!</v>
      </c>
      <c r="W73" s="43" t="e">
        <v>#DIV/0!</v>
      </c>
      <c r="X73" s="43">
        <v>0</v>
      </c>
      <c r="Y73" s="43">
        <v>0</v>
      </c>
      <c r="Z73" s="43">
        <v>0</v>
      </c>
      <c r="AA73" s="43">
        <v>0</v>
      </c>
      <c r="AB73" s="43"/>
      <c r="AC73" s="43" t="e">
        <v>#DIV/0!</v>
      </c>
      <c r="AD73" s="43"/>
      <c r="AE73" s="43" t="e">
        <v>#DIV/0!</v>
      </c>
      <c r="AF73" s="43" t="e">
        <v>#DIV/0!</v>
      </c>
      <c r="AG73" s="43" t="e">
        <v>#DIV/0!</v>
      </c>
      <c r="AH73" s="38">
        <v>45397</v>
      </c>
      <c r="AI73" s="38"/>
      <c r="AJ73" s="38"/>
      <c r="AK73" s="38"/>
      <c r="AL73" s="38"/>
      <c r="AM73" s="48"/>
      <c r="AN73" s="42"/>
      <c r="AO73" s="42"/>
      <c r="AP73" s="42"/>
      <c r="AQ73" s="42"/>
      <c r="AR73" s="42"/>
      <c r="AS73" s="50"/>
      <c r="AT73" s="39"/>
      <c r="AU73" s="39"/>
      <c r="AV73" s="49"/>
      <c r="AW73" s="39"/>
      <c r="AX73" s="39">
        <v>10</v>
      </c>
      <c r="AY73" s="30">
        <v>2024406</v>
      </c>
      <c r="AZ73" s="42"/>
    </row>
    <row r="74" spans="1:52" ht="39" customHeight="1" x14ac:dyDescent="0.25">
      <c r="A74" s="61" t="s">
        <v>2019</v>
      </c>
      <c r="B74" s="62">
        <v>45330</v>
      </c>
      <c r="C74" s="42" t="s">
        <v>1954</v>
      </c>
      <c r="D74" s="39" t="s">
        <v>434</v>
      </c>
      <c r="E74" s="41" t="s">
        <v>2020</v>
      </c>
      <c r="F74" s="39" t="s">
        <v>434</v>
      </c>
      <c r="G74" s="39" t="s">
        <v>434</v>
      </c>
      <c r="H74" s="39" t="s">
        <v>434</v>
      </c>
      <c r="I74" s="64" t="s">
        <v>1722</v>
      </c>
      <c r="J74" s="63">
        <v>38544</v>
      </c>
      <c r="K74" s="43">
        <v>0</v>
      </c>
      <c r="L74" s="56">
        <v>0</v>
      </c>
      <c r="M74" s="56">
        <v>0</v>
      </c>
      <c r="N74" s="44">
        <v>100</v>
      </c>
      <c r="O74" s="45">
        <v>38544</v>
      </c>
      <c r="P74" s="43"/>
      <c r="Q74" s="45">
        <v>38544</v>
      </c>
      <c r="R74" s="43">
        <v>0</v>
      </c>
      <c r="S74" s="30">
        <v>0</v>
      </c>
      <c r="T74" s="30">
        <v>0</v>
      </c>
      <c r="U74" s="30" t="e">
        <v>#DIV/0!</v>
      </c>
      <c r="V74" s="43" t="e">
        <v>#DIV/0!</v>
      </c>
      <c r="W74" s="43" t="e">
        <v>#DIV/0!</v>
      </c>
      <c r="X74" s="43">
        <v>0</v>
      </c>
      <c r="Y74" s="43">
        <v>0</v>
      </c>
      <c r="Z74" s="43">
        <v>0</v>
      </c>
      <c r="AA74" s="43">
        <v>0</v>
      </c>
      <c r="AB74" s="43"/>
      <c r="AC74" s="43" t="e">
        <v>#DIV/0!</v>
      </c>
      <c r="AD74" s="43"/>
      <c r="AE74" s="43" t="e">
        <v>#DIV/0!</v>
      </c>
      <c r="AF74" s="43" t="e">
        <v>#DIV/0!</v>
      </c>
      <c r="AG74" s="43" t="e">
        <v>#DIV/0!</v>
      </c>
      <c r="AH74" s="38">
        <v>45397</v>
      </c>
      <c r="AI74" s="38"/>
      <c r="AJ74" s="38"/>
      <c r="AK74" s="38"/>
      <c r="AL74" s="38"/>
      <c r="AM74" s="48"/>
      <c r="AN74" s="42"/>
      <c r="AO74" s="42"/>
      <c r="AP74" s="42"/>
      <c r="AQ74" s="42"/>
      <c r="AR74" s="42"/>
      <c r="AS74" s="50"/>
      <c r="AT74" s="39"/>
      <c r="AU74" s="39"/>
      <c r="AV74" s="49"/>
      <c r="AW74" s="39"/>
      <c r="AX74" s="39">
        <v>10</v>
      </c>
      <c r="AY74" s="30">
        <v>3854.4</v>
      </c>
      <c r="AZ74" s="42" t="s">
        <v>434</v>
      </c>
    </row>
    <row r="75" spans="1:52" ht="39" customHeight="1" x14ac:dyDescent="0.25">
      <c r="A75" s="61" t="s">
        <v>2021</v>
      </c>
      <c r="B75" s="62">
        <v>45330</v>
      </c>
      <c r="C75" s="42" t="s">
        <v>1954</v>
      </c>
      <c r="D75" s="39" t="s">
        <v>434</v>
      </c>
      <c r="E75" s="41" t="s">
        <v>2022</v>
      </c>
      <c r="F75" s="39" t="s">
        <v>434</v>
      </c>
      <c r="G75" s="39" t="s">
        <v>434</v>
      </c>
      <c r="H75" s="39" t="s">
        <v>434</v>
      </c>
      <c r="I75" s="64" t="s">
        <v>1533</v>
      </c>
      <c r="J75" s="63">
        <v>23408</v>
      </c>
      <c r="K75" s="43">
        <v>0</v>
      </c>
      <c r="L75" s="56">
        <v>0</v>
      </c>
      <c r="M75" s="56">
        <v>0</v>
      </c>
      <c r="N75" s="44">
        <v>100</v>
      </c>
      <c r="O75" s="45">
        <v>23408</v>
      </c>
      <c r="P75" s="43"/>
      <c r="Q75" s="45">
        <v>23408</v>
      </c>
      <c r="R75" s="43">
        <v>0</v>
      </c>
      <c r="S75" s="30">
        <v>0</v>
      </c>
      <c r="T75" s="30">
        <v>0</v>
      </c>
      <c r="U75" s="30" t="e">
        <v>#DIV/0!</v>
      </c>
      <c r="V75" s="43" t="e">
        <v>#DIV/0!</v>
      </c>
      <c r="W75" s="43" t="e">
        <v>#DIV/0!</v>
      </c>
      <c r="X75" s="43">
        <v>0</v>
      </c>
      <c r="Y75" s="43">
        <v>0</v>
      </c>
      <c r="Z75" s="43">
        <v>0</v>
      </c>
      <c r="AA75" s="43">
        <v>0</v>
      </c>
      <c r="AB75" s="43"/>
      <c r="AC75" s="43" t="e">
        <v>#DIV/0!</v>
      </c>
      <c r="AD75" s="43"/>
      <c r="AE75" s="43" t="e">
        <v>#DIV/0!</v>
      </c>
      <c r="AF75" s="43" t="e">
        <v>#DIV/0!</v>
      </c>
      <c r="AG75" s="43" t="e">
        <v>#DIV/0!</v>
      </c>
      <c r="AH75" s="38">
        <v>45397</v>
      </c>
      <c r="AI75" s="38"/>
      <c r="AJ75" s="38"/>
      <c r="AK75" s="38"/>
      <c r="AL75" s="38"/>
      <c r="AM75" s="48"/>
      <c r="AN75" s="42"/>
      <c r="AO75" s="42"/>
      <c r="AP75" s="42"/>
      <c r="AQ75" s="42"/>
      <c r="AR75" s="42"/>
      <c r="AS75" s="50"/>
      <c r="AT75" s="39"/>
      <c r="AU75" s="39"/>
      <c r="AV75" s="49"/>
      <c r="AW75" s="39"/>
      <c r="AX75" s="39">
        <v>10</v>
      </c>
      <c r="AY75" s="30">
        <v>2340.8000000000002</v>
      </c>
      <c r="AZ75" s="42" t="s">
        <v>434</v>
      </c>
    </row>
    <row r="76" spans="1:52" ht="39" customHeight="1" x14ac:dyDescent="0.25">
      <c r="A76" s="61" t="s">
        <v>2023</v>
      </c>
      <c r="B76" s="62">
        <v>45330</v>
      </c>
      <c r="C76" s="42" t="s">
        <v>1954</v>
      </c>
      <c r="D76" s="39" t="s">
        <v>434</v>
      </c>
      <c r="E76" s="41" t="s">
        <v>2024</v>
      </c>
      <c r="F76" s="39" t="s">
        <v>434</v>
      </c>
      <c r="G76" s="39" t="s">
        <v>434</v>
      </c>
      <c r="H76" s="39" t="s">
        <v>434</v>
      </c>
      <c r="I76" s="64" t="s">
        <v>1817</v>
      </c>
      <c r="J76" s="63">
        <v>36465</v>
      </c>
      <c r="K76" s="43">
        <v>0</v>
      </c>
      <c r="L76" s="56">
        <v>0</v>
      </c>
      <c r="M76" s="56">
        <v>0</v>
      </c>
      <c r="N76" s="44">
        <v>100</v>
      </c>
      <c r="O76" s="45">
        <v>36465</v>
      </c>
      <c r="P76" s="43"/>
      <c r="Q76" s="45">
        <v>36465</v>
      </c>
      <c r="R76" s="43">
        <v>0</v>
      </c>
      <c r="S76" s="30">
        <v>0</v>
      </c>
      <c r="T76" s="30">
        <v>0</v>
      </c>
      <c r="U76" s="30" t="e">
        <v>#DIV/0!</v>
      </c>
      <c r="V76" s="43" t="e">
        <v>#DIV/0!</v>
      </c>
      <c r="W76" s="43" t="e">
        <v>#DIV/0!</v>
      </c>
      <c r="X76" s="43">
        <v>0</v>
      </c>
      <c r="Y76" s="43">
        <v>0</v>
      </c>
      <c r="Z76" s="43">
        <v>0</v>
      </c>
      <c r="AA76" s="43">
        <v>0</v>
      </c>
      <c r="AB76" s="43"/>
      <c r="AC76" s="43" t="e">
        <v>#DIV/0!</v>
      </c>
      <c r="AD76" s="43"/>
      <c r="AE76" s="43" t="e">
        <v>#DIV/0!</v>
      </c>
      <c r="AF76" s="43" t="e">
        <v>#DIV/0!</v>
      </c>
      <c r="AG76" s="43" t="e">
        <v>#DIV/0!</v>
      </c>
      <c r="AH76" s="38">
        <v>45397</v>
      </c>
      <c r="AI76" s="38"/>
      <c r="AJ76" s="38"/>
      <c r="AK76" s="38"/>
      <c r="AL76" s="38"/>
      <c r="AM76" s="48"/>
      <c r="AN76" s="42"/>
      <c r="AO76" s="42"/>
      <c r="AP76" s="42"/>
      <c r="AQ76" s="42"/>
      <c r="AR76" s="42"/>
      <c r="AS76" s="50"/>
      <c r="AT76" s="39"/>
      <c r="AU76" s="39"/>
      <c r="AV76" s="49"/>
      <c r="AW76" s="39"/>
      <c r="AX76" s="39">
        <v>10</v>
      </c>
      <c r="AY76" s="30">
        <v>3646.5</v>
      </c>
      <c r="AZ76" s="42" t="s">
        <v>434</v>
      </c>
    </row>
    <row r="77" spans="1:52" ht="41.25" customHeight="1" x14ac:dyDescent="0.25">
      <c r="A77" s="37" t="s">
        <v>2036</v>
      </c>
      <c r="B77" s="38">
        <v>45331</v>
      </c>
      <c r="C77" s="42" t="s">
        <v>1954</v>
      </c>
      <c r="D77" s="39" t="s">
        <v>434</v>
      </c>
      <c r="E77" s="41" t="s">
        <v>2037</v>
      </c>
      <c r="F77" s="39" t="s">
        <v>434</v>
      </c>
      <c r="G77" s="39" t="s">
        <v>434</v>
      </c>
      <c r="H77" s="39" t="s">
        <v>434</v>
      </c>
      <c r="I77" s="57" t="s">
        <v>1560</v>
      </c>
      <c r="J77" s="43">
        <v>48859.199999999997</v>
      </c>
      <c r="K77" s="43">
        <v>0</v>
      </c>
      <c r="L77" s="56">
        <v>0</v>
      </c>
      <c r="M77" s="56">
        <v>0</v>
      </c>
      <c r="N77" s="44">
        <v>100</v>
      </c>
      <c r="O77" s="45">
        <v>48859.199999999997</v>
      </c>
      <c r="P77" s="43"/>
      <c r="Q77" s="45">
        <v>48859.199999999997</v>
      </c>
      <c r="R77" s="43">
        <v>0</v>
      </c>
      <c r="S77" s="30">
        <v>0</v>
      </c>
      <c r="T77" s="30">
        <v>0</v>
      </c>
      <c r="U77" s="30" t="e">
        <v>#DIV/0!</v>
      </c>
      <c r="V77" s="43" t="e">
        <v>#DIV/0!</v>
      </c>
      <c r="W77" s="43" t="e">
        <v>#DIV/0!</v>
      </c>
      <c r="X77" s="43">
        <v>0</v>
      </c>
      <c r="Y77" s="43">
        <v>0</v>
      </c>
      <c r="Z77" s="43">
        <v>0</v>
      </c>
      <c r="AA77" s="43">
        <v>0</v>
      </c>
      <c r="AB77" s="43"/>
      <c r="AC77" s="43" t="e">
        <v>#DIV/0!</v>
      </c>
      <c r="AD77" s="43"/>
      <c r="AE77" s="43" t="e">
        <v>#DIV/0!</v>
      </c>
      <c r="AF77" s="43" t="e">
        <v>#DIV/0!</v>
      </c>
      <c r="AG77" s="43" t="e">
        <v>#DIV/0!</v>
      </c>
      <c r="AH77" s="38">
        <v>45397</v>
      </c>
      <c r="AI77" s="38"/>
      <c r="AJ77" s="38"/>
      <c r="AK77" s="38"/>
      <c r="AL77" s="38"/>
      <c r="AM77" s="48"/>
      <c r="AN77" s="42"/>
      <c r="AO77" s="42"/>
      <c r="AP77" s="42"/>
      <c r="AQ77" s="42"/>
      <c r="AR77" s="42"/>
      <c r="AS77" s="50"/>
      <c r="AT77" s="39"/>
      <c r="AU77" s="39"/>
      <c r="AV77" s="49"/>
      <c r="AW77" s="39"/>
      <c r="AX77" s="39">
        <v>10</v>
      </c>
      <c r="AY77" s="30">
        <v>4885.92</v>
      </c>
      <c r="AZ77" s="42" t="s">
        <v>434</v>
      </c>
    </row>
    <row r="78" spans="1:52" ht="41.25" customHeight="1" x14ac:dyDescent="0.25">
      <c r="A78" s="37" t="s">
        <v>2038</v>
      </c>
      <c r="B78" s="38">
        <v>45331</v>
      </c>
      <c r="C78" s="42" t="s">
        <v>1954</v>
      </c>
      <c r="D78" s="39" t="s">
        <v>434</v>
      </c>
      <c r="E78" s="41" t="s">
        <v>2039</v>
      </c>
      <c r="F78" s="39" t="s">
        <v>434</v>
      </c>
      <c r="G78" s="39" t="s">
        <v>434</v>
      </c>
      <c r="H78" s="39" t="s">
        <v>434</v>
      </c>
      <c r="I78" s="36" t="s">
        <v>2040</v>
      </c>
      <c r="J78" s="43">
        <v>10567.2</v>
      </c>
      <c r="K78" s="43">
        <v>0</v>
      </c>
      <c r="L78" s="56">
        <v>0</v>
      </c>
      <c r="M78" s="56">
        <v>0</v>
      </c>
      <c r="N78" s="44">
        <v>100</v>
      </c>
      <c r="O78" s="45">
        <v>10567.2</v>
      </c>
      <c r="P78" s="43"/>
      <c r="Q78" s="45">
        <v>10567.2</v>
      </c>
      <c r="R78" s="43">
        <v>0</v>
      </c>
      <c r="S78" s="30">
        <v>0</v>
      </c>
      <c r="T78" s="30">
        <v>0</v>
      </c>
      <c r="U78" s="30" t="e">
        <v>#DIV/0!</v>
      </c>
      <c r="V78" s="43" t="e">
        <v>#DIV/0!</v>
      </c>
      <c r="W78" s="43" t="e">
        <v>#DIV/0!</v>
      </c>
      <c r="X78" s="43">
        <v>0</v>
      </c>
      <c r="Y78" s="43">
        <v>0</v>
      </c>
      <c r="Z78" s="43">
        <v>0</v>
      </c>
      <c r="AA78" s="43">
        <v>0</v>
      </c>
      <c r="AB78" s="43"/>
      <c r="AC78" s="43" t="e">
        <v>#DIV/0!</v>
      </c>
      <c r="AD78" s="43"/>
      <c r="AE78" s="43" t="e">
        <v>#DIV/0!</v>
      </c>
      <c r="AF78" s="43" t="e">
        <v>#DIV/0!</v>
      </c>
      <c r="AG78" s="43" t="e">
        <v>#DIV/0!</v>
      </c>
      <c r="AH78" s="38">
        <v>45397</v>
      </c>
      <c r="AI78" s="38"/>
      <c r="AJ78" s="38"/>
      <c r="AK78" s="38"/>
      <c r="AL78" s="38"/>
      <c r="AM78" s="48"/>
      <c r="AN78" s="42"/>
      <c r="AO78" s="42"/>
      <c r="AP78" s="42"/>
      <c r="AQ78" s="42"/>
      <c r="AR78" s="42"/>
      <c r="AS78" s="50"/>
      <c r="AT78" s="39"/>
      <c r="AU78" s="39"/>
      <c r="AV78" s="49"/>
      <c r="AW78" s="39"/>
      <c r="AX78" s="39">
        <v>10</v>
      </c>
      <c r="AY78" s="30">
        <v>1056.72</v>
      </c>
      <c r="AZ78" s="42" t="s">
        <v>434</v>
      </c>
    </row>
    <row r="79" spans="1:52" ht="41.25" customHeight="1" x14ac:dyDescent="0.25">
      <c r="A79" s="37" t="s">
        <v>2045</v>
      </c>
      <c r="B79" s="38">
        <v>45331</v>
      </c>
      <c r="C79" s="42" t="s">
        <v>1954</v>
      </c>
      <c r="D79" s="39" t="s">
        <v>434</v>
      </c>
      <c r="E79" s="41" t="s">
        <v>2046</v>
      </c>
      <c r="F79" s="39" t="s">
        <v>434</v>
      </c>
      <c r="G79" s="39" t="s">
        <v>434</v>
      </c>
      <c r="H79" s="39" t="s">
        <v>434</v>
      </c>
      <c r="I79" s="57" t="s">
        <v>1568</v>
      </c>
      <c r="J79" s="43">
        <v>3240237</v>
      </c>
      <c r="K79" s="43">
        <v>0</v>
      </c>
      <c r="L79" s="56">
        <v>0</v>
      </c>
      <c r="M79" s="56">
        <v>0</v>
      </c>
      <c r="N79" s="44">
        <v>100</v>
      </c>
      <c r="O79" s="45">
        <v>3240237</v>
      </c>
      <c r="P79" s="43"/>
      <c r="Q79" s="45">
        <v>3240237</v>
      </c>
      <c r="R79" s="43">
        <v>0</v>
      </c>
      <c r="S79" s="30">
        <v>0</v>
      </c>
      <c r="T79" s="30">
        <v>0</v>
      </c>
      <c r="U79" s="30" t="e">
        <v>#DIV/0!</v>
      </c>
      <c r="V79" s="43" t="e">
        <v>#DIV/0!</v>
      </c>
      <c r="W79" s="43" t="e">
        <v>#DIV/0!</v>
      </c>
      <c r="X79" s="43">
        <v>0</v>
      </c>
      <c r="Y79" s="43">
        <v>0</v>
      </c>
      <c r="Z79" s="43">
        <v>0</v>
      </c>
      <c r="AA79" s="43">
        <v>0</v>
      </c>
      <c r="AB79" s="43"/>
      <c r="AC79" s="43" t="e">
        <v>#DIV/0!</v>
      </c>
      <c r="AD79" s="43"/>
      <c r="AE79" s="43" t="e">
        <v>#DIV/0!</v>
      </c>
      <c r="AF79" s="43" t="e">
        <v>#DIV/0!</v>
      </c>
      <c r="AG79" s="43" t="e">
        <v>#DIV/0!</v>
      </c>
      <c r="AH79" s="38">
        <v>45397</v>
      </c>
      <c r="AI79" s="38"/>
      <c r="AJ79" s="38"/>
      <c r="AK79" s="38"/>
      <c r="AL79" s="38"/>
      <c r="AM79" s="48"/>
      <c r="AN79" s="42"/>
      <c r="AO79" s="42"/>
      <c r="AP79" s="42"/>
      <c r="AQ79" s="42"/>
      <c r="AR79" s="42"/>
      <c r="AS79" s="50"/>
      <c r="AT79" s="39"/>
      <c r="AU79" s="39"/>
      <c r="AV79" s="49"/>
      <c r="AW79" s="39"/>
      <c r="AX79" s="39">
        <v>10</v>
      </c>
      <c r="AY79" s="30">
        <v>324023.7</v>
      </c>
      <c r="AZ79" s="42" t="s">
        <v>434</v>
      </c>
    </row>
    <row r="80" spans="1:52" ht="41.25" customHeight="1" x14ac:dyDescent="0.25">
      <c r="A80" s="37" t="s">
        <v>2049</v>
      </c>
      <c r="B80" s="38">
        <v>45335</v>
      </c>
      <c r="C80" s="42" t="s">
        <v>1954</v>
      </c>
      <c r="D80" s="39" t="s">
        <v>434</v>
      </c>
      <c r="E80" s="41" t="s">
        <v>2050</v>
      </c>
      <c r="F80" s="39" t="s">
        <v>434</v>
      </c>
      <c r="G80" s="39" t="s">
        <v>434</v>
      </c>
      <c r="H80" s="39" t="s">
        <v>434</v>
      </c>
      <c r="I80" s="57" t="s">
        <v>1274</v>
      </c>
      <c r="J80" s="43">
        <v>92692.800000000003</v>
      </c>
      <c r="K80" s="43">
        <v>0</v>
      </c>
      <c r="L80" s="56">
        <v>0</v>
      </c>
      <c r="M80" s="56">
        <v>0</v>
      </c>
      <c r="N80" s="44">
        <v>100</v>
      </c>
      <c r="O80" s="45">
        <v>92692.800000000003</v>
      </c>
      <c r="P80" s="43"/>
      <c r="Q80" s="45">
        <v>92692.800000000003</v>
      </c>
      <c r="R80" s="43">
        <v>0</v>
      </c>
      <c r="S80" s="30">
        <v>0</v>
      </c>
      <c r="T80" s="30">
        <v>0</v>
      </c>
      <c r="U80" s="30" t="e">
        <v>#DIV/0!</v>
      </c>
      <c r="V80" s="43" t="e">
        <v>#DIV/0!</v>
      </c>
      <c r="W80" s="43" t="e">
        <v>#DIV/0!</v>
      </c>
      <c r="X80" s="43">
        <v>0</v>
      </c>
      <c r="Y80" s="43">
        <v>0</v>
      </c>
      <c r="Z80" s="43">
        <v>0</v>
      </c>
      <c r="AA80" s="43">
        <v>0</v>
      </c>
      <c r="AB80" s="43"/>
      <c r="AC80" s="43" t="e">
        <v>#DIV/0!</v>
      </c>
      <c r="AD80" s="43"/>
      <c r="AE80" s="43" t="e">
        <v>#DIV/0!</v>
      </c>
      <c r="AF80" s="43" t="e">
        <v>#DIV/0!</v>
      </c>
      <c r="AG80" s="43" t="e">
        <v>#DIV/0!</v>
      </c>
      <c r="AH80" s="38">
        <v>45505</v>
      </c>
      <c r="AI80" s="38"/>
      <c r="AJ80" s="38"/>
      <c r="AK80" s="38"/>
      <c r="AL80" s="38"/>
      <c r="AM80" s="48"/>
      <c r="AN80" s="42"/>
      <c r="AO80" s="42"/>
      <c r="AP80" s="42"/>
      <c r="AQ80" s="42"/>
      <c r="AR80" s="42"/>
      <c r="AS80" s="50"/>
      <c r="AT80" s="39"/>
      <c r="AU80" s="39"/>
      <c r="AV80" s="49"/>
      <c r="AW80" s="39"/>
      <c r="AX80" s="39">
        <v>10</v>
      </c>
      <c r="AY80" s="30">
        <v>9269.2800000000007</v>
      </c>
      <c r="AZ80" s="42" t="s">
        <v>434</v>
      </c>
    </row>
    <row r="81" spans="1:52" ht="41.25" customHeight="1" x14ac:dyDescent="0.25">
      <c r="A81" s="37" t="s">
        <v>2060</v>
      </c>
      <c r="B81" s="38">
        <v>45335</v>
      </c>
      <c r="C81" s="42" t="s">
        <v>1954</v>
      </c>
      <c r="D81" s="37" t="s">
        <v>434</v>
      </c>
      <c r="E81" s="41" t="s">
        <v>2061</v>
      </c>
      <c r="F81" s="37" t="s">
        <v>434</v>
      </c>
      <c r="G81" s="37" t="s">
        <v>434</v>
      </c>
      <c r="H81" s="37" t="s">
        <v>434</v>
      </c>
      <c r="I81" s="36" t="s">
        <v>1547</v>
      </c>
      <c r="J81" s="43">
        <v>4695840</v>
      </c>
      <c r="K81" s="43">
        <v>0</v>
      </c>
      <c r="L81" s="56">
        <v>0</v>
      </c>
      <c r="M81" s="56">
        <v>0</v>
      </c>
      <c r="N81" s="44">
        <v>100</v>
      </c>
      <c r="O81" s="45">
        <v>4695840</v>
      </c>
      <c r="P81" s="43"/>
      <c r="Q81" s="45">
        <v>4695840</v>
      </c>
      <c r="R81" s="43">
        <v>0</v>
      </c>
      <c r="S81" s="30">
        <v>0</v>
      </c>
      <c r="T81" s="30">
        <v>0</v>
      </c>
      <c r="U81" s="30" t="e">
        <v>#DIV/0!</v>
      </c>
      <c r="V81" s="43" t="e">
        <v>#DIV/0!</v>
      </c>
      <c r="W81" s="43" t="e">
        <v>#DIV/0!</v>
      </c>
      <c r="X81" s="43">
        <v>0</v>
      </c>
      <c r="Y81" s="43">
        <v>0</v>
      </c>
      <c r="Z81" s="43">
        <v>0</v>
      </c>
      <c r="AA81" s="43">
        <v>0</v>
      </c>
      <c r="AB81" s="43"/>
      <c r="AC81" s="43" t="e">
        <v>#DIV/0!</v>
      </c>
      <c r="AD81" s="43"/>
      <c r="AE81" s="43" t="e">
        <v>#DIV/0!</v>
      </c>
      <c r="AF81" s="43" t="e">
        <v>#DIV/0!</v>
      </c>
      <c r="AG81" s="43" t="e">
        <v>#DIV/0!</v>
      </c>
      <c r="AH81" s="38">
        <v>45397</v>
      </c>
      <c r="AI81" s="38"/>
      <c r="AJ81" s="38"/>
      <c r="AK81" s="38"/>
      <c r="AL81" s="38"/>
      <c r="AM81" s="48"/>
      <c r="AN81" s="42"/>
      <c r="AO81" s="42"/>
      <c r="AP81" s="42"/>
      <c r="AQ81" s="42"/>
      <c r="AR81" s="42"/>
      <c r="AS81" s="50"/>
      <c r="AT81" s="39"/>
      <c r="AU81" s="39"/>
      <c r="AV81" s="49"/>
      <c r="AW81" s="39"/>
      <c r="AX81" s="39">
        <v>10</v>
      </c>
      <c r="AY81" s="30">
        <v>469584</v>
      </c>
      <c r="AZ81" s="42" t="s">
        <v>434</v>
      </c>
    </row>
    <row r="82" spans="1:52" ht="41.25" customHeight="1" x14ac:dyDescent="0.25">
      <c r="A82" s="37" t="s">
        <v>2064</v>
      </c>
      <c r="B82" s="38">
        <v>45335</v>
      </c>
      <c r="C82" s="42" t="s">
        <v>1954</v>
      </c>
      <c r="D82" s="37"/>
      <c r="E82" s="41" t="s">
        <v>2065</v>
      </c>
      <c r="F82" s="38"/>
      <c r="G82" s="39"/>
      <c r="H82" s="42"/>
      <c r="I82" s="57" t="s">
        <v>1264</v>
      </c>
      <c r="J82" s="43">
        <v>399096</v>
      </c>
      <c r="K82" s="43">
        <v>0</v>
      </c>
      <c r="L82" s="56">
        <v>0</v>
      </c>
      <c r="M82" s="56">
        <v>0</v>
      </c>
      <c r="N82" s="44">
        <v>100</v>
      </c>
      <c r="O82" s="45">
        <v>399096</v>
      </c>
      <c r="P82" s="43"/>
      <c r="Q82" s="45">
        <v>399096</v>
      </c>
      <c r="R82" s="43">
        <v>0</v>
      </c>
      <c r="S82" s="30">
        <v>0</v>
      </c>
      <c r="T82" s="30">
        <v>0</v>
      </c>
      <c r="U82" s="30" t="e">
        <v>#DIV/0!</v>
      </c>
      <c r="V82" s="43" t="e">
        <v>#DIV/0!</v>
      </c>
      <c r="W82" s="43" t="e">
        <v>#DIV/0!</v>
      </c>
      <c r="X82" s="43">
        <v>0</v>
      </c>
      <c r="Y82" s="43">
        <v>0</v>
      </c>
      <c r="Z82" s="43">
        <v>0</v>
      </c>
      <c r="AA82" s="43">
        <v>0</v>
      </c>
      <c r="AB82" s="43"/>
      <c r="AC82" s="43" t="e">
        <v>#DIV/0!</v>
      </c>
      <c r="AD82" s="43"/>
      <c r="AE82" s="43" t="e">
        <v>#DIV/0!</v>
      </c>
      <c r="AF82" s="43" t="e">
        <v>#DIV/0!</v>
      </c>
      <c r="AG82" s="43" t="e">
        <v>#DIV/0!</v>
      </c>
      <c r="AH82" s="38">
        <v>45397</v>
      </c>
      <c r="AI82" s="38"/>
      <c r="AJ82" s="38"/>
      <c r="AK82" s="38"/>
      <c r="AL82" s="38"/>
      <c r="AM82" s="48"/>
      <c r="AN82" s="42"/>
      <c r="AO82" s="42"/>
      <c r="AP82" s="42"/>
      <c r="AQ82" s="42"/>
      <c r="AR82" s="42"/>
      <c r="AS82" s="50"/>
      <c r="AT82" s="39"/>
      <c r="AU82" s="39"/>
      <c r="AV82" s="49"/>
      <c r="AW82" s="39"/>
      <c r="AX82" s="39">
        <v>10</v>
      </c>
      <c r="AY82" s="30">
        <v>39909.599999999999</v>
      </c>
      <c r="AZ82" s="42"/>
    </row>
    <row r="83" spans="1:52" ht="41.25" customHeight="1" x14ac:dyDescent="0.25">
      <c r="A83" s="37" t="s">
        <v>2093</v>
      </c>
      <c r="B83" s="38">
        <v>45337</v>
      </c>
      <c r="C83" s="42" t="s">
        <v>2199</v>
      </c>
      <c r="D83" s="37" t="s">
        <v>434</v>
      </c>
      <c r="E83" s="41" t="s">
        <v>2094</v>
      </c>
      <c r="F83" s="37" t="s">
        <v>434</v>
      </c>
      <c r="G83" s="37" t="s">
        <v>434</v>
      </c>
      <c r="H83" s="37" t="s">
        <v>434</v>
      </c>
      <c r="I83" s="36" t="s">
        <v>1668</v>
      </c>
      <c r="J83" s="43">
        <v>46909.8</v>
      </c>
      <c r="K83" s="43">
        <v>0</v>
      </c>
      <c r="L83" s="56">
        <v>0</v>
      </c>
      <c r="M83" s="56">
        <v>0</v>
      </c>
      <c r="N83" s="44">
        <v>100</v>
      </c>
      <c r="O83" s="45">
        <v>46909.8</v>
      </c>
      <c r="P83" s="43"/>
      <c r="Q83" s="45">
        <v>46909.8</v>
      </c>
      <c r="R83" s="43">
        <v>0</v>
      </c>
      <c r="S83" s="30">
        <v>0</v>
      </c>
      <c r="T83" s="30">
        <v>0</v>
      </c>
      <c r="U83" s="30" t="e">
        <v>#DIV/0!</v>
      </c>
      <c r="V83" s="43" t="e">
        <v>#DIV/0!</v>
      </c>
      <c r="W83" s="43" t="e">
        <v>#DIV/0!</v>
      </c>
      <c r="X83" s="43">
        <v>0</v>
      </c>
      <c r="Y83" s="43">
        <v>0</v>
      </c>
      <c r="Z83" s="43">
        <v>0</v>
      </c>
      <c r="AA83" s="43">
        <v>0</v>
      </c>
      <c r="AB83" s="43"/>
      <c r="AC83" s="43" t="e">
        <v>#DIV/0!</v>
      </c>
      <c r="AD83" s="43"/>
      <c r="AE83" s="43" t="e">
        <v>#DIV/0!</v>
      </c>
      <c r="AF83" s="43" t="e">
        <v>#DIV/0!</v>
      </c>
      <c r="AG83" s="43" t="e">
        <v>#DIV/0!</v>
      </c>
      <c r="AH83" s="38">
        <v>45397</v>
      </c>
      <c r="AI83" s="38"/>
      <c r="AJ83" s="38"/>
      <c r="AK83" s="38"/>
      <c r="AL83" s="38"/>
      <c r="AM83" s="48"/>
      <c r="AN83" s="42"/>
      <c r="AO83" s="42"/>
      <c r="AP83" s="42"/>
      <c r="AQ83" s="42"/>
      <c r="AR83" s="42"/>
      <c r="AS83" s="50"/>
      <c r="AT83" s="39"/>
      <c r="AU83" s="39"/>
      <c r="AV83" s="49"/>
      <c r="AW83" s="39"/>
      <c r="AX83" s="39">
        <v>10</v>
      </c>
      <c r="AY83" s="30">
        <v>4690.9799999999996</v>
      </c>
      <c r="AZ83" s="42" t="s">
        <v>434</v>
      </c>
    </row>
    <row r="84" spans="1:52" ht="41.25" customHeight="1" x14ac:dyDescent="0.25">
      <c r="A84" s="37" t="s">
        <v>2095</v>
      </c>
      <c r="B84" s="38">
        <v>45337</v>
      </c>
      <c r="C84" s="42" t="s">
        <v>2199</v>
      </c>
      <c r="D84" s="37" t="s">
        <v>434</v>
      </c>
      <c r="E84" s="41" t="s">
        <v>2096</v>
      </c>
      <c r="F84" s="37" t="s">
        <v>434</v>
      </c>
      <c r="G84" s="37" t="s">
        <v>434</v>
      </c>
      <c r="H84" s="37" t="s">
        <v>434</v>
      </c>
      <c r="I84" s="36" t="s">
        <v>1528</v>
      </c>
      <c r="J84" s="43">
        <v>3838479.3</v>
      </c>
      <c r="K84" s="43">
        <v>0</v>
      </c>
      <c r="L84" s="56">
        <v>0</v>
      </c>
      <c r="M84" s="56">
        <v>0</v>
      </c>
      <c r="N84" s="44">
        <v>100</v>
      </c>
      <c r="O84" s="45">
        <v>3838479.3</v>
      </c>
      <c r="P84" s="43"/>
      <c r="Q84" s="45">
        <v>3838479.3</v>
      </c>
      <c r="R84" s="43">
        <v>0</v>
      </c>
      <c r="S84" s="30">
        <v>0</v>
      </c>
      <c r="T84" s="30">
        <v>0</v>
      </c>
      <c r="U84" s="30" t="e">
        <v>#DIV/0!</v>
      </c>
      <c r="V84" s="43" t="e">
        <v>#DIV/0!</v>
      </c>
      <c r="W84" s="43" t="e">
        <v>#DIV/0!</v>
      </c>
      <c r="X84" s="43">
        <v>0</v>
      </c>
      <c r="Y84" s="43">
        <v>0</v>
      </c>
      <c r="Z84" s="43">
        <v>0</v>
      </c>
      <c r="AA84" s="43">
        <v>0</v>
      </c>
      <c r="AB84" s="43"/>
      <c r="AC84" s="43" t="e">
        <v>#DIV/0!</v>
      </c>
      <c r="AD84" s="43"/>
      <c r="AE84" s="43" t="e">
        <v>#DIV/0!</v>
      </c>
      <c r="AF84" s="43" t="e">
        <v>#DIV/0!</v>
      </c>
      <c r="AG84" s="43" t="e">
        <v>#DIV/0!</v>
      </c>
      <c r="AH84" s="38">
        <v>45397</v>
      </c>
      <c r="AI84" s="38"/>
      <c r="AJ84" s="38"/>
      <c r="AK84" s="38"/>
      <c r="AL84" s="38"/>
      <c r="AM84" s="48"/>
      <c r="AN84" s="42"/>
      <c r="AO84" s="42"/>
      <c r="AP84" s="42"/>
      <c r="AQ84" s="42"/>
      <c r="AR84" s="42"/>
      <c r="AS84" s="50"/>
      <c r="AT84" s="39"/>
      <c r="AU84" s="39"/>
      <c r="AV84" s="49"/>
      <c r="AW84" s="39"/>
      <c r="AX84" s="39">
        <v>10</v>
      </c>
      <c r="AY84" s="30">
        <v>383847.93</v>
      </c>
      <c r="AZ84" s="42" t="s">
        <v>434</v>
      </c>
    </row>
    <row r="85" spans="1:52" ht="15.75" customHeight="1" x14ac:dyDescent="0.25">
      <c r="A85" s="46"/>
      <c r="B85" s="38"/>
      <c r="C85" s="39"/>
      <c r="D85" s="37"/>
      <c r="E85" s="42"/>
      <c r="F85" s="38"/>
      <c r="G85" s="39"/>
      <c r="H85" s="42"/>
      <c r="I85" s="42"/>
      <c r="J85" s="43">
        <v>0</v>
      </c>
      <c r="K85" s="43">
        <v>0</v>
      </c>
      <c r="L85" s="56">
        <v>0</v>
      </c>
      <c r="M85" s="56">
        <v>0</v>
      </c>
      <c r="N85" s="44" t="e">
        <f t="shared" ref="N67:N112" si="0">((J85-P85)/J85)*100</f>
        <v>#DIV/0!</v>
      </c>
      <c r="O85" s="45">
        <f t="shared" ref="O67:O130" si="1">J85-P85</f>
        <v>0</v>
      </c>
      <c r="P85" s="43"/>
      <c r="Q85" s="45">
        <f t="shared" ref="Q67:Q130" si="2">J85-R85</f>
        <v>0</v>
      </c>
      <c r="R85" s="43">
        <v>0</v>
      </c>
      <c r="S85" s="30">
        <f t="shared" ref="S41:T95" si="3">R85</f>
        <v>0</v>
      </c>
      <c r="T85" s="30">
        <f t="shared" si="3"/>
        <v>0</v>
      </c>
      <c r="U85" s="30" t="e">
        <f>T85/X85</f>
        <v>#DIV/0!</v>
      </c>
      <c r="V85" s="43" t="e">
        <f>T85/X85</f>
        <v>#DIV/0!</v>
      </c>
      <c r="W85" s="43" t="e">
        <f t="shared" ref="W67:W130" si="4">V85*AV85</f>
        <v>#DIV/0!</v>
      </c>
      <c r="X85" s="43">
        <f t="shared" ref="X67:X130" si="5">Y85+Z85+AA85</f>
        <v>0</v>
      </c>
      <c r="Y85" s="43">
        <v>0</v>
      </c>
      <c r="Z85" s="43">
        <v>0</v>
      </c>
      <c r="AA85" s="43">
        <v>0</v>
      </c>
      <c r="AB85" s="43"/>
      <c r="AC85" s="43" t="e">
        <f t="shared" ref="AC67:AC130" si="6">AB85*V85</f>
        <v>#DIV/0!</v>
      </c>
      <c r="AD85" s="43"/>
      <c r="AE85" s="43" t="e">
        <f t="shared" ref="AE67:AE130" si="7">AD85*V85</f>
        <v>#DIV/0!</v>
      </c>
      <c r="AF85" s="43" t="e">
        <f t="shared" ref="AF67:AF129" si="8">X85/AV85</f>
        <v>#DIV/0!</v>
      </c>
      <c r="AG85" s="43" t="e">
        <f t="shared" ref="AG67:AG129" si="9">_xlfn.CEILING.MATH(AF85)</f>
        <v>#DIV/0!</v>
      </c>
      <c r="AH85" s="38"/>
      <c r="AI85" s="38"/>
      <c r="AJ85" s="38"/>
      <c r="AK85" s="38"/>
      <c r="AL85" s="38"/>
      <c r="AM85" s="48"/>
      <c r="AN85" s="42"/>
      <c r="AO85" s="42"/>
      <c r="AP85" s="42"/>
      <c r="AQ85" s="42"/>
      <c r="AR85" s="42"/>
      <c r="AS85" s="50"/>
      <c r="AT85" s="39"/>
      <c r="AU85" s="39"/>
      <c r="AV85" s="49"/>
      <c r="AW85" s="39"/>
      <c r="AX85" s="39">
        <v>10</v>
      </c>
      <c r="AY85" s="30">
        <f>(J85*10)/100</f>
        <v>0</v>
      </c>
      <c r="AZ85" s="42"/>
    </row>
    <row r="86" spans="1:52" ht="15.75" customHeight="1" x14ac:dyDescent="0.25">
      <c r="A86" s="46"/>
      <c r="B86" s="38"/>
      <c r="C86" s="39"/>
      <c r="D86" s="37"/>
      <c r="E86" s="42"/>
      <c r="F86" s="38"/>
      <c r="G86" s="39"/>
      <c r="H86" s="42"/>
      <c r="I86" s="42"/>
      <c r="J86" s="43">
        <v>0</v>
      </c>
      <c r="K86" s="43">
        <v>0</v>
      </c>
      <c r="L86" s="56">
        <v>0</v>
      </c>
      <c r="M86" s="56">
        <v>0</v>
      </c>
      <c r="N86" s="44" t="e">
        <f t="shared" si="0"/>
        <v>#DIV/0!</v>
      </c>
      <c r="O86" s="45">
        <f t="shared" si="1"/>
        <v>0</v>
      </c>
      <c r="P86" s="43"/>
      <c r="Q86" s="45">
        <f t="shared" si="2"/>
        <v>0</v>
      </c>
      <c r="R86" s="43">
        <v>0</v>
      </c>
      <c r="S86" s="30">
        <f t="shared" si="3"/>
        <v>0</v>
      </c>
      <c r="T86" s="30">
        <f t="shared" si="3"/>
        <v>0</v>
      </c>
      <c r="U86" s="30" t="e">
        <f>T86/X86</f>
        <v>#DIV/0!</v>
      </c>
      <c r="V86" s="43" t="e">
        <f>T86/X86</f>
        <v>#DIV/0!</v>
      </c>
      <c r="W86" s="43" t="e">
        <f t="shared" si="4"/>
        <v>#DIV/0!</v>
      </c>
      <c r="X86" s="43">
        <f t="shared" si="5"/>
        <v>0</v>
      </c>
      <c r="Y86" s="43">
        <v>0</v>
      </c>
      <c r="Z86" s="43">
        <v>0</v>
      </c>
      <c r="AA86" s="43">
        <v>0</v>
      </c>
      <c r="AB86" s="43"/>
      <c r="AC86" s="43" t="e">
        <f t="shared" si="6"/>
        <v>#DIV/0!</v>
      </c>
      <c r="AD86" s="43"/>
      <c r="AE86" s="43" t="e">
        <f t="shared" si="7"/>
        <v>#DIV/0!</v>
      </c>
      <c r="AF86" s="43" t="e">
        <f t="shared" si="8"/>
        <v>#DIV/0!</v>
      </c>
      <c r="AG86" s="43" t="e">
        <f t="shared" si="9"/>
        <v>#DIV/0!</v>
      </c>
      <c r="AH86" s="38"/>
      <c r="AI86" s="38"/>
      <c r="AJ86" s="38"/>
      <c r="AK86" s="38"/>
      <c r="AL86" s="38"/>
      <c r="AM86" s="48"/>
      <c r="AN86" s="42"/>
      <c r="AO86" s="42"/>
      <c r="AP86" s="42"/>
      <c r="AQ86" s="42"/>
      <c r="AR86" s="42"/>
      <c r="AS86" s="50"/>
      <c r="AT86" s="39"/>
      <c r="AU86" s="39"/>
      <c r="AV86" s="49"/>
      <c r="AW86" s="39"/>
      <c r="AX86" s="39">
        <v>10</v>
      </c>
      <c r="AY86" s="30">
        <f>(J86*10)/100</f>
        <v>0</v>
      </c>
      <c r="AZ86" s="42"/>
    </row>
    <row r="87" spans="1:52" ht="15.75" customHeight="1" x14ac:dyDescent="0.25">
      <c r="A87" s="46"/>
      <c r="B87" s="38"/>
      <c r="C87" s="39"/>
      <c r="D87" s="37"/>
      <c r="E87" s="42"/>
      <c r="F87" s="38"/>
      <c r="G87" s="39"/>
      <c r="H87" s="42"/>
      <c r="I87" s="42"/>
      <c r="J87" s="43">
        <v>0</v>
      </c>
      <c r="K87" s="43">
        <v>0</v>
      </c>
      <c r="L87" s="56">
        <v>0</v>
      </c>
      <c r="M87" s="56">
        <v>0</v>
      </c>
      <c r="N87" s="44" t="e">
        <f t="shared" si="0"/>
        <v>#DIV/0!</v>
      </c>
      <c r="O87" s="45">
        <f t="shared" si="1"/>
        <v>0</v>
      </c>
      <c r="P87" s="43"/>
      <c r="Q87" s="45">
        <f t="shared" si="2"/>
        <v>0</v>
      </c>
      <c r="R87" s="43">
        <v>0</v>
      </c>
      <c r="S87" s="30">
        <f t="shared" si="3"/>
        <v>0</v>
      </c>
      <c r="T87" s="30">
        <f t="shared" si="3"/>
        <v>0</v>
      </c>
      <c r="U87" s="30" t="e">
        <f>T87/X87</f>
        <v>#DIV/0!</v>
      </c>
      <c r="V87" s="43" t="e">
        <f>T87/X87</f>
        <v>#DIV/0!</v>
      </c>
      <c r="W87" s="43" t="e">
        <f t="shared" si="4"/>
        <v>#DIV/0!</v>
      </c>
      <c r="X87" s="43">
        <f t="shared" si="5"/>
        <v>0</v>
      </c>
      <c r="Y87" s="43">
        <v>0</v>
      </c>
      <c r="Z87" s="43">
        <v>0</v>
      </c>
      <c r="AA87" s="43">
        <v>0</v>
      </c>
      <c r="AB87" s="43"/>
      <c r="AC87" s="43" t="e">
        <f t="shared" si="6"/>
        <v>#DIV/0!</v>
      </c>
      <c r="AD87" s="43"/>
      <c r="AE87" s="43" t="e">
        <f t="shared" si="7"/>
        <v>#DIV/0!</v>
      </c>
      <c r="AF87" s="43" t="e">
        <f t="shared" si="8"/>
        <v>#DIV/0!</v>
      </c>
      <c r="AG87" s="43" t="e">
        <f t="shared" si="9"/>
        <v>#DIV/0!</v>
      </c>
      <c r="AH87" s="38"/>
      <c r="AI87" s="38"/>
      <c r="AJ87" s="38"/>
      <c r="AK87" s="38"/>
      <c r="AL87" s="38"/>
      <c r="AM87" s="48"/>
      <c r="AN87" s="42"/>
      <c r="AO87" s="42"/>
      <c r="AP87" s="42"/>
      <c r="AQ87" s="42"/>
      <c r="AR87" s="42"/>
      <c r="AS87" s="50"/>
      <c r="AT87" s="39"/>
      <c r="AU87" s="39"/>
      <c r="AV87" s="49"/>
      <c r="AW87" s="39"/>
      <c r="AX87" s="39">
        <v>10</v>
      </c>
      <c r="AY87" s="30">
        <f>(J87*10)/100</f>
        <v>0</v>
      </c>
      <c r="AZ87" s="42"/>
    </row>
    <row r="88" spans="1:52" ht="15.75" customHeight="1" x14ac:dyDescent="0.25">
      <c r="A88" s="46"/>
      <c r="B88" s="38"/>
      <c r="C88" s="39"/>
      <c r="D88" s="37"/>
      <c r="E88" s="42"/>
      <c r="F88" s="38"/>
      <c r="G88" s="39"/>
      <c r="H88" s="42"/>
      <c r="I88" s="42"/>
      <c r="J88" s="43">
        <v>0</v>
      </c>
      <c r="K88" s="43">
        <v>0</v>
      </c>
      <c r="L88" s="56">
        <v>0</v>
      </c>
      <c r="M88" s="56">
        <v>0</v>
      </c>
      <c r="N88" s="44" t="e">
        <f t="shared" si="0"/>
        <v>#DIV/0!</v>
      </c>
      <c r="O88" s="45">
        <f t="shared" si="1"/>
        <v>0</v>
      </c>
      <c r="P88" s="43"/>
      <c r="Q88" s="45">
        <f t="shared" si="2"/>
        <v>0</v>
      </c>
      <c r="R88" s="43">
        <v>0</v>
      </c>
      <c r="S88" s="30">
        <f t="shared" si="3"/>
        <v>0</v>
      </c>
      <c r="T88" s="30">
        <f t="shared" si="3"/>
        <v>0</v>
      </c>
      <c r="U88" s="30" t="e">
        <f>T88/X88</f>
        <v>#DIV/0!</v>
      </c>
      <c r="V88" s="43" t="e">
        <f>T88/X88</f>
        <v>#DIV/0!</v>
      </c>
      <c r="W88" s="43" t="e">
        <f t="shared" si="4"/>
        <v>#DIV/0!</v>
      </c>
      <c r="X88" s="43">
        <f t="shared" si="5"/>
        <v>0</v>
      </c>
      <c r="Y88" s="43">
        <v>0</v>
      </c>
      <c r="Z88" s="43">
        <v>0</v>
      </c>
      <c r="AA88" s="43">
        <v>0</v>
      </c>
      <c r="AB88" s="43"/>
      <c r="AC88" s="43" t="e">
        <f t="shared" si="6"/>
        <v>#DIV/0!</v>
      </c>
      <c r="AD88" s="43"/>
      <c r="AE88" s="43" t="e">
        <f t="shared" si="7"/>
        <v>#DIV/0!</v>
      </c>
      <c r="AF88" s="43" t="e">
        <f t="shared" si="8"/>
        <v>#DIV/0!</v>
      </c>
      <c r="AG88" s="43" t="e">
        <f t="shared" si="9"/>
        <v>#DIV/0!</v>
      </c>
      <c r="AH88" s="38"/>
      <c r="AI88" s="38"/>
      <c r="AJ88" s="38"/>
      <c r="AK88" s="38"/>
      <c r="AL88" s="38"/>
      <c r="AM88" s="48"/>
      <c r="AN88" s="42"/>
      <c r="AO88" s="42"/>
      <c r="AP88" s="42"/>
      <c r="AQ88" s="42"/>
      <c r="AR88" s="42"/>
      <c r="AS88" s="50"/>
      <c r="AT88" s="39"/>
      <c r="AU88" s="39"/>
      <c r="AV88" s="49"/>
      <c r="AW88" s="39"/>
      <c r="AX88" s="39">
        <v>10</v>
      </c>
      <c r="AY88" s="30">
        <f>(J88*10)/100</f>
        <v>0</v>
      </c>
      <c r="AZ88" s="42"/>
    </row>
    <row r="89" spans="1:52" ht="15.75" customHeight="1" x14ac:dyDescent="0.25">
      <c r="A89" s="46"/>
      <c r="B89" s="38"/>
      <c r="C89" s="39"/>
      <c r="D89" s="37"/>
      <c r="E89" s="42"/>
      <c r="F89" s="38"/>
      <c r="G89" s="39"/>
      <c r="H89" s="42"/>
      <c r="I89" s="42"/>
      <c r="J89" s="43">
        <v>0</v>
      </c>
      <c r="K89" s="43">
        <v>0</v>
      </c>
      <c r="L89" s="56">
        <v>0</v>
      </c>
      <c r="M89" s="56">
        <v>0</v>
      </c>
      <c r="N89" s="44" t="e">
        <f t="shared" si="0"/>
        <v>#DIV/0!</v>
      </c>
      <c r="O89" s="45">
        <f t="shared" si="1"/>
        <v>0</v>
      </c>
      <c r="P89" s="43"/>
      <c r="Q89" s="45">
        <f t="shared" si="2"/>
        <v>0</v>
      </c>
      <c r="R89" s="43">
        <v>0</v>
      </c>
      <c r="S89" s="30">
        <f t="shared" si="3"/>
        <v>0</v>
      </c>
      <c r="T89" s="30">
        <f t="shared" si="3"/>
        <v>0</v>
      </c>
      <c r="U89" s="30" t="e">
        <f>T89/X89</f>
        <v>#DIV/0!</v>
      </c>
      <c r="V89" s="43" t="e">
        <f>T89/X89</f>
        <v>#DIV/0!</v>
      </c>
      <c r="W89" s="43" t="e">
        <f t="shared" si="4"/>
        <v>#DIV/0!</v>
      </c>
      <c r="X89" s="43">
        <f t="shared" si="5"/>
        <v>0</v>
      </c>
      <c r="Y89" s="43">
        <v>0</v>
      </c>
      <c r="Z89" s="43">
        <v>0</v>
      </c>
      <c r="AA89" s="43">
        <v>0</v>
      </c>
      <c r="AB89" s="43"/>
      <c r="AC89" s="43" t="e">
        <f t="shared" si="6"/>
        <v>#DIV/0!</v>
      </c>
      <c r="AD89" s="43"/>
      <c r="AE89" s="43" t="e">
        <f t="shared" si="7"/>
        <v>#DIV/0!</v>
      </c>
      <c r="AF89" s="43" t="e">
        <f t="shared" si="8"/>
        <v>#DIV/0!</v>
      </c>
      <c r="AG89" s="43" t="e">
        <f t="shared" si="9"/>
        <v>#DIV/0!</v>
      </c>
      <c r="AH89" s="38"/>
      <c r="AI89" s="38"/>
      <c r="AJ89" s="38"/>
      <c r="AK89" s="38"/>
      <c r="AL89" s="38"/>
      <c r="AM89" s="48"/>
      <c r="AN89" s="42"/>
      <c r="AO89" s="42"/>
      <c r="AP89" s="42"/>
      <c r="AQ89" s="42"/>
      <c r="AR89" s="42"/>
      <c r="AS89" s="50"/>
      <c r="AT89" s="39"/>
      <c r="AU89" s="39"/>
      <c r="AV89" s="49"/>
      <c r="AW89" s="39"/>
      <c r="AX89" s="39">
        <v>10</v>
      </c>
      <c r="AY89" s="30">
        <f>(J89*10)/100</f>
        <v>0</v>
      </c>
      <c r="AZ89" s="42"/>
    </row>
    <row r="90" spans="1:52" ht="15.75" customHeight="1" x14ac:dyDescent="0.25">
      <c r="A90" s="46"/>
      <c r="B90" s="38"/>
      <c r="C90" s="39"/>
      <c r="D90" s="37"/>
      <c r="E90" s="42"/>
      <c r="F90" s="38"/>
      <c r="G90" s="39"/>
      <c r="H90" s="42"/>
      <c r="I90" s="42"/>
      <c r="J90" s="43">
        <v>0</v>
      </c>
      <c r="K90" s="43">
        <v>0</v>
      </c>
      <c r="L90" s="56">
        <v>0</v>
      </c>
      <c r="M90" s="56">
        <v>0</v>
      </c>
      <c r="N90" s="44" t="e">
        <f t="shared" si="0"/>
        <v>#DIV/0!</v>
      </c>
      <c r="O90" s="45">
        <f t="shared" si="1"/>
        <v>0</v>
      </c>
      <c r="P90" s="43"/>
      <c r="Q90" s="45">
        <f t="shared" si="2"/>
        <v>0</v>
      </c>
      <c r="R90" s="43">
        <v>0</v>
      </c>
      <c r="S90" s="30">
        <f t="shared" si="3"/>
        <v>0</v>
      </c>
      <c r="T90" s="30">
        <f t="shared" si="3"/>
        <v>0</v>
      </c>
      <c r="U90" s="30" t="e">
        <f>T90/X90</f>
        <v>#DIV/0!</v>
      </c>
      <c r="V90" s="43" t="e">
        <f>T90/X90</f>
        <v>#DIV/0!</v>
      </c>
      <c r="W90" s="43" t="e">
        <f t="shared" si="4"/>
        <v>#DIV/0!</v>
      </c>
      <c r="X90" s="43">
        <f t="shared" si="5"/>
        <v>0</v>
      </c>
      <c r="Y90" s="43">
        <v>0</v>
      </c>
      <c r="Z90" s="43">
        <v>0</v>
      </c>
      <c r="AA90" s="43">
        <v>0</v>
      </c>
      <c r="AB90" s="43"/>
      <c r="AC90" s="43" t="e">
        <f t="shared" si="6"/>
        <v>#DIV/0!</v>
      </c>
      <c r="AD90" s="43"/>
      <c r="AE90" s="43" t="e">
        <f t="shared" si="7"/>
        <v>#DIV/0!</v>
      </c>
      <c r="AF90" s="43" t="e">
        <f t="shared" si="8"/>
        <v>#DIV/0!</v>
      </c>
      <c r="AG90" s="43" t="e">
        <f t="shared" si="9"/>
        <v>#DIV/0!</v>
      </c>
      <c r="AH90" s="38"/>
      <c r="AI90" s="38"/>
      <c r="AJ90" s="38"/>
      <c r="AK90" s="38"/>
      <c r="AL90" s="38"/>
      <c r="AM90" s="48"/>
      <c r="AN90" s="42"/>
      <c r="AO90" s="42"/>
      <c r="AP90" s="42"/>
      <c r="AQ90" s="42"/>
      <c r="AR90" s="42"/>
      <c r="AS90" s="50"/>
      <c r="AT90" s="39"/>
      <c r="AU90" s="39"/>
      <c r="AV90" s="49"/>
      <c r="AW90" s="39"/>
      <c r="AX90" s="39">
        <v>10</v>
      </c>
      <c r="AY90" s="30">
        <f>(J90*10)/100</f>
        <v>0</v>
      </c>
      <c r="AZ90" s="42"/>
    </row>
    <row r="91" spans="1:52" ht="15.75" customHeight="1" x14ac:dyDescent="0.25">
      <c r="A91" s="46"/>
      <c r="B91" s="38"/>
      <c r="C91" s="39"/>
      <c r="D91" s="37"/>
      <c r="E91" s="42"/>
      <c r="F91" s="38"/>
      <c r="G91" s="39"/>
      <c r="H91" s="42"/>
      <c r="I91" s="42"/>
      <c r="J91" s="43">
        <v>0</v>
      </c>
      <c r="K91" s="43">
        <v>0</v>
      </c>
      <c r="L91" s="56">
        <v>0</v>
      </c>
      <c r="M91" s="56">
        <v>0</v>
      </c>
      <c r="N91" s="44" t="e">
        <f t="shared" si="0"/>
        <v>#DIV/0!</v>
      </c>
      <c r="O91" s="45">
        <f t="shared" si="1"/>
        <v>0</v>
      </c>
      <c r="P91" s="43"/>
      <c r="Q91" s="45">
        <f t="shared" si="2"/>
        <v>0</v>
      </c>
      <c r="R91" s="43">
        <v>0</v>
      </c>
      <c r="S91" s="30">
        <f t="shared" si="3"/>
        <v>0</v>
      </c>
      <c r="T91" s="30">
        <f t="shared" si="3"/>
        <v>0</v>
      </c>
      <c r="U91" s="30" t="e">
        <f>T91/X91</f>
        <v>#DIV/0!</v>
      </c>
      <c r="V91" s="43" t="e">
        <f>T91/X91</f>
        <v>#DIV/0!</v>
      </c>
      <c r="W91" s="43" t="e">
        <f t="shared" si="4"/>
        <v>#DIV/0!</v>
      </c>
      <c r="X91" s="43">
        <f t="shared" si="5"/>
        <v>0</v>
      </c>
      <c r="Y91" s="43">
        <v>0</v>
      </c>
      <c r="Z91" s="43">
        <v>0</v>
      </c>
      <c r="AA91" s="43">
        <v>0</v>
      </c>
      <c r="AB91" s="43"/>
      <c r="AC91" s="43" t="e">
        <f t="shared" si="6"/>
        <v>#DIV/0!</v>
      </c>
      <c r="AD91" s="43"/>
      <c r="AE91" s="43" t="e">
        <f t="shared" si="7"/>
        <v>#DIV/0!</v>
      </c>
      <c r="AF91" s="43" t="e">
        <f t="shared" si="8"/>
        <v>#DIV/0!</v>
      </c>
      <c r="AG91" s="43" t="e">
        <f t="shared" si="9"/>
        <v>#DIV/0!</v>
      </c>
      <c r="AH91" s="38"/>
      <c r="AI91" s="38"/>
      <c r="AJ91" s="38"/>
      <c r="AK91" s="38"/>
      <c r="AL91" s="38"/>
      <c r="AM91" s="48"/>
      <c r="AN91" s="42"/>
      <c r="AO91" s="42"/>
      <c r="AP91" s="42"/>
      <c r="AQ91" s="42"/>
      <c r="AR91" s="42"/>
      <c r="AS91" s="50"/>
      <c r="AT91" s="39"/>
      <c r="AU91" s="39"/>
      <c r="AV91" s="49"/>
      <c r="AW91" s="39"/>
      <c r="AX91" s="39">
        <v>10</v>
      </c>
      <c r="AY91" s="30">
        <f>(J91*10)/100</f>
        <v>0</v>
      </c>
      <c r="AZ91" s="42"/>
    </row>
    <row r="92" spans="1:52" ht="15.75" customHeight="1" x14ac:dyDescent="0.25">
      <c r="A92" s="46"/>
      <c r="B92" s="38"/>
      <c r="C92" s="39"/>
      <c r="D92" s="37"/>
      <c r="E92" s="42"/>
      <c r="F92" s="38"/>
      <c r="G92" s="39"/>
      <c r="H92" s="42"/>
      <c r="I92" s="42"/>
      <c r="J92" s="43">
        <v>0</v>
      </c>
      <c r="K92" s="43">
        <v>0</v>
      </c>
      <c r="L92" s="56">
        <v>0</v>
      </c>
      <c r="M92" s="56">
        <v>0</v>
      </c>
      <c r="N92" s="44" t="e">
        <f t="shared" si="0"/>
        <v>#DIV/0!</v>
      </c>
      <c r="O92" s="45">
        <f t="shared" si="1"/>
        <v>0</v>
      </c>
      <c r="P92" s="43"/>
      <c r="Q92" s="45">
        <f t="shared" si="2"/>
        <v>0</v>
      </c>
      <c r="R92" s="43">
        <v>0</v>
      </c>
      <c r="S92" s="30">
        <f t="shared" si="3"/>
        <v>0</v>
      </c>
      <c r="T92" s="30">
        <f t="shared" si="3"/>
        <v>0</v>
      </c>
      <c r="U92" s="30" t="e">
        <f>T92/X92</f>
        <v>#DIV/0!</v>
      </c>
      <c r="V92" s="43" t="e">
        <f>T92/X92</f>
        <v>#DIV/0!</v>
      </c>
      <c r="W92" s="43" t="e">
        <f t="shared" si="4"/>
        <v>#DIV/0!</v>
      </c>
      <c r="X92" s="43">
        <f t="shared" si="5"/>
        <v>0</v>
      </c>
      <c r="Y92" s="43">
        <v>0</v>
      </c>
      <c r="Z92" s="43">
        <v>0</v>
      </c>
      <c r="AA92" s="43">
        <v>0</v>
      </c>
      <c r="AB92" s="43"/>
      <c r="AC92" s="43" t="e">
        <f t="shared" si="6"/>
        <v>#DIV/0!</v>
      </c>
      <c r="AD92" s="43"/>
      <c r="AE92" s="43" t="e">
        <f t="shared" si="7"/>
        <v>#DIV/0!</v>
      </c>
      <c r="AF92" s="43" t="e">
        <f t="shared" si="8"/>
        <v>#DIV/0!</v>
      </c>
      <c r="AG92" s="43" t="e">
        <f t="shared" si="9"/>
        <v>#DIV/0!</v>
      </c>
      <c r="AH92" s="38"/>
      <c r="AI92" s="38"/>
      <c r="AJ92" s="38"/>
      <c r="AK92" s="38"/>
      <c r="AL92" s="38"/>
      <c r="AM92" s="48"/>
      <c r="AN92" s="42"/>
      <c r="AO92" s="42"/>
      <c r="AP92" s="42"/>
      <c r="AQ92" s="42"/>
      <c r="AR92" s="42"/>
      <c r="AS92" s="50"/>
      <c r="AT92" s="39"/>
      <c r="AU92" s="39"/>
      <c r="AV92" s="49"/>
      <c r="AW92" s="39"/>
      <c r="AX92" s="39">
        <v>10</v>
      </c>
      <c r="AY92" s="30">
        <f>(J92*10)/100</f>
        <v>0</v>
      </c>
      <c r="AZ92" s="42"/>
    </row>
    <row r="93" spans="1:52" ht="15.75" customHeight="1" x14ac:dyDescent="0.25">
      <c r="A93" s="46"/>
      <c r="B93" s="38"/>
      <c r="C93" s="39"/>
      <c r="D93" s="37"/>
      <c r="E93" s="42"/>
      <c r="F93" s="38"/>
      <c r="G93" s="39"/>
      <c r="H93" s="42"/>
      <c r="I93" s="42"/>
      <c r="J93" s="43">
        <v>0</v>
      </c>
      <c r="K93" s="43">
        <v>0</v>
      </c>
      <c r="L93" s="56">
        <v>0</v>
      </c>
      <c r="M93" s="56">
        <v>0</v>
      </c>
      <c r="N93" s="44" t="e">
        <f t="shared" si="0"/>
        <v>#DIV/0!</v>
      </c>
      <c r="O93" s="45">
        <f t="shared" si="1"/>
        <v>0</v>
      </c>
      <c r="P93" s="43"/>
      <c r="Q93" s="45">
        <f t="shared" si="2"/>
        <v>0</v>
      </c>
      <c r="R93" s="43">
        <v>0</v>
      </c>
      <c r="S93" s="30">
        <f t="shared" si="3"/>
        <v>0</v>
      </c>
      <c r="T93" s="30">
        <f t="shared" si="3"/>
        <v>0</v>
      </c>
      <c r="U93" s="30" t="e">
        <f>T93/X93</f>
        <v>#DIV/0!</v>
      </c>
      <c r="V93" s="43" t="e">
        <f>T93/X93</f>
        <v>#DIV/0!</v>
      </c>
      <c r="W93" s="43" t="e">
        <f t="shared" si="4"/>
        <v>#DIV/0!</v>
      </c>
      <c r="X93" s="43">
        <f t="shared" si="5"/>
        <v>0</v>
      </c>
      <c r="Y93" s="43">
        <v>0</v>
      </c>
      <c r="Z93" s="43">
        <v>0</v>
      </c>
      <c r="AA93" s="43">
        <v>0</v>
      </c>
      <c r="AB93" s="43"/>
      <c r="AC93" s="43" t="e">
        <f t="shared" si="6"/>
        <v>#DIV/0!</v>
      </c>
      <c r="AD93" s="43"/>
      <c r="AE93" s="43" t="e">
        <f t="shared" si="7"/>
        <v>#DIV/0!</v>
      </c>
      <c r="AF93" s="43" t="e">
        <f t="shared" si="8"/>
        <v>#DIV/0!</v>
      </c>
      <c r="AG93" s="43" t="e">
        <f t="shared" si="9"/>
        <v>#DIV/0!</v>
      </c>
      <c r="AH93" s="38"/>
      <c r="AI93" s="38"/>
      <c r="AJ93" s="38"/>
      <c r="AK93" s="38"/>
      <c r="AL93" s="38"/>
      <c r="AM93" s="48"/>
      <c r="AN93" s="42"/>
      <c r="AO93" s="42"/>
      <c r="AP93" s="42"/>
      <c r="AQ93" s="42"/>
      <c r="AR93" s="42"/>
      <c r="AS93" s="50"/>
      <c r="AT93" s="39"/>
      <c r="AU93" s="39"/>
      <c r="AV93" s="49"/>
      <c r="AW93" s="39"/>
      <c r="AX93" s="39">
        <v>10</v>
      </c>
      <c r="AY93" s="30">
        <f>(J93*10)/100</f>
        <v>0</v>
      </c>
      <c r="AZ93" s="42"/>
    </row>
    <row r="94" spans="1:52" ht="15.75" customHeight="1" x14ac:dyDescent="0.25">
      <c r="A94" s="46"/>
      <c r="B94" s="38"/>
      <c r="C94" s="39"/>
      <c r="D94" s="37"/>
      <c r="E94" s="42"/>
      <c r="F94" s="38"/>
      <c r="G94" s="39"/>
      <c r="H94" s="42"/>
      <c r="I94" s="42"/>
      <c r="J94" s="43">
        <v>0</v>
      </c>
      <c r="K94" s="43">
        <v>0</v>
      </c>
      <c r="L94" s="56">
        <v>0</v>
      </c>
      <c r="M94" s="56">
        <v>0</v>
      </c>
      <c r="N94" s="44" t="e">
        <f t="shared" si="0"/>
        <v>#DIV/0!</v>
      </c>
      <c r="O94" s="45">
        <f t="shared" si="1"/>
        <v>0</v>
      </c>
      <c r="P94" s="43"/>
      <c r="Q94" s="45">
        <f t="shared" si="2"/>
        <v>0</v>
      </c>
      <c r="R94" s="43">
        <v>0</v>
      </c>
      <c r="S94" s="30">
        <f t="shared" si="3"/>
        <v>0</v>
      </c>
      <c r="T94" s="30">
        <f t="shared" si="3"/>
        <v>0</v>
      </c>
      <c r="U94" s="30" t="e">
        <f>T94/X94</f>
        <v>#DIV/0!</v>
      </c>
      <c r="V94" s="43" t="e">
        <f>T94/X94</f>
        <v>#DIV/0!</v>
      </c>
      <c r="W94" s="43" t="e">
        <f t="shared" si="4"/>
        <v>#DIV/0!</v>
      </c>
      <c r="X94" s="43">
        <f t="shared" si="5"/>
        <v>0</v>
      </c>
      <c r="Y94" s="43">
        <v>0</v>
      </c>
      <c r="Z94" s="43">
        <v>0</v>
      </c>
      <c r="AA94" s="43">
        <v>0</v>
      </c>
      <c r="AB94" s="43"/>
      <c r="AC94" s="43" t="e">
        <f t="shared" si="6"/>
        <v>#DIV/0!</v>
      </c>
      <c r="AD94" s="43"/>
      <c r="AE94" s="43" t="e">
        <f t="shared" si="7"/>
        <v>#DIV/0!</v>
      </c>
      <c r="AF94" s="43" t="e">
        <f t="shared" si="8"/>
        <v>#DIV/0!</v>
      </c>
      <c r="AG94" s="43" t="e">
        <f t="shared" si="9"/>
        <v>#DIV/0!</v>
      </c>
      <c r="AH94" s="38"/>
      <c r="AI94" s="38"/>
      <c r="AJ94" s="38"/>
      <c r="AK94" s="38"/>
      <c r="AL94" s="38"/>
      <c r="AM94" s="48"/>
      <c r="AN94" s="42"/>
      <c r="AO94" s="42"/>
      <c r="AP94" s="42"/>
      <c r="AQ94" s="42"/>
      <c r="AR94" s="42"/>
      <c r="AS94" s="50"/>
      <c r="AT94" s="39"/>
      <c r="AU94" s="39"/>
      <c r="AV94" s="49"/>
      <c r="AW94" s="39"/>
      <c r="AX94" s="39">
        <v>10</v>
      </c>
      <c r="AY94" s="30">
        <f>(J94*10)/100</f>
        <v>0</v>
      </c>
      <c r="AZ94" s="42"/>
    </row>
    <row r="95" spans="1:52" ht="15.75" customHeight="1" x14ac:dyDescent="0.25">
      <c r="A95" s="46"/>
      <c r="B95" s="38"/>
      <c r="C95" s="39"/>
      <c r="D95" s="37"/>
      <c r="E95" s="42"/>
      <c r="F95" s="38"/>
      <c r="G95" s="39"/>
      <c r="H95" s="42"/>
      <c r="I95" s="42"/>
      <c r="J95" s="43">
        <v>0</v>
      </c>
      <c r="K95" s="43">
        <v>0</v>
      </c>
      <c r="L95" s="56">
        <v>0</v>
      </c>
      <c r="M95" s="56">
        <v>0</v>
      </c>
      <c r="N95" s="44" t="e">
        <f t="shared" si="0"/>
        <v>#DIV/0!</v>
      </c>
      <c r="O95" s="45">
        <f t="shared" si="1"/>
        <v>0</v>
      </c>
      <c r="P95" s="43"/>
      <c r="Q95" s="45">
        <f t="shared" si="2"/>
        <v>0</v>
      </c>
      <c r="R95" s="43">
        <v>0</v>
      </c>
      <c r="S95" s="30">
        <f t="shared" si="3"/>
        <v>0</v>
      </c>
      <c r="T95" s="30">
        <f t="shared" si="3"/>
        <v>0</v>
      </c>
      <c r="U95" s="30" t="e">
        <f>T95/X95</f>
        <v>#DIV/0!</v>
      </c>
      <c r="V95" s="43" t="e">
        <f>T95/X95</f>
        <v>#DIV/0!</v>
      </c>
      <c r="W95" s="43" t="e">
        <f t="shared" si="4"/>
        <v>#DIV/0!</v>
      </c>
      <c r="X95" s="43">
        <f t="shared" si="5"/>
        <v>0</v>
      </c>
      <c r="Y95" s="43">
        <v>0</v>
      </c>
      <c r="Z95" s="43">
        <v>0</v>
      </c>
      <c r="AA95" s="43">
        <v>0</v>
      </c>
      <c r="AB95" s="43"/>
      <c r="AC95" s="43" t="e">
        <f t="shared" si="6"/>
        <v>#DIV/0!</v>
      </c>
      <c r="AD95" s="43"/>
      <c r="AE95" s="43" t="e">
        <f t="shared" si="7"/>
        <v>#DIV/0!</v>
      </c>
      <c r="AF95" s="43" t="e">
        <f t="shared" si="8"/>
        <v>#DIV/0!</v>
      </c>
      <c r="AG95" s="43" t="e">
        <f t="shared" si="9"/>
        <v>#DIV/0!</v>
      </c>
      <c r="AH95" s="38"/>
      <c r="AI95" s="38"/>
      <c r="AJ95" s="38"/>
      <c r="AK95" s="38"/>
      <c r="AL95" s="38"/>
      <c r="AM95" s="48"/>
      <c r="AN95" s="42"/>
      <c r="AO95" s="42"/>
      <c r="AP95" s="42"/>
      <c r="AQ95" s="42"/>
      <c r="AR95" s="42"/>
      <c r="AS95" s="50"/>
      <c r="AT95" s="39"/>
      <c r="AU95" s="39"/>
      <c r="AV95" s="49"/>
      <c r="AW95" s="39"/>
      <c r="AX95" s="39">
        <v>10</v>
      </c>
      <c r="AY95" s="30">
        <f>(J95*10)/100</f>
        <v>0</v>
      </c>
      <c r="AZ95" s="42"/>
    </row>
    <row r="96" spans="1:52" x14ac:dyDescent="0.25">
      <c r="AE96" s="43">
        <f t="shared" si="7"/>
        <v>0</v>
      </c>
    </row>
    <row r="97" spans="31:31" x14ac:dyDescent="0.25">
      <c r="AE97" s="43">
        <f t="shared" si="7"/>
        <v>0</v>
      </c>
    </row>
    <row r="98" spans="31:31" x14ac:dyDescent="0.25">
      <c r="AE98" s="43">
        <f t="shared" si="7"/>
        <v>0</v>
      </c>
    </row>
    <row r="99" spans="31:31" x14ac:dyDescent="0.25">
      <c r="AE99" s="43">
        <f t="shared" si="7"/>
        <v>0</v>
      </c>
    </row>
    <row r="100" spans="31:31" x14ac:dyDescent="0.25">
      <c r="AE100" s="43">
        <f t="shared" si="7"/>
        <v>0</v>
      </c>
    </row>
    <row r="101" spans="31:31" x14ac:dyDescent="0.25">
      <c r="AE101" s="43">
        <f t="shared" si="7"/>
        <v>0</v>
      </c>
    </row>
    <row r="102" spans="31:31" x14ac:dyDescent="0.25">
      <c r="AE102" s="43">
        <f t="shared" si="7"/>
        <v>0</v>
      </c>
    </row>
    <row r="103" spans="31:31" x14ac:dyDescent="0.25">
      <c r="AE103" s="43">
        <f t="shared" si="7"/>
        <v>0</v>
      </c>
    </row>
    <row r="104" spans="31:31" x14ac:dyDescent="0.25">
      <c r="AE104" s="43">
        <f t="shared" si="7"/>
        <v>0</v>
      </c>
    </row>
    <row r="105" spans="31:31" x14ac:dyDescent="0.25">
      <c r="AE105" s="43">
        <f t="shared" si="7"/>
        <v>0</v>
      </c>
    </row>
    <row r="106" spans="31:31" x14ac:dyDescent="0.25">
      <c r="AE106" s="43">
        <f t="shared" si="7"/>
        <v>0</v>
      </c>
    </row>
    <row r="107" spans="31:31" x14ac:dyDescent="0.25">
      <c r="AE107" s="43">
        <f t="shared" si="7"/>
        <v>0</v>
      </c>
    </row>
    <row r="108" spans="31:31" x14ac:dyDescent="0.25">
      <c r="AE108" s="43">
        <f t="shared" si="7"/>
        <v>0</v>
      </c>
    </row>
    <row r="109" spans="31:31" x14ac:dyDescent="0.25">
      <c r="AE109" s="43">
        <f t="shared" si="7"/>
        <v>0</v>
      </c>
    </row>
    <row r="110" spans="31:31" x14ac:dyDescent="0.25">
      <c r="AE110" s="43">
        <f t="shared" si="7"/>
        <v>0</v>
      </c>
    </row>
    <row r="111" spans="31:31" x14ac:dyDescent="0.25">
      <c r="AE111" s="43">
        <f t="shared" si="7"/>
        <v>0</v>
      </c>
    </row>
    <row r="112" spans="31:31" x14ac:dyDescent="0.25">
      <c r="AE112" s="43">
        <f t="shared" si="7"/>
        <v>0</v>
      </c>
    </row>
    <row r="113" spans="31:31" x14ac:dyDescent="0.25">
      <c r="AE113" s="43">
        <f t="shared" si="7"/>
        <v>0</v>
      </c>
    </row>
    <row r="114" spans="31:31" x14ac:dyDescent="0.25">
      <c r="AE114" s="43">
        <f t="shared" si="7"/>
        <v>0</v>
      </c>
    </row>
    <row r="115" spans="31:31" x14ac:dyDescent="0.25">
      <c r="AE115" s="43">
        <f t="shared" si="7"/>
        <v>0</v>
      </c>
    </row>
    <row r="116" spans="31:31" x14ac:dyDescent="0.25">
      <c r="AE116" s="43">
        <f t="shared" si="7"/>
        <v>0</v>
      </c>
    </row>
    <row r="117" spans="31:31" x14ac:dyDescent="0.25">
      <c r="AE117" s="43">
        <f t="shared" si="7"/>
        <v>0</v>
      </c>
    </row>
    <row r="118" spans="31:31" x14ac:dyDescent="0.25">
      <c r="AE118" s="43">
        <f t="shared" si="7"/>
        <v>0</v>
      </c>
    </row>
    <row r="119" spans="31:31" x14ac:dyDescent="0.25">
      <c r="AE119" s="43">
        <f t="shared" si="7"/>
        <v>0</v>
      </c>
    </row>
    <row r="120" spans="31:31" x14ac:dyDescent="0.25">
      <c r="AE120" s="43">
        <f t="shared" si="7"/>
        <v>0</v>
      </c>
    </row>
    <row r="121" spans="31:31" x14ac:dyDescent="0.25">
      <c r="AE121" s="43">
        <f t="shared" si="7"/>
        <v>0</v>
      </c>
    </row>
    <row r="122" spans="31:31" x14ac:dyDescent="0.25">
      <c r="AE122" s="43">
        <f t="shared" si="7"/>
        <v>0</v>
      </c>
    </row>
    <row r="123" spans="31:31" x14ac:dyDescent="0.25">
      <c r="AE123" s="43">
        <f t="shared" si="7"/>
        <v>0</v>
      </c>
    </row>
    <row r="124" spans="31:31" x14ac:dyDescent="0.25">
      <c r="AE124" s="43">
        <f t="shared" si="7"/>
        <v>0</v>
      </c>
    </row>
    <row r="125" spans="31:31" x14ac:dyDescent="0.25">
      <c r="AE125" s="43">
        <f t="shared" si="7"/>
        <v>0</v>
      </c>
    </row>
    <row r="126" spans="31:31" x14ac:dyDescent="0.25">
      <c r="AE126" s="43">
        <f t="shared" si="7"/>
        <v>0</v>
      </c>
    </row>
    <row r="127" spans="31:31" x14ac:dyDescent="0.25">
      <c r="AE127" s="43">
        <f t="shared" si="7"/>
        <v>0</v>
      </c>
    </row>
    <row r="128" spans="31:31" x14ac:dyDescent="0.25">
      <c r="AE128" s="43">
        <f t="shared" si="7"/>
        <v>0</v>
      </c>
    </row>
    <row r="129" spans="31:31" x14ac:dyDescent="0.25">
      <c r="AE129" s="43">
        <f t="shared" si="7"/>
        <v>0</v>
      </c>
    </row>
    <row r="130" spans="31:31" x14ac:dyDescent="0.25">
      <c r="AE130" s="43">
        <f t="shared" si="7"/>
        <v>0</v>
      </c>
    </row>
    <row r="131" spans="31:31" x14ac:dyDescent="0.25">
      <c r="AE131" s="43">
        <f t="shared" ref="AE131:AE194" si="10">AD131*V131</f>
        <v>0</v>
      </c>
    </row>
    <row r="132" spans="31:31" x14ac:dyDescent="0.25">
      <c r="AE132" s="43">
        <f t="shared" si="10"/>
        <v>0</v>
      </c>
    </row>
    <row r="133" spans="31:31" x14ac:dyDescent="0.25">
      <c r="AE133" s="43">
        <f t="shared" si="10"/>
        <v>0</v>
      </c>
    </row>
    <row r="134" spans="31:31" x14ac:dyDescent="0.25">
      <c r="AE134" s="43">
        <f t="shared" si="10"/>
        <v>0</v>
      </c>
    </row>
    <row r="135" spans="31:31" x14ac:dyDescent="0.25">
      <c r="AE135" s="43">
        <f t="shared" si="10"/>
        <v>0</v>
      </c>
    </row>
    <row r="136" spans="31:31" x14ac:dyDescent="0.25">
      <c r="AE136" s="43">
        <f t="shared" si="10"/>
        <v>0</v>
      </c>
    </row>
    <row r="137" spans="31:31" x14ac:dyDescent="0.25">
      <c r="AE137" s="43">
        <f t="shared" si="10"/>
        <v>0</v>
      </c>
    </row>
    <row r="138" spans="31:31" x14ac:dyDescent="0.25">
      <c r="AE138" s="43">
        <f t="shared" si="10"/>
        <v>0</v>
      </c>
    </row>
    <row r="139" spans="31:31" x14ac:dyDescent="0.25">
      <c r="AE139" s="43">
        <f t="shared" si="10"/>
        <v>0</v>
      </c>
    </row>
    <row r="140" spans="31:31" x14ac:dyDescent="0.25">
      <c r="AE140" s="43">
        <f t="shared" si="10"/>
        <v>0</v>
      </c>
    </row>
    <row r="141" spans="31:31" x14ac:dyDescent="0.25">
      <c r="AE141" s="43">
        <f t="shared" si="10"/>
        <v>0</v>
      </c>
    </row>
    <row r="142" spans="31:31" x14ac:dyDescent="0.25">
      <c r="AE142" s="43">
        <f t="shared" si="10"/>
        <v>0</v>
      </c>
    </row>
    <row r="143" spans="31:31" x14ac:dyDescent="0.25">
      <c r="AE143" s="43">
        <f t="shared" si="10"/>
        <v>0</v>
      </c>
    </row>
    <row r="144" spans="31:31" x14ac:dyDescent="0.25">
      <c r="AE144" s="43">
        <f t="shared" si="10"/>
        <v>0</v>
      </c>
    </row>
    <row r="145" spans="31:31" x14ac:dyDescent="0.25">
      <c r="AE145" s="43">
        <f t="shared" si="10"/>
        <v>0</v>
      </c>
    </row>
    <row r="146" spans="31:31" x14ac:dyDescent="0.25">
      <c r="AE146" s="43">
        <f t="shared" si="10"/>
        <v>0</v>
      </c>
    </row>
    <row r="147" spans="31:31" x14ac:dyDescent="0.25">
      <c r="AE147" s="43">
        <f t="shared" si="10"/>
        <v>0</v>
      </c>
    </row>
    <row r="148" spans="31:31" x14ac:dyDescent="0.25">
      <c r="AE148" s="43">
        <f t="shared" si="10"/>
        <v>0</v>
      </c>
    </row>
    <row r="149" spans="31:31" x14ac:dyDescent="0.25">
      <c r="AE149" s="43">
        <f t="shared" si="10"/>
        <v>0</v>
      </c>
    </row>
    <row r="150" spans="31:31" x14ac:dyDescent="0.25">
      <c r="AE150" s="43">
        <f t="shared" si="10"/>
        <v>0</v>
      </c>
    </row>
    <row r="151" spans="31:31" x14ac:dyDescent="0.25">
      <c r="AE151" s="43">
        <f t="shared" si="10"/>
        <v>0</v>
      </c>
    </row>
    <row r="152" spans="31:31" x14ac:dyDescent="0.25">
      <c r="AE152" s="43">
        <f t="shared" si="10"/>
        <v>0</v>
      </c>
    </row>
    <row r="153" spans="31:31" x14ac:dyDescent="0.25">
      <c r="AE153" s="43">
        <f t="shared" si="10"/>
        <v>0</v>
      </c>
    </row>
    <row r="154" spans="31:31" x14ac:dyDescent="0.25">
      <c r="AE154" s="43">
        <f t="shared" si="10"/>
        <v>0</v>
      </c>
    </row>
    <row r="155" spans="31:31" x14ac:dyDescent="0.25">
      <c r="AE155" s="43">
        <f t="shared" si="10"/>
        <v>0</v>
      </c>
    </row>
    <row r="156" spans="31:31" x14ac:dyDescent="0.25">
      <c r="AE156" s="43">
        <f t="shared" si="10"/>
        <v>0</v>
      </c>
    </row>
    <row r="157" spans="31:31" x14ac:dyDescent="0.25">
      <c r="AE157" s="43">
        <f t="shared" si="10"/>
        <v>0</v>
      </c>
    </row>
    <row r="158" spans="31:31" x14ac:dyDescent="0.25">
      <c r="AE158" s="43">
        <f t="shared" si="10"/>
        <v>0</v>
      </c>
    </row>
    <row r="159" spans="31:31" x14ac:dyDescent="0.25">
      <c r="AE159" s="43">
        <f t="shared" si="10"/>
        <v>0</v>
      </c>
    </row>
    <row r="160" spans="31:31" x14ac:dyDescent="0.25">
      <c r="AE160" s="43">
        <f t="shared" si="10"/>
        <v>0</v>
      </c>
    </row>
    <row r="161" spans="31:31" x14ac:dyDescent="0.25">
      <c r="AE161" s="43">
        <f t="shared" si="10"/>
        <v>0</v>
      </c>
    </row>
    <row r="162" spans="31:31" x14ac:dyDescent="0.25">
      <c r="AE162" s="43">
        <f t="shared" si="10"/>
        <v>0</v>
      </c>
    </row>
    <row r="163" spans="31:31" x14ac:dyDescent="0.25">
      <c r="AE163" s="43">
        <f t="shared" si="10"/>
        <v>0</v>
      </c>
    </row>
    <row r="164" spans="31:31" x14ac:dyDescent="0.25">
      <c r="AE164" s="43">
        <f t="shared" si="10"/>
        <v>0</v>
      </c>
    </row>
    <row r="165" spans="31:31" x14ac:dyDescent="0.25">
      <c r="AE165" s="43">
        <f t="shared" si="10"/>
        <v>0</v>
      </c>
    </row>
    <row r="166" spans="31:31" x14ac:dyDescent="0.25">
      <c r="AE166" s="43">
        <f t="shared" si="10"/>
        <v>0</v>
      </c>
    </row>
    <row r="167" spans="31:31" x14ac:dyDescent="0.25">
      <c r="AE167" s="43">
        <f t="shared" si="10"/>
        <v>0</v>
      </c>
    </row>
    <row r="168" spans="31:31" x14ac:dyDescent="0.25">
      <c r="AE168" s="43">
        <f t="shared" si="10"/>
        <v>0</v>
      </c>
    </row>
    <row r="169" spans="31:31" x14ac:dyDescent="0.25">
      <c r="AE169" s="43">
        <f t="shared" si="10"/>
        <v>0</v>
      </c>
    </row>
    <row r="170" spans="31:31" x14ac:dyDescent="0.25">
      <c r="AE170" s="43">
        <f t="shared" si="10"/>
        <v>0</v>
      </c>
    </row>
    <row r="171" spans="31:31" x14ac:dyDescent="0.25">
      <c r="AE171" s="43">
        <f t="shared" si="10"/>
        <v>0</v>
      </c>
    </row>
    <row r="172" spans="31:31" x14ac:dyDescent="0.25">
      <c r="AE172" s="43">
        <f t="shared" si="10"/>
        <v>0</v>
      </c>
    </row>
    <row r="173" spans="31:31" x14ac:dyDescent="0.25">
      <c r="AE173" s="43">
        <f t="shared" si="10"/>
        <v>0</v>
      </c>
    </row>
    <row r="174" spans="31:31" x14ac:dyDescent="0.25">
      <c r="AE174" s="43">
        <f t="shared" si="10"/>
        <v>0</v>
      </c>
    </row>
    <row r="175" spans="31:31" x14ac:dyDescent="0.25">
      <c r="AE175" s="43">
        <f t="shared" si="10"/>
        <v>0</v>
      </c>
    </row>
    <row r="176" spans="31:31" x14ac:dyDescent="0.25">
      <c r="AE176" s="43">
        <f t="shared" si="10"/>
        <v>0</v>
      </c>
    </row>
    <row r="177" spans="31:31" x14ac:dyDescent="0.25">
      <c r="AE177" s="43">
        <f t="shared" si="10"/>
        <v>0</v>
      </c>
    </row>
    <row r="178" spans="31:31" x14ac:dyDescent="0.25">
      <c r="AE178" s="43">
        <f t="shared" si="10"/>
        <v>0</v>
      </c>
    </row>
    <row r="179" spans="31:31" x14ac:dyDescent="0.25">
      <c r="AE179" s="43">
        <f t="shared" si="10"/>
        <v>0</v>
      </c>
    </row>
    <row r="180" spans="31:31" x14ac:dyDescent="0.25">
      <c r="AE180" s="43">
        <f t="shared" si="10"/>
        <v>0</v>
      </c>
    </row>
    <row r="181" spans="31:31" x14ac:dyDescent="0.25">
      <c r="AE181" s="43">
        <f t="shared" si="10"/>
        <v>0</v>
      </c>
    </row>
    <row r="182" spans="31:31" x14ac:dyDescent="0.25">
      <c r="AE182" s="43">
        <f t="shared" si="10"/>
        <v>0</v>
      </c>
    </row>
    <row r="183" spans="31:31" x14ac:dyDescent="0.25">
      <c r="AE183" s="43">
        <f t="shared" si="10"/>
        <v>0</v>
      </c>
    </row>
    <row r="184" spans="31:31" x14ac:dyDescent="0.25">
      <c r="AE184" s="43">
        <f t="shared" si="10"/>
        <v>0</v>
      </c>
    </row>
    <row r="185" spans="31:31" x14ac:dyDescent="0.25">
      <c r="AE185" s="43">
        <f t="shared" si="10"/>
        <v>0</v>
      </c>
    </row>
  </sheetData>
  <autoFilter ref="A2:AZ95" xr:uid="{00000000-0009-0000-0000-000002000000}"/>
  <mergeCells count="24">
    <mergeCell ref="AR1:AR2"/>
    <mergeCell ref="AS1:AS2"/>
    <mergeCell ref="AT1:AT2"/>
    <mergeCell ref="AU1:AU2"/>
    <mergeCell ref="AV1:AV2"/>
    <mergeCell ref="AZ1:AZ2"/>
    <mergeCell ref="U1:U2"/>
    <mergeCell ref="V1:V2"/>
    <mergeCell ref="W1:W2"/>
    <mergeCell ref="AO1:AO2"/>
    <mergeCell ref="AP1:AP2"/>
    <mergeCell ref="AQ1:AQ2"/>
    <mergeCell ref="O1:O2"/>
    <mergeCell ref="P1:P2"/>
    <mergeCell ref="Q1:Q2"/>
    <mergeCell ref="R1:R2"/>
    <mergeCell ref="S1:S2"/>
    <mergeCell ref="T1:T2"/>
    <mergeCell ref="A1:A2"/>
    <mergeCell ref="B1:B2"/>
    <mergeCell ref="C1:C2"/>
    <mergeCell ref="I1:I2"/>
    <mergeCell ref="J1:J2"/>
    <mergeCell ref="N1:N2"/>
  </mergeCells>
  <hyperlinks>
    <hyperlink ref="E3" r:id="rId1" xr:uid="{221122F1-6450-4181-BDB6-4C18DB80C9CC}"/>
    <hyperlink ref="E4" r:id="rId2" xr:uid="{9249C3AC-60C5-4340-9222-116B3F31905D}"/>
    <hyperlink ref="E5" r:id="rId3" xr:uid="{40666F04-718C-4C97-B52E-31200D0EF2B8}"/>
    <hyperlink ref="E6" r:id="rId4" xr:uid="{DF43DFE8-56F6-4266-A7B3-A60F252085FB}"/>
    <hyperlink ref="E7" r:id="rId5" xr:uid="{9968D006-6DA9-4790-ABA2-AED3AB10E3A0}"/>
    <hyperlink ref="E8" r:id="rId6" xr:uid="{8BBF16A8-58CD-4021-9B11-FCD4B90D0879}"/>
    <hyperlink ref="E9" r:id="rId7" xr:uid="{F25071A9-6862-4818-82F0-4DAF8F9A096F}"/>
    <hyperlink ref="E10" r:id="rId8" xr:uid="{004ECD3A-8A21-4C62-8665-757B71223907}"/>
    <hyperlink ref="E11" r:id="rId9" xr:uid="{403446AB-BF36-460E-A0E0-193114915715}"/>
    <hyperlink ref="E12" r:id="rId10" xr:uid="{9E3D7FB8-CCF9-46E0-99EA-638E46339B37}"/>
    <hyperlink ref="E13" r:id="rId11" xr:uid="{80A404D9-3AC3-4621-9CCB-3576F807DDCA}"/>
    <hyperlink ref="E14" r:id="rId12" xr:uid="{11DD8EB5-7824-4BB3-BF81-A5936CE49038}"/>
    <hyperlink ref="E15" r:id="rId13" xr:uid="{185A557E-44ED-48DC-AF3A-55234E8A9852}"/>
    <hyperlink ref="E16" r:id="rId14" xr:uid="{1F08CE3E-A152-4708-A6C2-DB85573120C7}"/>
    <hyperlink ref="E17" r:id="rId15" xr:uid="{0DEE7BC8-1924-4B4E-9D80-E00EDD6C72D4}"/>
    <hyperlink ref="E18" r:id="rId16" xr:uid="{28B4B6DC-DA6E-4123-BA72-C023786CDE0D}"/>
    <hyperlink ref="E19" r:id="rId17" xr:uid="{C5AD1058-9951-4442-9C2E-C7306B5B0042}"/>
    <hyperlink ref="E20" r:id="rId18" xr:uid="{F13939BA-F313-430A-8C3C-30F0A243DA94}"/>
    <hyperlink ref="E21" r:id="rId19" xr:uid="{7E087D1F-21D0-480E-84A8-8CBAAC8E878E}"/>
    <hyperlink ref="E22" r:id="rId20" xr:uid="{9944148E-5F2C-4BFD-AA83-4D78815C134B}"/>
    <hyperlink ref="E23" r:id="rId21" xr:uid="{41821A52-4DD4-4B8A-9560-C300E301ABBA}"/>
    <hyperlink ref="E25" r:id="rId22" xr:uid="{51C99BEA-41B3-4A0A-926A-A6001C4A378C}"/>
    <hyperlink ref="E26" r:id="rId23" xr:uid="{72E4FBFD-147C-478E-AE04-8A815470809F}"/>
    <hyperlink ref="E27" r:id="rId24" xr:uid="{01403889-2875-4250-8438-CEA7B9A75B5C}"/>
    <hyperlink ref="E28" r:id="rId25" xr:uid="{6470B976-C1F8-4818-BE2D-FDBC5256F495}"/>
    <hyperlink ref="E29" r:id="rId26" xr:uid="{64D82EBF-74AB-4CC2-8214-27E52F58761B}"/>
    <hyperlink ref="E30" r:id="rId27" xr:uid="{AA5896E3-C9C7-4FBB-891B-C2A08DBC6600}"/>
    <hyperlink ref="E31" r:id="rId28" xr:uid="{DDFA0B18-E476-436E-9877-7CFAB988749D}"/>
    <hyperlink ref="E32" r:id="rId29" xr:uid="{A6DD7E13-034C-48D8-BF5C-8B161F95F068}"/>
    <hyperlink ref="E33" r:id="rId30" xr:uid="{096D0C2A-6425-47BD-AA38-23F57D3F2391}"/>
    <hyperlink ref="E34" r:id="rId31" xr:uid="{C920DEEE-5FCD-4334-99FE-71953043F881}"/>
    <hyperlink ref="E35" r:id="rId32" xr:uid="{8378ECAC-C376-4773-AE48-1BEE95CE5102}"/>
    <hyperlink ref="E36" r:id="rId33" xr:uid="{6A797D33-84BF-4969-B036-E3E0B9EFA47A}"/>
    <hyperlink ref="E37" r:id="rId34" xr:uid="{018F00C4-A659-43F4-9B27-2574166FFAA8}"/>
    <hyperlink ref="E38" r:id="rId35" xr:uid="{2F509CA9-5A5C-4D88-8E4A-5A489D338551}"/>
    <hyperlink ref="E39" r:id="rId36" xr:uid="{955EBC9F-0E1D-4C54-9A28-FBE840851D88}"/>
    <hyperlink ref="E40" r:id="rId37" xr:uid="{37857BC4-5AAE-43BC-BF9B-9CE55966D5D0}"/>
    <hyperlink ref="E41" r:id="rId38" xr:uid="{EDAF64F3-76B0-4979-BDF7-F8148A7BA16B}"/>
    <hyperlink ref="E42" r:id="rId39" xr:uid="{EB96A5A6-EA60-447B-83DC-F80E9E88B1B5}"/>
    <hyperlink ref="E43" r:id="rId40" xr:uid="{B535458C-EBCA-4F1B-A52C-8049BD7F15DE}"/>
    <hyperlink ref="E44" r:id="rId41" xr:uid="{4F6A5D26-5E34-4ACF-AFA2-D7D023C454DD}"/>
    <hyperlink ref="E45" r:id="rId42" xr:uid="{6A48B33B-54B4-4126-BEBB-E3112E6788E6}"/>
    <hyperlink ref="E46" r:id="rId43" xr:uid="{B6018B68-7DAD-48AD-B365-113CBDD06588}"/>
    <hyperlink ref="E47" r:id="rId44" xr:uid="{2FC45EB5-B5DB-4ABD-A41B-3F4E4B374D2F}"/>
    <hyperlink ref="E48" r:id="rId45" xr:uid="{51426F9F-F0C2-467B-B226-1188F06A7A38}"/>
    <hyperlink ref="E49" r:id="rId46" xr:uid="{2D6C596A-6825-4F17-90E1-CE0146374892}"/>
    <hyperlink ref="E50" r:id="rId47" xr:uid="{DF79B428-37CB-4905-8079-3FB5C351DDC9}"/>
    <hyperlink ref="E51" r:id="rId48" xr:uid="{3FB5EAD7-D04B-488C-BB18-5B3C666CD18F}"/>
    <hyperlink ref="E52" r:id="rId49" xr:uid="{A7C27A9C-5CBF-4DCC-B3A9-1812466DF64F}"/>
    <hyperlink ref="E53" r:id="rId50" xr:uid="{35F1EC5C-4393-4EB5-B02E-4305C15F2377}"/>
    <hyperlink ref="E54" r:id="rId51" xr:uid="{B6F5121E-03F1-474C-B7A0-6A77B20FB5F8}"/>
    <hyperlink ref="E55" r:id="rId52" xr:uid="{E8B2962F-BFF9-475F-9C4D-BABB1849213A}"/>
    <hyperlink ref="E56" r:id="rId53" xr:uid="{35C221BA-DAA4-4EF4-A923-71A0B2679BA4}"/>
    <hyperlink ref="E57" r:id="rId54" xr:uid="{F74EB550-3A78-4CCF-A4A5-D80D57938730}"/>
    <hyperlink ref="E58" r:id="rId55" xr:uid="{495A438B-218A-470B-ACCB-04326E36C41A}"/>
    <hyperlink ref="E59" r:id="rId56" xr:uid="{F947BF18-B0A3-46C9-862A-D16F23A1271D}"/>
    <hyperlink ref="E60" r:id="rId57" xr:uid="{30C7BDDF-C822-48C1-8C39-EF3B40B57948}"/>
    <hyperlink ref="E61" r:id="rId58" xr:uid="{2BA8CCED-6D09-44BF-A657-78713B750D50}"/>
    <hyperlink ref="E62" r:id="rId59" xr:uid="{622CB5CE-4647-45A6-A4BE-DAEDBC9CACCD}"/>
    <hyperlink ref="E63" r:id="rId60" xr:uid="{EDBAD1D1-6381-4BB2-AC27-A0AA92A75557}"/>
    <hyperlink ref="E64" r:id="rId61" xr:uid="{2E59BA9E-EF40-4F23-B2F1-A69CFFEDFE37}"/>
    <hyperlink ref="E65" r:id="rId62" xr:uid="{E1FE21DD-292A-4CBC-A2C2-0497CCFE8CDB}"/>
    <hyperlink ref="E66" r:id="rId63" xr:uid="{58B87289-1EDE-4E26-BD64-0AD032C8B2E1}"/>
    <hyperlink ref="E67" r:id="rId64" xr:uid="{3023B3C0-D10C-417E-9EA7-492043C93E14}"/>
    <hyperlink ref="E68" r:id="rId65" xr:uid="{45B0CDD2-1EE7-4338-A54C-FCA6671AF856}"/>
    <hyperlink ref="E69" r:id="rId66" xr:uid="{E2FC8DD4-CE1A-4976-ADC2-1A8D4603781E}"/>
    <hyperlink ref="E70" r:id="rId67" xr:uid="{9228B06E-9D9D-4F2B-A69B-12094C037854}"/>
    <hyperlink ref="E71" r:id="rId68" xr:uid="{4E22947A-D9FC-4044-BDD0-4AB78AAFCDCA}"/>
    <hyperlink ref="E72" r:id="rId69" xr:uid="{C6804E77-AEEB-4BEB-8995-FDD23A367C67}"/>
    <hyperlink ref="E73" r:id="rId70" xr:uid="{EA266C78-908E-4731-B5A3-A5C987F06CE9}"/>
    <hyperlink ref="E74" r:id="rId71" xr:uid="{FAA2B795-DC25-4139-B46B-569446306449}"/>
    <hyperlink ref="E75" r:id="rId72" xr:uid="{88AE142D-78CC-45DD-BF96-3951F8BFFDB9}"/>
    <hyperlink ref="E76" r:id="rId73" xr:uid="{8FD198B5-3D6F-43F5-A202-197F4EC1CA3B}"/>
    <hyperlink ref="E77" r:id="rId74" xr:uid="{BD836B4A-426D-43D4-8F87-C5AE46E86DB4}"/>
    <hyperlink ref="E78" r:id="rId75" xr:uid="{CBD5AF5E-A5AB-4712-BCA0-D909F2F7277A}"/>
    <hyperlink ref="E79" r:id="rId76" xr:uid="{C26DEE87-5EC8-4FD4-8260-DF1092D28F62}"/>
    <hyperlink ref="E80" r:id="rId77" xr:uid="{1C116C71-7BA3-4952-B774-3DECF9C4223A}"/>
    <hyperlink ref="E81" r:id="rId78" xr:uid="{FE83FC7A-5E53-4879-8635-7BE81C2B3627}"/>
    <hyperlink ref="E82" r:id="rId79" xr:uid="{F80418FB-0626-47CA-92A8-1263502A3CD1}"/>
    <hyperlink ref="E83" r:id="rId80" xr:uid="{118247C3-CCFE-4F38-BA4A-D600826F7F91}"/>
    <hyperlink ref="E84" r:id="rId81" xr:uid="{53C77DAF-5119-4BEA-9FB2-4B4BCA608132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0F31F-F06A-4089-8C36-9B2EDA44FF8A}">
  <dimension ref="A1:AZ185"/>
  <sheetViews>
    <sheetView zoomScale="80" zoomScaleNormal="80" workbookViewId="0">
      <pane xSplit="1" ySplit="2" topLeftCell="B3" activePane="bottomRight" state="frozen"/>
      <selection pane="topRight" activeCell="D1" sqref="D1"/>
      <selection pane="bottomLeft" activeCell="A3" sqref="A3"/>
      <selection pane="bottomRight" activeCell="D9" sqref="D9"/>
    </sheetView>
  </sheetViews>
  <sheetFormatPr defaultColWidth="9.140625" defaultRowHeight="15.75" x14ac:dyDescent="0.25"/>
  <cols>
    <col min="1" max="1" width="23.85546875" style="20" customWidth="1"/>
    <col min="2" max="2" width="15.140625" style="70" customWidth="1"/>
    <col min="3" max="3" width="16" style="20" customWidth="1"/>
    <col min="4" max="4" width="24.7109375" style="20" customWidth="1"/>
    <col min="5" max="5" width="25.7109375" style="20" customWidth="1"/>
    <col min="6" max="6" width="15.140625" style="69" customWidth="1"/>
    <col min="7" max="7" width="33.42578125" style="51" customWidth="1"/>
    <col min="8" max="8" width="19.140625" style="71" customWidth="1"/>
    <col min="9" max="9" width="38.28515625" style="20" customWidth="1"/>
    <col min="10" max="13" width="22.140625" style="51" customWidth="1"/>
    <col min="14" max="14" width="19.140625" style="51" customWidth="1"/>
    <col min="15" max="15" width="21.28515625" style="20" customWidth="1"/>
    <col min="16" max="16" width="21.7109375" style="20" customWidth="1"/>
    <col min="17" max="17" width="19.5703125" style="20" customWidth="1"/>
    <col min="18" max="18" width="21.42578125" style="20" customWidth="1"/>
    <col min="19" max="19" width="23.5703125" style="20" customWidth="1"/>
    <col min="20" max="20" width="19.85546875" style="20" customWidth="1"/>
    <col min="21" max="21" width="15" style="20" customWidth="1"/>
    <col min="22" max="23" width="14.5703125" style="20" customWidth="1"/>
    <col min="24" max="24" width="20.140625" style="20" customWidth="1"/>
    <col min="25" max="25" width="17.5703125" style="72" customWidth="1"/>
    <col min="26" max="26" width="15.5703125" style="20" customWidth="1"/>
    <col min="27" max="27" width="15.5703125" style="71" customWidth="1"/>
    <col min="28" max="28" width="17.42578125" style="20" customWidth="1"/>
    <col min="29" max="31" width="17" style="20" customWidth="1"/>
    <col min="32" max="32" width="20.85546875" style="20" customWidth="1"/>
    <col min="33" max="33" width="16.42578125" style="20" customWidth="1"/>
    <col min="34" max="34" width="13.7109375" style="20" customWidth="1"/>
    <col min="35" max="35" width="14" style="20" customWidth="1"/>
    <col min="36" max="36" width="13.5703125" style="51" customWidth="1"/>
    <col min="37" max="37" width="14.85546875" style="51" customWidth="1"/>
    <col min="38" max="38" width="15.42578125" style="20" customWidth="1"/>
    <col min="39" max="39" width="14.85546875" style="72" customWidth="1"/>
    <col min="40" max="40" width="15" style="20" customWidth="1"/>
    <col min="41" max="41" width="16.28515625" style="71" customWidth="1"/>
    <col min="42" max="42" width="30.42578125" style="71" customWidth="1"/>
    <col min="43" max="43" width="19" style="51" customWidth="1"/>
    <col min="44" max="44" width="16.28515625" style="51" customWidth="1"/>
    <col min="45" max="45" width="11" style="20" customWidth="1"/>
    <col min="46" max="46" width="14.7109375" style="52" customWidth="1"/>
    <col min="47" max="47" width="12.5703125" style="20" customWidth="1"/>
    <col min="48" max="48" width="13.85546875" style="71" customWidth="1"/>
    <col min="49" max="49" width="8.5703125" style="72" customWidth="1"/>
    <col min="50" max="50" width="7.7109375" style="72" customWidth="1"/>
    <col min="51" max="51" width="18.42578125" style="51" customWidth="1"/>
    <col min="52" max="52" width="17.140625" style="20" customWidth="1"/>
    <col min="53" max="16384" width="9.140625" style="20"/>
  </cols>
  <sheetData>
    <row r="1" spans="1:52" ht="63.75" customHeight="1" x14ac:dyDescent="0.25">
      <c r="A1" s="1" t="s">
        <v>0</v>
      </c>
      <c r="B1" s="2" t="s">
        <v>1</v>
      </c>
      <c r="C1" s="5" t="s">
        <v>2</v>
      </c>
      <c r="D1" s="6" t="s">
        <v>3</v>
      </c>
      <c r="E1" s="4" t="s">
        <v>4</v>
      </c>
      <c r="F1" s="3" t="s">
        <v>5</v>
      </c>
      <c r="G1" s="4" t="s">
        <v>6</v>
      </c>
      <c r="H1" s="4" t="s">
        <v>7</v>
      </c>
      <c r="I1" s="7" t="s">
        <v>8</v>
      </c>
      <c r="J1" s="8" t="s">
        <v>9</v>
      </c>
      <c r="K1" s="9" t="s">
        <v>10</v>
      </c>
      <c r="L1" s="9" t="s">
        <v>11</v>
      </c>
      <c r="M1" s="9" t="s">
        <v>12</v>
      </c>
      <c r="N1" s="8" t="s">
        <v>13</v>
      </c>
      <c r="O1" s="8" t="s">
        <v>14</v>
      </c>
      <c r="P1" s="7" t="s">
        <v>15</v>
      </c>
      <c r="Q1" s="7" t="s">
        <v>16</v>
      </c>
      <c r="R1" s="7" t="s">
        <v>17</v>
      </c>
      <c r="S1" s="8" t="s">
        <v>18</v>
      </c>
      <c r="T1" s="7" t="s">
        <v>19</v>
      </c>
      <c r="U1" s="8" t="s">
        <v>20</v>
      </c>
      <c r="V1" s="8" t="s">
        <v>21</v>
      </c>
      <c r="W1" s="2" t="s">
        <v>22</v>
      </c>
      <c r="X1" s="10" t="s">
        <v>23</v>
      </c>
      <c r="Y1" s="11"/>
      <c r="Z1" s="11"/>
      <c r="AA1" s="11"/>
      <c r="AB1" s="11"/>
      <c r="AC1" s="11"/>
      <c r="AD1" s="11"/>
      <c r="AE1" s="11"/>
      <c r="AF1" s="11"/>
      <c r="AG1" s="12"/>
      <c r="AH1" s="13" t="s">
        <v>24</v>
      </c>
      <c r="AI1" s="14"/>
      <c r="AJ1" s="15"/>
      <c r="AK1" s="13" t="s">
        <v>25</v>
      </c>
      <c r="AL1" s="14"/>
      <c r="AM1" s="15"/>
      <c r="AN1" s="9" t="s">
        <v>26</v>
      </c>
      <c r="AO1" s="16" t="s">
        <v>27</v>
      </c>
      <c r="AP1" s="16" t="s">
        <v>28</v>
      </c>
      <c r="AQ1" s="16" t="s">
        <v>29</v>
      </c>
      <c r="AR1" s="16" t="s">
        <v>30</v>
      </c>
      <c r="AS1" s="7" t="s">
        <v>31</v>
      </c>
      <c r="AT1" s="7" t="s">
        <v>32</v>
      </c>
      <c r="AU1" s="8" t="s">
        <v>33</v>
      </c>
      <c r="AV1" s="17" t="s">
        <v>34</v>
      </c>
      <c r="AW1" s="18" t="s">
        <v>35</v>
      </c>
      <c r="AX1" s="19"/>
      <c r="AY1" s="19"/>
      <c r="AZ1" s="16" t="s">
        <v>36</v>
      </c>
    </row>
    <row r="2" spans="1:52" ht="45" customHeight="1" x14ac:dyDescent="0.25">
      <c r="A2" s="21"/>
      <c r="B2" s="22"/>
      <c r="C2" s="25"/>
      <c r="D2" s="26"/>
      <c r="E2" s="24"/>
      <c r="F2" s="23"/>
      <c r="G2" s="24"/>
      <c r="H2" s="24"/>
      <c r="I2" s="27"/>
      <c r="J2" s="28"/>
      <c r="K2" s="29"/>
      <c r="L2" s="29"/>
      <c r="M2" s="29"/>
      <c r="N2" s="28"/>
      <c r="O2" s="28"/>
      <c r="P2" s="27"/>
      <c r="Q2" s="27"/>
      <c r="R2" s="27"/>
      <c r="S2" s="27"/>
      <c r="T2" s="27"/>
      <c r="U2" s="28"/>
      <c r="V2" s="28"/>
      <c r="W2" s="22"/>
      <c r="X2" s="30" t="s">
        <v>37</v>
      </c>
      <c r="Y2" s="30" t="s">
        <v>38</v>
      </c>
      <c r="Z2" s="30" t="s">
        <v>39</v>
      </c>
      <c r="AA2" s="30" t="s">
        <v>40</v>
      </c>
      <c r="AB2" s="30" t="s">
        <v>41</v>
      </c>
      <c r="AC2" s="30" t="s">
        <v>42</v>
      </c>
      <c r="AD2" s="30" t="s">
        <v>43</v>
      </c>
      <c r="AE2" s="30" t="s">
        <v>44</v>
      </c>
      <c r="AF2" s="30" t="s">
        <v>45</v>
      </c>
      <c r="AG2" s="30" t="s">
        <v>46</v>
      </c>
      <c r="AH2" s="31" t="s">
        <v>38</v>
      </c>
      <c r="AI2" s="31" t="s">
        <v>39</v>
      </c>
      <c r="AJ2" s="31" t="s">
        <v>40</v>
      </c>
      <c r="AK2" s="31" t="s">
        <v>38</v>
      </c>
      <c r="AL2" s="31" t="s">
        <v>39</v>
      </c>
      <c r="AM2" s="31" t="s">
        <v>40</v>
      </c>
      <c r="AN2" s="32"/>
      <c r="AO2" s="33"/>
      <c r="AP2" s="33"/>
      <c r="AQ2" s="33"/>
      <c r="AR2" s="33"/>
      <c r="AS2" s="27"/>
      <c r="AT2" s="27"/>
      <c r="AU2" s="28"/>
      <c r="AV2" s="34"/>
      <c r="AW2" s="35" t="s">
        <v>47</v>
      </c>
      <c r="AX2" s="35" t="s">
        <v>48</v>
      </c>
      <c r="AY2" s="35" t="s">
        <v>49</v>
      </c>
      <c r="AZ2" s="33"/>
    </row>
    <row r="3" spans="1:52" ht="57" customHeight="1" x14ac:dyDescent="0.25">
      <c r="A3" s="46" t="s">
        <v>495</v>
      </c>
      <c r="B3" s="48">
        <v>45181</v>
      </c>
      <c r="C3" s="42" t="s">
        <v>496</v>
      </c>
      <c r="D3" s="37" t="s">
        <v>434</v>
      </c>
      <c r="E3" s="41" t="s">
        <v>497</v>
      </c>
      <c r="F3" s="38" t="s">
        <v>434</v>
      </c>
      <c r="G3" s="39" t="s">
        <v>498</v>
      </c>
      <c r="H3" s="42" t="s">
        <v>434</v>
      </c>
      <c r="I3" s="42" t="s">
        <v>499</v>
      </c>
      <c r="J3" s="56">
        <v>445239478.80000001</v>
      </c>
      <c r="K3" s="56">
        <v>445239478.80000001</v>
      </c>
      <c r="L3" s="56"/>
      <c r="M3" s="56"/>
      <c r="N3" s="44">
        <v>100</v>
      </c>
      <c r="O3" s="45">
        <v>445239478.80000001</v>
      </c>
      <c r="P3" s="43"/>
      <c r="Q3" s="45">
        <v>445239478.80000001</v>
      </c>
      <c r="R3" s="43">
        <v>0</v>
      </c>
      <c r="S3" s="30">
        <v>0</v>
      </c>
      <c r="T3" s="30">
        <v>0</v>
      </c>
      <c r="U3" s="30" t="e">
        <v>#DIV/0!</v>
      </c>
      <c r="V3" s="43" t="e">
        <v>#DIV/0!</v>
      </c>
      <c r="W3" s="43" t="e">
        <v>#DIV/0!</v>
      </c>
      <c r="X3" s="43">
        <v>0</v>
      </c>
      <c r="Y3" s="43">
        <v>0</v>
      </c>
      <c r="Z3" s="43">
        <v>0</v>
      </c>
      <c r="AA3" s="43">
        <v>0</v>
      </c>
      <c r="AB3" s="43"/>
      <c r="AC3" s="43" t="e">
        <v>#DIV/0!</v>
      </c>
      <c r="AD3" s="43"/>
      <c r="AE3" s="43" t="e">
        <v>#DIV/0!</v>
      </c>
      <c r="AF3" s="43" t="e">
        <v>#DIV/0!</v>
      </c>
      <c r="AG3" s="43" t="e">
        <v>#DIV/0!</v>
      </c>
      <c r="AH3" s="38">
        <v>45301</v>
      </c>
      <c r="AI3" s="38"/>
      <c r="AJ3" s="38"/>
      <c r="AK3" s="38">
        <v>45332</v>
      </c>
      <c r="AL3" s="38"/>
      <c r="AM3" s="48"/>
      <c r="AN3" s="42"/>
      <c r="AO3" s="42"/>
      <c r="AP3" s="42"/>
      <c r="AQ3" s="42"/>
      <c r="AR3" s="42"/>
      <c r="AS3" s="50"/>
      <c r="AT3" s="39"/>
      <c r="AU3" s="39"/>
      <c r="AV3" s="49"/>
      <c r="AW3" s="39"/>
      <c r="AX3" s="39">
        <v>10</v>
      </c>
      <c r="AY3" s="30">
        <v>44523947.880000003</v>
      </c>
      <c r="AZ3" s="42" t="s">
        <v>434</v>
      </c>
    </row>
    <row r="4" spans="1:52" ht="44.25" customHeight="1" x14ac:dyDescent="0.25">
      <c r="A4" s="46" t="s">
        <v>533</v>
      </c>
      <c r="B4" s="48">
        <v>45211</v>
      </c>
      <c r="C4" s="42" t="s">
        <v>496</v>
      </c>
      <c r="D4" s="37" t="s">
        <v>534</v>
      </c>
      <c r="E4" s="41" t="s">
        <v>535</v>
      </c>
      <c r="F4" s="38">
        <v>45230</v>
      </c>
      <c r="G4" s="39" t="s">
        <v>536</v>
      </c>
      <c r="H4" s="42" t="s">
        <v>141</v>
      </c>
      <c r="I4" s="42" t="s">
        <v>499</v>
      </c>
      <c r="J4" s="56">
        <v>288944067.75</v>
      </c>
      <c r="K4" s="56">
        <v>288944067.75</v>
      </c>
      <c r="L4" s="56">
        <v>0</v>
      </c>
      <c r="M4" s="56">
        <v>0</v>
      </c>
      <c r="N4" s="44">
        <v>0</v>
      </c>
      <c r="O4" s="45">
        <v>0</v>
      </c>
      <c r="P4" s="43">
        <v>288944067.75</v>
      </c>
      <c r="Q4" s="45">
        <v>0</v>
      </c>
      <c r="R4" s="43">
        <v>288944067.75</v>
      </c>
      <c r="S4" s="30">
        <v>288944067.75</v>
      </c>
      <c r="T4" s="30">
        <v>288944067.75</v>
      </c>
      <c r="U4" s="30">
        <v>574.54999999999995</v>
      </c>
      <c r="V4" s="43">
        <v>574.54999999999995</v>
      </c>
      <c r="W4" s="43">
        <v>108015.4</v>
      </c>
      <c r="X4" s="43">
        <v>502905</v>
      </c>
      <c r="Y4" s="43">
        <v>502905</v>
      </c>
      <c r="Z4" s="43">
        <v>0</v>
      </c>
      <c r="AA4" s="43">
        <v>0</v>
      </c>
      <c r="AB4" s="43"/>
      <c r="AC4" s="43">
        <v>0</v>
      </c>
      <c r="AD4" s="43"/>
      <c r="AE4" s="43">
        <v>0</v>
      </c>
      <c r="AF4" s="43">
        <v>2675.0265957446809</v>
      </c>
      <c r="AG4" s="43">
        <v>2676</v>
      </c>
      <c r="AH4" s="38">
        <v>45301</v>
      </c>
      <c r="AI4" s="38"/>
      <c r="AJ4" s="38"/>
      <c r="AK4" s="38">
        <v>45332</v>
      </c>
      <c r="AL4" s="38"/>
      <c r="AM4" s="48"/>
      <c r="AN4" s="42"/>
      <c r="AO4" s="42" t="s">
        <v>537</v>
      </c>
      <c r="AP4" s="42" t="s">
        <v>538</v>
      </c>
      <c r="AQ4" s="42" t="s">
        <v>539</v>
      </c>
      <c r="AR4" s="42" t="s">
        <v>82</v>
      </c>
      <c r="AS4" s="50">
        <v>100</v>
      </c>
      <c r="AT4" s="39">
        <v>0</v>
      </c>
      <c r="AU4" s="39" t="s">
        <v>389</v>
      </c>
      <c r="AV4" s="49">
        <v>188</v>
      </c>
      <c r="AW4" s="39" t="s">
        <v>62</v>
      </c>
      <c r="AX4" s="39">
        <v>10</v>
      </c>
      <c r="AY4" s="30">
        <v>28894406.774999999</v>
      </c>
      <c r="AZ4" s="42" t="s">
        <v>97</v>
      </c>
    </row>
    <row r="5" spans="1:52" ht="48" customHeight="1" x14ac:dyDescent="0.25">
      <c r="A5" s="61" t="s">
        <v>1915</v>
      </c>
      <c r="B5" s="62">
        <v>45324</v>
      </c>
      <c r="C5" s="42" t="s">
        <v>496</v>
      </c>
      <c r="D5" s="37"/>
      <c r="E5" s="41" t="s">
        <v>1916</v>
      </c>
      <c r="F5" s="38"/>
      <c r="G5" s="39"/>
      <c r="H5" s="42"/>
      <c r="I5" s="64" t="s">
        <v>1917</v>
      </c>
      <c r="J5" s="63">
        <v>247826882.88</v>
      </c>
      <c r="K5" s="43">
        <v>0</v>
      </c>
      <c r="L5" s="56">
        <v>0</v>
      </c>
      <c r="M5" s="56">
        <v>0</v>
      </c>
      <c r="N5" s="44">
        <v>100</v>
      </c>
      <c r="O5" s="45">
        <v>247826882.88</v>
      </c>
      <c r="P5" s="43"/>
      <c r="Q5" s="45">
        <v>247826882.88</v>
      </c>
      <c r="R5" s="43">
        <v>0</v>
      </c>
      <c r="S5" s="30">
        <v>0</v>
      </c>
      <c r="T5" s="30">
        <v>0</v>
      </c>
      <c r="U5" s="30">
        <v>144.66</v>
      </c>
      <c r="V5" s="43">
        <v>0</v>
      </c>
      <c r="W5" s="43">
        <v>0</v>
      </c>
      <c r="X5" s="43">
        <v>1713168</v>
      </c>
      <c r="Y5" s="43">
        <v>576000</v>
      </c>
      <c r="Z5" s="43">
        <v>576000</v>
      </c>
      <c r="AA5" s="43">
        <v>561168</v>
      </c>
      <c r="AB5" s="43"/>
      <c r="AC5" s="43">
        <v>0</v>
      </c>
      <c r="AD5" s="43"/>
      <c r="AE5" s="43">
        <v>0</v>
      </c>
      <c r="AF5" s="43" t="e">
        <v>#DIV/0!</v>
      </c>
      <c r="AG5" s="43" t="e">
        <v>#DIV/0!</v>
      </c>
      <c r="AH5" s="38">
        <v>45383</v>
      </c>
      <c r="AI5" s="38">
        <v>45474</v>
      </c>
      <c r="AJ5" s="38">
        <v>45550</v>
      </c>
      <c r="AK5" s="38"/>
      <c r="AL5" s="38"/>
      <c r="AM5" s="48"/>
      <c r="AN5" s="42"/>
      <c r="AO5" s="42"/>
      <c r="AP5" s="42"/>
      <c r="AQ5" s="42"/>
      <c r="AR5" s="42"/>
      <c r="AS5" s="50"/>
      <c r="AT5" s="39"/>
      <c r="AU5" s="39"/>
      <c r="AV5" s="49"/>
      <c r="AW5" s="39"/>
      <c r="AX5" s="39">
        <v>10</v>
      </c>
      <c r="AY5" s="30">
        <v>24782688.288000003</v>
      </c>
      <c r="AZ5" s="42"/>
    </row>
    <row r="6" spans="1:52" ht="48" customHeight="1" x14ac:dyDescent="0.25">
      <c r="A6" s="61" t="s">
        <v>1918</v>
      </c>
      <c r="B6" s="62">
        <v>45324</v>
      </c>
      <c r="C6" s="42" t="s">
        <v>496</v>
      </c>
      <c r="D6" s="37"/>
      <c r="E6" s="41" t="s">
        <v>1919</v>
      </c>
      <c r="F6" s="38"/>
      <c r="G6" s="39"/>
      <c r="H6" s="42"/>
      <c r="I6" s="64" t="s">
        <v>1920</v>
      </c>
      <c r="J6" s="63">
        <v>9795456</v>
      </c>
      <c r="K6" s="43">
        <v>0</v>
      </c>
      <c r="L6" s="56">
        <v>0</v>
      </c>
      <c r="M6" s="56">
        <v>0</v>
      </c>
      <c r="N6" s="44">
        <v>100</v>
      </c>
      <c r="O6" s="45">
        <v>9795456</v>
      </c>
      <c r="P6" s="43"/>
      <c r="Q6" s="45">
        <v>9795456</v>
      </c>
      <c r="R6" s="43">
        <v>0</v>
      </c>
      <c r="S6" s="30">
        <v>0</v>
      </c>
      <c r="T6" s="30">
        <v>0</v>
      </c>
      <c r="U6" s="30">
        <v>5.28</v>
      </c>
      <c r="V6" s="43">
        <v>0</v>
      </c>
      <c r="W6" s="43">
        <v>0</v>
      </c>
      <c r="X6" s="43">
        <v>1855200</v>
      </c>
      <c r="Y6" s="43">
        <v>1855200</v>
      </c>
      <c r="Z6" s="43">
        <v>0</v>
      </c>
      <c r="AA6" s="43">
        <v>0</v>
      </c>
      <c r="AB6" s="43"/>
      <c r="AC6" s="43">
        <v>0</v>
      </c>
      <c r="AD6" s="43"/>
      <c r="AE6" s="43">
        <v>0</v>
      </c>
      <c r="AF6" s="43" t="e">
        <v>#DIV/0!</v>
      </c>
      <c r="AG6" s="43" t="e">
        <v>#DIV/0!</v>
      </c>
      <c r="AH6" s="38">
        <v>45383</v>
      </c>
      <c r="AI6" s="38"/>
      <c r="AJ6" s="38"/>
      <c r="AK6" s="38"/>
      <c r="AL6" s="38"/>
      <c r="AM6" s="48"/>
      <c r="AN6" s="42"/>
      <c r="AO6" s="42"/>
      <c r="AP6" s="42"/>
      <c r="AQ6" s="42"/>
      <c r="AR6" s="42"/>
      <c r="AS6" s="50"/>
      <c r="AT6" s="39"/>
      <c r="AU6" s="39"/>
      <c r="AV6" s="49"/>
      <c r="AW6" s="39"/>
      <c r="AX6" s="39">
        <v>10</v>
      </c>
      <c r="AY6" s="30">
        <v>979545.59999999998</v>
      </c>
      <c r="AZ6" s="42"/>
    </row>
    <row r="7" spans="1:52" ht="48" customHeight="1" x14ac:dyDescent="0.25">
      <c r="A7" s="61" t="s">
        <v>1921</v>
      </c>
      <c r="B7" s="62">
        <v>45324</v>
      </c>
      <c r="C7" s="42" t="s">
        <v>496</v>
      </c>
      <c r="D7" s="37" t="s">
        <v>434</v>
      </c>
      <c r="E7" s="41" t="s">
        <v>1922</v>
      </c>
      <c r="F7" s="38" t="s">
        <v>434</v>
      </c>
      <c r="G7" s="39" t="s">
        <v>434</v>
      </c>
      <c r="H7" s="42" t="s">
        <v>434</v>
      </c>
      <c r="I7" s="65" t="s">
        <v>1923</v>
      </c>
      <c r="J7" s="63">
        <v>12375990</v>
      </c>
      <c r="K7" s="43">
        <v>0</v>
      </c>
      <c r="L7" s="56">
        <v>0</v>
      </c>
      <c r="M7" s="56">
        <v>0</v>
      </c>
      <c r="N7" s="44">
        <v>100</v>
      </c>
      <c r="O7" s="45">
        <v>12375990</v>
      </c>
      <c r="P7" s="43"/>
      <c r="Q7" s="45">
        <v>12375990</v>
      </c>
      <c r="R7" s="43">
        <v>0</v>
      </c>
      <c r="S7" s="30">
        <v>0</v>
      </c>
      <c r="T7" s="30">
        <v>0</v>
      </c>
      <c r="U7" s="30">
        <v>49.5</v>
      </c>
      <c r="V7" s="43">
        <v>0</v>
      </c>
      <c r="W7" s="43">
        <v>0</v>
      </c>
      <c r="X7" s="43">
        <v>250020</v>
      </c>
      <c r="Y7" s="43">
        <v>250020</v>
      </c>
      <c r="Z7" s="43">
        <v>0</v>
      </c>
      <c r="AA7" s="43">
        <v>0</v>
      </c>
      <c r="AB7" s="43"/>
      <c r="AC7" s="43">
        <v>0</v>
      </c>
      <c r="AD7" s="43"/>
      <c r="AE7" s="43">
        <v>0</v>
      </c>
      <c r="AF7" s="43" t="e">
        <v>#DIV/0!</v>
      </c>
      <c r="AG7" s="43" t="e">
        <v>#DIV/0!</v>
      </c>
      <c r="AH7" s="38">
        <v>45383</v>
      </c>
      <c r="AI7" s="38"/>
      <c r="AJ7" s="38"/>
      <c r="AK7" s="38"/>
      <c r="AL7" s="38"/>
      <c r="AM7" s="48"/>
      <c r="AN7" s="42"/>
      <c r="AO7" s="42"/>
      <c r="AP7" s="42"/>
      <c r="AQ7" s="42"/>
      <c r="AR7" s="42"/>
      <c r="AS7" s="50"/>
      <c r="AT7" s="39"/>
      <c r="AU7" s="39"/>
      <c r="AV7" s="49"/>
      <c r="AW7" s="39"/>
      <c r="AX7" s="39">
        <v>10</v>
      </c>
      <c r="AY7" s="30">
        <v>1237599</v>
      </c>
      <c r="AZ7" s="42" t="s">
        <v>434</v>
      </c>
    </row>
    <row r="8" spans="1:52" ht="15.75" customHeight="1" x14ac:dyDescent="0.25">
      <c r="A8" s="46" t="s">
        <v>1932</v>
      </c>
      <c r="B8" s="38">
        <v>45327</v>
      </c>
      <c r="C8" s="42" t="s">
        <v>496</v>
      </c>
      <c r="D8" s="37"/>
      <c r="E8" s="41" t="s">
        <v>1933</v>
      </c>
      <c r="F8" s="38"/>
      <c r="G8" s="39"/>
      <c r="H8" s="42"/>
      <c r="I8" s="42" t="s">
        <v>1934</v>
      </c>
      <c r="J8" s="43">
        <v>509832688</v>
      </c>
      <c r="K8" s="43">
        <v>0</v>
      </c>
      <c r="L8" s="56">
        <v>0</v>
      </c>
      <c r="M8" s="56">
        <v>0</v>
      </c>
      <c r="N8" s="44">
        <v>100</v>
      </c>
      <c r="O8" s="45">
        <v>509832688</v>
      </c>
      <c r="P8" s="43"/>
      <c r="Q8" s="45">
        <v>509832688</v>
      </c>
      <c r="R8" s="43">
        <v>0</v>
      </c>
      <c r="S8" s="30">
        <v>0</v>
      </c>
      <c r="T8" s="30">
        <v>0</v>
      </c>
      <c r="U8" s="30">
        <v>0</v>
      </c>
      <c r="V8" s="43">
        <v>0</v>
      </c>
      <c r="W8" s="43">
        <v>0</v>
      </c>
      <c r="X8" s="43">
        <v>887360</v>
      </c>
      <c r="Y8" s="43">
        <v>887360</v>
      </c>
      <c r="Z8" s="43">
        <v>0</v>
      </c>
      <c r="AA8" s="43">
        <v>0</v>
      </c>
      <c r="AB8" s="43"/>
      <c r="AC8" s="43">
        <v>0</v>
      </c>
      <c r="AD8" s="43"/>
      <c r="AE8" s="43">
        <v>0</v>
      </c>
      <c r="AF8" s="43" t="e">
        <v>#DIV/0!</v>
      </c>
      <c r="AG8" s="43" t="e">
        <v>#DIV/0!</v>
      </c>
      <c r="AH8" s="38">
        <v>45397</v>
      </c>
      <c r="AI8" s="38"/>
      <c r="AJ8" s="38"/>
      <c r="AK8" s="38"/>
      <c r="AL8" s="38"/>
      <c r="AM8" s="48"/>
      <c r="AN8" s="42"/>
      <c r="AO8" s="42"/>
      <c r="AP8" s="42"/>
      <c r="AQ8" s="42"/>
      <c r="AR8" s="42"/>
      <c r="AS8" s="50"/>
      <c r="AT8" s="39"/>
      <c r="AU8" s="39"/>
      <c r="AV8" s="49"/>
      <c r="AW8" s="39"/>
      <c r="AX8" s="39">
        <v>10</v>
      </c>
      <c r="AY8" s="30">
        <v>50983268.799999997</v>
      </c>
      <c r="AZ8" s="42"/>
    </row>
    <row r="9" spans="1:52" ht="107.25" customHeight="1" x14ac:dyDescent="0.25">
      <c r="A9" s="46" t="s">
        <v>1935</v>
      </c>
      <c r="B9" s="38">
        <v>45327</v>
      </c>
      <c r="C9" s="42" t="s">
        <v>496</v>
      </c>
      <c r="D9" s="37"/>
      <c r="E9" s="41" t="s">
        <v>1936</v>
      </c>
      <c r="F9" s="38"/>
      <c r="G9" s="39"/>
      <c r="H9" s="42"/>
      <c r="I9" s="42" t="s">
        <v>1937</v>
      </c>
      <c r="J9" s="43">
        <v>12153240</v>
      </c>
      <c r="K9" s="43">
        <v>0</v>
      </c>
      <c r="L9" s="56">
        <v>0</v>
      </c>
      <c r="M9" s="56">
        <v>0</v>
      </c>
      <c r="N9" s="44">
        <v>100</v>
      </c>
      <c r="O9" s="45">
        <v>12153240</v>
      </c>
      <c r="P9" s="43"/>
      <c r="Q9" s="45">
        <v>12153240</v>
      </c>
      <c r="R9" s="43">
        <v>0</v>
      </c>
      <c r="S9" s="30">
        <v>0</v>
      </c>
      <c r="T9" s="30">
        <v>0</v>
      </c>
      <c r="U9" s="30">
        <v>0</v>
      </c>
      <c r="V9" s="43">
        <v>0</v>
      </c>
      <c r="W9" s="43">
        <v>0</v>
      </c>
      <c r="X9" s="43">
        <v>30690</v>
      </c>
      <c r="Y9" s="43">
        <v>30690</v>
      </c>
      <c r="Z9" s="43">
        <v>0</v>
      </c>
      <c r="AA9" s="43">
        <v>0</v>
      </c>
      <c r="AB9" s="43"/>
      <c r="AC9" s="43">
        <v>0</v>
      </c>
      <c r="AD9" s="43"/>
      <c r="AE9" s="43">
        <v>0</v>
      </c>
      <c r="AF9" s="43" t="e">
        <v>#DIV/0!</v>
      </c>
      <c r="AG9" s="43" t="e">
        <v>#DIV/0!</v>
      </c>
      <c r="AH9" s="38">
        <v>45383</v>
      </c>
      <c r="AI9" s="38"/>
      <c r="AJ9" s="38"/>
      <c r="AK9" s="38"/>
      <c r="AL9" s="38"/>
      <c r="AM9" s="48"/>
      <c r="AN9" s="42"/>
      <c r="AO9" s="42"/>
      <c r="AP9" s="42"/>
      <c r="AQ9" s="42"/>
      <c r="AR9" s="42"/>
      <c r="AS9" s="50"/>
      <c r="AT9" s="39"/>
      <c r="AU9" s="39"/>
      <c r="AV9" s="49"/>
      <c r="AW9" s="39"/>
      <c r="AX9" s="39">
        <v>10</v>
      </c>
      <c r="AY9" s="30">
        <v>1215324</v>
      </c>
      <c r="AZ9" s="42"/>
    </row>
    <row r="10" spans="1:52" ht="39" customHeight="1" x14ac:dyDescent="0.25">
      <c r="A10" s="61" t="s">
        <v>1938</v>
      </c>
      <c r="B10" s="62">
        <v>45327</v>
      </c>
      <c r="C10" s="42" t="s">
        <v>496</v>
      </c>
      <c r="D10" s="37"/>
      <c r="E10" s="41" t="s">
        <v>1939</v>
      </c>
      <c r="F10" s="38"/>
      <c r="G10" s="39"/>
      <c r="H10" s="42"/>
      <c r="I10" s="65" t="s">
        <v>1940</v>
      </c>
      <c r="J10" s="63">
        <v>54510610</v>
      </c>
      <c r="K10" s="43">
        <v>0</v>
      </c>
      <c r="L10" s="56">
        <v>0</v>
      </c>
      <c r="M10" s="56">
        <v>0</v>
      </c>
      <c r="N10" s="44">
        <v>100</v>
      </c>
      <c r="O10" s="45">
        <v>54510610</v>
      </c>
      <c r="P10" s="43"/>
      <c r="Q10" s="45">
        <v>54510610</v>
      </c>
      <c r="R10" s="43">
        <v>0</v>
      </c>
      <c r="S10" s="30">
        <v>0</v>
      </c>
      <c r="T10" s="30">
        <v>0</v>
      </c>
      <c r="U10" s="30" t="e">
        <v>#DIV/0!</v>
      </c>
      <c r="V10" s="43" t="e">
        <v>#DIV/0!</v>
      </c>
      <c r="W10" s="43" t="e">
        <v>#DIV/0!</v>
      </c>
      <c r="X10" s="43">
        <v>0</v>
      </c>
      <c r="Y10" s="43">
        <v>0</v>
      </c>
      <c r="Z10" s="43">
        <v>0</v>
      </c>
      <c r="AA10" s="43">
        <v>0</v>
      </c>
      <c r="AB10" s="43"/>
      <c r="AC10" s="43" t="e">
        <v>#DIV/0!</v>
      </c>
      <c r="AD10" s="43"/>
      <c r="AE10" s="43" t="e">
        <v>#DIV/0!</v>
      </c>
      <c r="AF10" s="43" t="e">
        <v>#DIV/0!</v>
      </c>
      <c r="AG10" s="43" t="e">
        <v>#DIV/0!</v>
      </c>
      <c r="AH10" s="38">
        <v>45383</v>
      </c>
      <c r="AI10" s="38"/>
      <c r="AJ10" s="38"/>
      <c r="AK10" s="38"/>
      <c r="AL10" s="38"/>
      <c r="AM10" s="48"/>
      <c r="AN10" s="42"/>
      <c r="AO10" s="42"/>
      <c r="AP10" s="42"/>
      <c r="AQ10" s="42"/>
      <c r="AR10" s="42"/>
      <c r="AS10" s="50"/>
      <c r="AT10" s="39"/>
      <c r="AU10" s="39"/>
      <c r="AV10" s="49"/>
      <c r="AW10" s="39"/>
      <c r="AX10" s="39">
        <v>10</v>
      </c>
      <c r="AY10" s="30">
        <v>5451061</v>
      </c>
      <c r="AZ10" s="42"/>
    </row>
    <row r="11" spans="1:52" ht="39" customHeight="1" x14ac:dyDescent="0.25">
      <c r="A11" s="61" t="s">
        <v>1944</v>
      </c>
      <c r="B11" s="62">
        <v>45328</v>
      </c>
      <c r="C11" s="42" t="s">
        <v>496</v>
      </c>
      <c r="D11" s="37"/>
      <c r="E11" s="41" t="s">
        <v>1945</v>
      </c>
      <c r="F11" s="38"/>
      <c r="G11" s="39"/>
      <c r="H11" s="42"/>
      <c r="I11" s="64" t="s">
        <v>1946</v>
      </c>
      <c r="J11" s="63">
        <v>1729855.6</v>
      </c>
      <c r="K11" s="43">
        <v>0</v>
      </c>
      <c r="L11" s="56">
        <v>0</v>
      </c>
      <c r="M11" s="56">
        <v>0</v>
      </c>
      <c r="N11" s="44">
        <v>100</v>
      </c>
      <c r="O11" s="45">
        <v>1729855.6</v>
      </c>
      <c r="P11" s="43"/>
      <c r="Q11" s="45">
        <v>1729855.6</v>
      </c>
      <c r="R11" s="43">
        <v>0</v>
      </c>
      <c r="S11" s="30">
        <v>0</v>
      </c>
      <c r="T11" s="30">
        <v>0</v>
      </c>
      <c r="U11" s="30" t="e">
        <v>#DIV/0!</v>
      </c>
      <c r="V11" s="43" t="e">
        <v>#DIV/0!</v>
      </c>
      <c r="W11" s="43" t="e">
        <v>#DIV/0!</v>
      </c>
      <c r="X11" s="43">
        <v>0</v>
      </c>
      <c r="Y11" s="43">
        <v>0</v>
      </c>
      <c r="Z11" s="43">
        <v>0</v>
      </c>
      <c r="AA11" s="43">
        <v>0</v>
      </c>
      <c r="AB11" s="43"/>
      <c r="AC11" s="43" t="e">
        <v>#DIV/0!</v>
      </c>
      <c r="AD11" s="43"/>
      <c r="AE11" s="43" t="e">
        <v>#DIV/0!</v>
      </c>
      <c r="AF11" s="43" t="e">
        <v>#DIV/0!</v>
      </c>
      <c r="AG11" s="43" t="e">
        <v>#DIV/0!</v>
      </c>
      <c r="AH11" s="38">
        <v>45397</v>
      </c>
      <c r="AI11" s="38"/>
      <c r="AJ11" s="38"/>
      <c r="AK11" s="38"/>
      <c r="AL11" s="38"/>
      <c r="AM11" s="48"/>
      <c r="AN11" s="42"/>
      <c r="AO11" s="42"/>
      <c r="AP11" s="42"/>
      <c r="AQ11" s="42"/>
      <c r="AR11" s="42"/>
      <c r="AS11" s="50"/>
      <c r="AT11" s="39"/>
      <c r="AU11" s="39"/>
      <c r="AV11" s="49"/>
      <c r="AW11" s="39"/>
      <c r="AX11" s="39">
        <v>10</v>
      </c>
      <c r="AY11" s="30">
        <v>172985.56</v>
      </c>
      <c r="AZ11" s="42"/>
    </row>
    <row r="12" spans="1:52" ht="39" customHeight="1" x14ac:dyDescent="0.25">
      <c r="A12" s="61" t="s">
        <v>1947</v>
      </c>
      <c r="B12" s="62">
        <v>45328</v>
      </c>
      <c r="C12" s="42" t="s">
        <v>496</v>
      </c>
      <c r="D12" s="37"/>
      <c r="E12" s="41" t="s">
        <v>1948</v>
      </c>
      <c r="F12" s="38"/>
      <c r="G12" s="39"/>
      <c r="H12" s="42"/>
      <c r="I12" s="65" t="s">
        <v>1949</v>
      </c>
      <c r="J12" s="63">
        <v>145426006.90000001</v>
      </c>
      <c r="K12" s="43">
        <v>0</v>
      </c>
      <c r="L12" s="56">
        <v>0</v>
      </c>
      <c r="M12" s="56">
        <v>0</v>
      </c>
      <c r="N12" s="44">
        <v>100</v>
      </c>
      <c r="O12" s="45">
        <v>145426006.90000001</v>
      </c>
      <c r="P12" s="43"/>
      <c r="Q12" s="45">
        <v>145426006.90000001</v>
      </c>
      <c r="R12" s="43">
        <v>0</v>
      </c>
      <c r="S12" s="30">
        <v>0</v>
      </c>
      <c r="T12" s="30">
        <v>0</v>
      </c>
      <c r="U12" s="30" t="e">
        <v>#DIV/0!</v>
      </c>
      <c r="V12" s="43" t="e">
        <v>#DIV/0!</v>
      </c>
      <c r="W12" s="43" t="e">
        <v>#DIV/0!</v>
      </c>
      <c r="X12" s="43">
        <v>0</v>
      </c>
      <c r="Y12" s="43">
        <v>0</v>
      </c>
      <c r="Z12" s="43">
        <v>0</v>
      </c>
      <c r="AA12" s="43">
        <v>0</v>
      </c>
      <c r="AB12" s="43"/>
      <c r="AC12" s="43" t="e">
        <v>#DIV/0!</v>
      </c>
      <c r="AD12" s="43"/>
      <c r="AE12" s="43" t="e">
        <v>#DIV/0!</v>
      </c>
      <c r="AF12" s="43" t="e">
        <v>#DIV/0!</v>
      </c>
      <c r="AG12" s="43" t="e">
        <v>#DIV/0!</v>
      </c>
      <c r="AH12" s="38">
        <v>45397</v>
      </c>
      <c r="AI12" s="38"/>
      <c r="AJ12" s="38"/>
      <c r="AK12" s="38"/>
      <c r="AL12" s="38"/>
      <c r="AM12" s="48"/>
      <c r="AN12" s="42"/>
      <c r="AO12" s="42"/>
      <c r="AP12" s="42"/>
      <c r="AQ12" s="42"/>
      <c r="AR12" s="42"/>
      <c r="AS12" s="50"/>
      <c r="AT12" s="39"/>
      <c r="AU12" s="39"/>
      <c r="AV12" s="49"/>
      <c r="AW12" s="39"/>
      <c r="AX12" s="39">
        <v>10</v>
      </c>
      <c r="AY12" s="30">
        <v>14542600.689999999</v>
      </c>
      <c r="AZ12" s="42"/>
    </row>
    <row r="13" spans="1:52" ht="39" customHeight="1" x14ac:dyDescent="0.25">
      <c r="A13" s="61" t="s">
        <v>1950</v>
      </c>
      <c r="B13" s="62">
        <v>45328</v>
      </c>
      <c r="C13" s="42" t="s">
        <v>496</v>
      </c>
      <c r="D13" s="37"/>
      <c r="E13" s="41" t="s">
        <v>1951</v>
      </c>
      <c r="F13" s="38"/>
      <c r="G13" s="39"/>
      <c r="H13" s="42"/>
      <c r="I13" s="64" t="s">
        <v>1952</v>
      </c>
      <c r="J13" s="63">
        <v>1656207.3</v>
      </c>
      <c r="K13" s="43">
        <v>0</v>
      </c>
      <c r="L13" s="56">
        <v>0</v>
      </c>
      <c r="M13" s="56">
        <v>0</v>
      </c>
      <c r="N13" s="44">
        <v>100</v>
      </c>
      <c r="O13" s="45">
        <v>1656207.3</v>
      </c>
      <c r="P13" s="43"/>
      <c r="Q13" s="45">
        <v>1656207.3</v>
      </c>
      <c r="R13" s="43">
        <v>0</v>
      </c>
      <c r="S13" s="30">
        <v>0</v>
      </c>
      <c r="T13" s="30">
        <v>0</v>
      </c>
      <c r="U13" s="30" t="e">
        <v>#DIV/0!</v>
      </c>
      <c r="V13" s="43" t="e">
        <v>#DIV/0!</v>
      </c>
      <c r="W13" s="43" t="e">
        <v>#DIV/0!</v>
      </c>
      <c r="X13" s="43">
        <v>0</v>
      </c>
      <c r="Y13" s="43">
        <v>0</v>
      </c>
      <c r="Z13" s="43">
        <v>0</v>
      </c>
      <c r="AA13" s="43">
        <v>0</v>
      </c>
      <c r="AB13" s="43"/>
      <c r="AC13" s="43" t="e">
        <v>#DIV/0!</v>
      </c>
      <c r="AD13" s="43"/>
      <c r="AE13" s="43" t="e">
        <v>#DIV/0!</v>
      </c>
      <c r="AF13" s="43" t="e">
        <v>#DIV/0!</v>
      </c>
      <c r="AG13" s="43" t="e">
        <v>#DIV/0!</v>
      </c>
      <c r="AH13" s="38">
        <v>45397</v>
      </c>
      <c r="AI13" s="38"/>
      <c r="AJ13" s="38"/>
      <c r="AK13" s="38"/>
      <c r="AL13" s="38"/>
      <c r="AM13" s="48"/>
      <c r="AN13" s="42"/>
      <c r="AO13" s="42"/>
      <c r="AP13" s="42"/>
      <c r="AQ13" s="42"/>
      <c r="AR13" s="42"/>
      <c r="AS13" s="50"/>
      <c r="AT13" s="39"/>
      <c r="AU13" s="39"/>
      <c r="AV13" s="49"/>
      <c r="AW13" s="39"/>
      <c r="AX13" s="39">
        <v>10</v>
      </c>
      <c r="AY13" s="30">
        <v>165620.73000000001</v>
      </c>
      <c r="AZ13" s="42"/>
    </row>
    <row r="14" spans="1:52" ht="39" customHeight="1" x14ac:dyDescent="0.25">
      <c r="A14" s="61" t="s">
        <v>1959</v>
      </c>
      <c r="B14" s="62">
        <v>45329</v>
      </c>
      <c r="C14" s="42" t="s">
        <v>1960</v>
      </c>
      <c r="D14" s="39" t="s">
        <v>434</v>
      </c>
      <c r="E14" s="41" t="s">
        <v>1961</v>
      </c>
      <c r="F14" s="39" t="s">
        <v>434</v>
      </c>
      <c r="G14" s="39" t="s">
        <v>434</v>
      </c>
      <c r="H14" s="39" t="s">
        <v>434</v>
      </c>
      <c r="I14" s="64" t="s">
        <v>1917</v>
      </c>
      <c r="J14" s="63">
        <v>8860135.6799999997</v>
      </c>
      <c r="K14" s="43">
        <v>0</v>
      </c>
      <c r="L14" s="56">
        <v>0</v>
      </c>
      <c r="M14" s="56">
        <v>0</v>
      </c>
      <c r="N14" s="44">
        <v>100</v>
      </c>
      <c r="O14" s="45">
        <v>8860135.6799999997</v>
      </c>
      <c r="P14" s="43"/>
      <c r="Q14" s="45">
        <v>8860135.6799999997</v>
      </c>
      <c r="R14" s="43">
        <v>0</v>
      </c>
      <c r="S14" s="30">
        <v>0</v>
      </c>
      <c r="T14" s="30">
        <v>0</v>
      </c>
      <c r="U14" s="30" t="e">
        <v>#DIV/0!</v>
      </c>
      <c r="V14" s="43" t="e">
        <v>#DIV/0!</v>
      </c>
      <c r="W14" s="43" t="e">
        <v>#DIV/0!</v>
      </c>
      <c r="X14" s="43">
        <v>0</v>
      </c>
      <c r="Y14" s="43">
        <v>0</v>
      </c>
      <c r="Z14" s="43">
        <v>0</v>
      </c>
      <c r="AA14" s="43">
        <v>0</v>
      </c>
      <c r="AB14" s="43"/>
      <c r="AC14" s="43" t="e">
        <v>#DIV/0!</v>
      </c>
      <c r="AD14" s="43"/>
      <c r="AE14" s="43" t="e">
        <v>#DIV/0!</v>
      </c>
      <c r="AF14" s="43" t="e">
        <v>#DIV/0!</v>
      </c>
      <c r="AG14" s="43" t="e">
        <v>#DIV/0!</v>
      </c>
      <c r="AH14" s="38">
        <v>45397</v>
      </c>
      <c r="AI14" s="38"/>
      <c r="AJ14" s="38"/>
      <c r="AK14" s="38"/>
      <c r="AL14" s="38"/>
      <c r="AM14" s="48"/>
      <c r="AN14" s="42"/>
      <c r="AO14" s="42"/>
      <c r="AP14" s="42"/>
      <c r="AQ14" s="42"/>
      <c r="AR14" s="42"/>
      <c r="AS14" s="50"/>
      <c r="AT14" s="39"/>
      <c r="AU14" s="39"/>
      <c r="AV14" s="49"/>
      <c r="AW14" s="39"/>
      <c r="AX14" s="39">
        <v>10</v>
      </c>
      <c r="AY14" s="30">
        <v>886013.56799999997</v>
      </c>
      <c r="AZ14" s="42" t="s">
        <v>434</v>
      </c>
    </row>
    <row r="15" spans="1:52" ht="39" customHeight="1" x14ac:dyDescent="0.25">
      <c r="A15" s="61" t="s">
        <v>1972</v>
      </c>
      <c r="B15" s="62">
        <v>45329</v>
      </c>
      <c r="C15" s="42" t="s">
        <v>1960</v>
      </c>
      <c r="D15" s="37" t="s">
        <v>1973</v>
      </c>
      <c r="E15" s="41" t="s">
        <v>1974</v>
      </c>
      <c r="F15" s="38">
        <v>45341</v>
      </c>
      <c r="G15" s="39" t="s">
        <v>1975</v>
      </c>
      <c r="H15" s="42" t="s">
        <v>1129</v>
      </c>
      <c r="I15" s="65" t="s">
        <v>1940</v>
      </c>
      <c r="J15" s="63">
        <v>3873870</v>
      </c>
      <c r="K15" s="43">
        <v>0</v>
      </c>
      <c r="L15" s="56">
        <v>0</v>
      </c>
      <c r="M15" s="56">
        <v>0</v>
      </c>
      <c r="N15" s="44">
        <v>0</v>
      </c>
      <c r="O15" s="45">
        <v>0</v>
      </c>
      <c r="P15" s="63">
        <v>3873870</v>
      </c>
      <c r="Q15" s="45">
        <v>0</v>
      </c>
      <c r="R15" s="63">
        <v>3873870</v>
      </c>
      <c r="S15" s="30">
        <v>3873870</v>
      </c>
      <c r="T15" s="30">
        <v>3873870</v>
      </c>
      <c r="U15" s="30">
        <v>77</v>
      </c>
      <c r="V15" s="43">
        <v>77</v>
      </c>
      <c r="W15" s="43">
        <v>7700</v>
      </c>
      <c r="X15" s="43">
        <v>50310</v>
      </c>
      <c r="Y15" s="43">
        <v>50310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503.1</v>
      </c>
      <c r="AG15" s="43">
        <v>504</v>
      </c>
      <c r="AH15" s="38">
        <v>45397</v>
      </c>
      <c r="AI15" s="38"/>
      <c r="AJ15" s="38"/>
      <c r="AK15" s="38">
        <v>45427</v>
      </c>
      <c r="AL15" s="38"/>
      <c r="AM15" s="48"/>
      <c r="AN15" s="42"/>
      <c r="AO15" s="42" t="s">
        <v>1976</v>
      </c>
      <c r="AP15" s="42" t="s">
        <v>1977</v>
      </c>
      <c r="AQ15" s="42" t="s">
        <v>1978</v>
      </c>
      <c r="AR15" s="42" t="s">
        <v>82</v>
      </c>
      <c r="AS15" s="50">
        <v>100</v>
      </c>
      <c r="AT15" s="39">
        <v>0</v>
      </c>
      <c r="AU15" s="39" t="s">
        <v>389</v>
      </c>
      <c r="AV15" s="49">
        <v>100</v>
      </c>
      <c r="AW15" s="39" t="s">
        <v>221</v>
      </c>
      <c r="AX15" s="39">
        <v>10</v>
      </c>
      <c r="AY15" s="30">
        <v>387387</v>
      </c>
      <c r="AZ15" s="42" t="s">
        <v>405</v>
      </c>
    </row>
    <row r="16" spans="1:52" ht="39" customHeight="1" x14ac:dyDescent="0.25">
      <c r="A16" s="61" t="s">
        <v>1979</v>
      </c>
      <c r="B16" s="62">
        <v>45329</v>
      </c>
      <c r="C16" s="42" t="s">
        <v>1960</v>
      </c>
      <c r="D16" s="37" t="s">
        <v>1980</v>
      </c>
      <c r="E16" s="41" t="s">
        <v>1981</v>
      </c>
      <c r="F16" s="38">
        <v>45341</v>
      </c>
      <c r="G16" s="39" t="s">
        <v>1982</v>
      </c>
      <c r="H16" s="42" t="s">
        <v>1129</v>
      </c>
      <c r="I16" s="64" t="s">
        <v>1946</v>
      </c>
      <c r="J16" s="63">
        <v>18761.599999999999</v>
      </c>
      <c r="K16" s="43">
        <v>0</v>
      </c>
      <c r="L16" s="56">
        <v>0</v>
      </c>
      <c r="M16" s="56">
        <v>0</v>
      </c>
      <c r="N16" s="44">
        <v>0</v>
      </c>
      <c r="O16" s="45">
        <v>0</v>
      </c>
      <c r="P16" s="43">
        <v>18761.599999999999</v>
      </c>
      <c r="Q16" s="45">
        <v>0</v>
      </c>
      <c r="R16" s="43">
        <v>18761.599999999999</v>
      </c>
      <c r="S16" s="30">
        <v>18761.599999999999</v>
      </c>
      <c r="T16" s="30">
        <v>18761.599999999999</v>
      </c>
      <c r="U16" s="30">
        <v>180.39999999999998</v>
      </c>
      <c r="V16" s="43">
        <v>180.39999999999998</v>
      </c>
      <c r="W16" s="43">
        <v>90.199999999999989</v>
      </c>
      <c r="X16" s="43">
        <v>104</v>
      </c>
      <c r="Y16" s="43">
        <v>104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208</v>
      </c>
      <c r="AG16" s="43">
        <v>208</v>
      </c>
      <c r="AH16" s="38">
        <v>45397</v>
      </c>
      <c r="AI16" s="38"/>
      <c r="AJ16" s="38"/>
      <c r="AK16" s="38">
        <v>45427</v>
      </c>
      <c r="AL16" s="38"/>
      <c r="AM16" s="48"/>
      <c r="AN16" s="42"/>
      <c r="AO16" s="42" t="s">
        <v>1983</v>
      </c>
      <c r="AP16" s="42" t="s">
        <v>1984</v>
      </c>
      <c r="AQ16" s="42" t="s">
        <v>1985</v>
      </c>
      <c r="AR16" s="42" t="s">
        <v>82</v>
      </c>
      <c r="AS16" s="50">
        <v>100</v>
      </c>
      <c r="AT16" s="39">
        <v>0</v>
      </c>
      <c r="AU16" s="39" t="s">
        <v>346</v>
      </c>
      <c r="AV16" s="54">
        <v>0.5</v>
      </c>
      <c r="AW16" s="39" t="s">
        <v>221</v>
      </c>
      <c r="AX16" s="39">
        <v>10</v>
      </c>
      <c r="AY16" s="30">
        <v>1876.16</v>
      </c>
      <c r="AZ16" s="42" t="s">
        <v>405</v>
      </c>
    </row>
    <row r="17" spans="1:52" ht="39" customHeight="1" x14ac:dyDescent="0.25">
      <c r="A17" s="61" t="s">
        <v>1988</v>
      </c>
      <c r="B17" s="62">
        <v>45329</v>
      </c>
      <c r="C17" s="42" t="s">
        <v>1960</v>
      </c>
      <c r="D17" s="39" t="s">
        <v>434</v>
      </c>
      <c r="E17" s="41" t="s">
        <v>1989</v>
      </c>
      <c r="F17" s="39" t="s">
        <v>434</v>
      </c>
      <c r="G17" s="39" t="s">
        <v>434</v>
      </c>
      <c r="H17" s="39" t="s">
        <v>434</v>
      </c>
      <c r="I17" s="64" t="s">
        <v>1990</v>
      </c>
      <c r="J17" s="63">
        <v>336050</v>
      </c>
      <c r="K17" s="43">
        <v>0</v>
      </c>
      <c r="L17" s="56">
        <v>0</v>
      </c>
      <c r="M17" s="56">
        <v>0</v>
      </c>
      <c r="N17" s="44">
        <v>100</v>
      </c>
      <c r="O17" s="45">
        <v>336050</v>
      </c>
      <c r="P17" s="43"/>
      <c r="Q17" s="45">
        <v>336050</v>
      </c>
      <c r="R17" s="43">
        <v>0</v>
      </c>
      <c r="S17" s="30">
        <v>0</v>
      </c>
      <c r="T17" s="30">
        <v>0</v>
      </c>
      <c r="U17" s="30" t="e">
        <v>#DIV/0!</v>
      </c>
      <c r="V17" s="43" t="e">
        <v>#DIV/0!</v>
      </c>
      <c r="W17" s="43" t="e">
        <v>#DIV/0!</v>
      </c>
      <c r="X17" s="43">
        <v>0</v>
      </c>
      <c r="Y17" s="43">
        <v>0</v>
      </c>
      <c r="Z17" s="43">
        <v>0</v>
      </c>
      <c r="AA17" s="43">
        <v>0</v>
      </c>
      <c r="AB17" s="43"/>
      <c r="AC17" s="43" t="e">
        <v>#DIV/0!</v>
      </c>
      <c r="AD17" s="43"/>
      <c r="AE17" s="43" t="e">
        <v>#DIV/0!</v>
      </c>
      <c r="AF17" s="43" t="e">
        <v>#DIV/0!</v>
      </c>
      <c r="AG17" s="43" t="e">
        <v>#DIV/0!</v>
      </c>
      <c r="AH17" s="38">
        <v>45397</v>
      </c>
      <c r="AI17" s="38"/>
      <c r="AJ17" s="38"/>
      <c r="AK17" s="38"/>
      <c r="AL17" s="38"/>
      <c r="AM17" s="48"/>
      <c r="AN17" s="42"/>
      <c r="AO17" s="42"/>
      <c r="AP17" s="42"/>
      <c r="AQ17" s="42"/>
      <c r="AR17" s="42"/>
      <c r="AS17" s="50"/>
      <c r="AT17" s="39"/>
      <c r="AU17" s="39"/>
      <c r="AV17" s="49"/>
      <c r="AW17" s="39"/>
      <c r="AX17" s="39">
        <v>10</v>
      </c>
      <c r="AY17" s="30">
        <v>33605</v>
      </c>
      <c r="AZ17" s="42" t="s">
        <v>434</v>
      </c>
    </row>
    <row r="18" spans="1:52" ht="39" customHeight="1" x14ac:dyDescent="0.25">
      <c r="A18" s="61" t="s">
        <v>1995</v>
      </c>
      <c r="B18" s="62">
        <v>45330</v>
      </c>
      <c r="C18" s="42" t="s">
        <v>1960</v>
      </c>
      <c r="D18" s="37"/>
      <c r="E18" s="41" t="s">
        <v>1996</v>
      </c>
      <c r="F18" s="38">
        <v>45342</v>
      </c>
      <c r="G18" s="39" t="s">
        <v>1997</v>
      </c>
      <c r="H18" s="42" t="s">
        <v>1129</v>
      </c>
      <c r="I18" s="64" t="s">
        <v>1998</v>
      </c>
      <c r="J18" s="63">
        <v>363739.7</v>
      </c>
      <c r="K18" s="43">
        <v>0</v>
      </c>
      <c r="L18" s="56">
        <v>0</v>
      </c>
      <c r="M18" s="56">
        <v>0</v>
      </c>
      <c r="N18" s="44">
        <v>0</v>
      </c>
      <c r="O18" s="45">
        <v>0</v>
      </c>
      <c r="P18" s="43">
        <v>363739.7</v>
      </c>
      <c r="Q18" s="45">
        <v>0</v>
      </c>
      <c r="R18" s="63">
        <v>363739.7</v>
      </c>
      <c r="S18" s="30">
        <v>363739.7</v>
      </c>
      <c r="T18" s="30">
        <v>363739.7</v>
      </c>
      <c r="U18" s="30">
        <v>32.39</v>
      </c>
      <c r="V18" s="43">
        <v>32.39</v>
      </c>
      <c r="W18" s="43">
        <v>226.73000000000002</v>
      </c>
      <c r="X18" s="43">
        <v>11230</v>
      </c>
      <c r="Y18" s="43">
        <v>11230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1604.2857142857142</v>
      </c>
      <c r="AG18" s="43">
        <v>1605</v>
      </c>
      <c r="AH18" s="38">
        <v>45397</v>
      </c>
      <c r="AI18" s="38"/>
      <c r="AJ18" s="38"/>
      <c r="AK18" s="38">
        <v>45427</v>
      </c>
      <c r="AL18" s="38"/>
      <c r="AM18" s="48"/>
      <c r="AN18" s="42"/>
      <c r="AO18" s="42" t="s">
        <v>1999</v>
      </c>
      <c r="AP18" s="42" t="s">
        <v>2000</v>
      </c>
      <c r="AQ18" s="42" t="s">
        <v>2001</v>
      </c>
      <c r="AR18" s="42" t="s">
        <v>82</v>
      </c>
      <c r="AS18" s="50">
        <v>100</v>
      </c>
      <c r="AT18" s="39">
        <v>0</v>
      </c>
      <c r="AU18" s="39" t="s">
        <v>389</v>
      </c>
      <c r="AV18" s="49">
        <v>7</v>
      </c>
      <c r="AW18" s="39" t="s">
        <v>221</v>
      </c>
      <c r="AX18" s="39">
        <v>10</v>
      </c>
      <c r="AY18" s="30">
        <v>36373.97</v>
      </c>
      <c r="AZ18" s="42" t="s">
        <v>405</v>
      </c>
    </row>
    <row r="19" spans="1:52" ht="39" customHeight="1" x14ac:dyDescent="0.25">
      <c r="A19" s="61" t="s">
        <v>2002</v>
      </c>
      <c r="B19" s="62">
        <v>45330</v>
      </c>
      <c r="C19" s="42" t="s">
        <v>1960</v>
      </c>
      <c r="D19" s="37"/>
      <c r="E19" s="41" t="s">
        <v>2003</v>
      </c>
      <c r="F19" s="38">
        <v>45342</v>
      </c>
      <c r="G19" s="39" t="s">
        <v>2004</v>
      </c>
      <c r="H19" s="42" t="s">
        <v>1129</v>
      </c>
      <c r="I19" s="65" t="s">
        <v>1923</v>
      </c>
      <c r="J19" s="63">
        <v>133650</v>
      </c>
      <c r="K19" s="43">
        <v>0</v>
      </c>
      <c r="L19" s="56">
        <v>0</v>
      </c>
      <c r="M19" s="56">
        <v>0</v>
      </c>
      <c r="N19" s="44">
        <v>0</v>
      </c>
      <c r="O19" s="45">
        <v>0</v>
      </c>
      <c r="P19" s="63">
        <v>133650</v>
      </c>
      <c r="Q19" s="45">
        <v>0</v>
      </c>
      <c r="R19" s="63">
        <v>133650</v>
      </c>
      <c r="S19" s="30">
        <v>133650</v>
      </c>
      <c r="T19" s="30">
        <v>133650</v>
      </c>
      <c r="U19" s="30">
        <v>49.5</v>
      </c>
      <c r="V19" s="43">
        <v>49.5</v>
      </c>
      <c r="W19" s="43">
        <v>4950</v>
      </c>
      <c r="X19" s="43">
        <v>2700</v>
      </c>
      <c r="Y19" s="43">
        <v>2700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27</v>
      </c>
      <c r="AG19" s="43">
        <v>27</v>
      </c>
      <c r="AH19" s="38">
        <v>45397</v>
      </c>
      <c r="AI19" s="38"/>
      <c r="AJ19" s="38"/>
      <c r="AK19" s="38">
        <v>45427</v>
      </c>
      <c r="AL19" s="38"/>
      <c r="AM19" s="48"/>
      <c r="AN19" s="42"/>
      <c r="AO19" s="42" t="s">
        <v>2005</v>
      </c>
      <c r="AP19" s="42" t="s">
        <v>2006</v>
      </c>
      <c r="AQ19" s="42" t="s">
        <v>2007</v>
      </c>
      <c r="AR19" s="42" t="s">
        <v>82</v>
      </c>
      <c r="AS19" s="50">
        <v>100</v>
      </c>
      <c r="AT19" s="39">
        <v>0</v>
      </c>
      <c r="AU19" s="39" t="s">
        <v>389</v>
      </c>
      <c r="AV19" s="49">
        <v>100</v>
      </c>
      <c r="AW19" s="39" t="s">
        <v>221</v>
      </c>
      <c r="AX19" s="39">
        <v>10</v>
      </c>
      <c r="AY19" s="30">
        <v>13365</v>
      </c>
      <c r="AZ19" s="42" t="s">
        <v>405</v>
      </c>
    </row>
    <row r="20" spans="1:52" ht="39" customHeight="1" x14ac:dyDescent="0.25">
      <c r="A20" s="61" t="s">
        <v>2010</v>
      </c>
      <c r="B20" s="62">
        <v>45330</v>
      </c>
      <c r="C20" s="42" t="s">
        <v>496</v>
      </c>
      <c r="D20" s="37"/>
      <c r="E20" s="41" t="s">
        <v>2011</v>
      </c>
      <c r="F20" s="38"/>
      <c r="G20" s="39"/>
      <c r="H20" s="42"/>
      <c r="I20" s="40" t="s">
        <v>499</v>
      </c>
      <c r="J20" s="63">
        <v>24734665.559999999</v>
      </c>
      <c r="K20" s="43">
        <v>0</v>
      </c>
      <c r="L20" s="56">
        <v>0</v>
      </c>
      <c r="M20" s="56">
        <v>0</v>
      </c>
      <c r="N20" s="44">
        <v>100</v>
      </c>
      <c r="O20" s="45">
        <v>24734665.559999999</v>
      </c>
      <c r="P20" s="43"/>
      <c r="Q20" s="45">
        <v>24734665.559999999</v>
      </c>
      <c r="R20" s="43">
        <v>0</v>
      </c>
      <c r="S20" s="30">
        <v>0</v>
      </c>
      <c r="T20" s="30">
        <v>0</v>
      </c>
      <c r="U20" s="30" t="e">
        <v>#DIV/0!</v>
      </c>
      <c r="V20" s="43" t="e">
        <v>#DIV/0!</v>
      </c>
      <c r="W20" s="43" t="e">
        <v>#DIV/0!</v>
      </c>
      <c r="X20" s="43">
        <v>0</v>
      </c>
      <c r="Y20" s="43">
        <v>0</v>
      </c>
      <c r="Z20" s="43">
        <v>0</v>
      </c>
      <c r="AA20" s="43">
        <v>0</v>
      </c>
      <c r="AB20" s="43"/>
      <c r="AC20" s="43" t="e">
        <v>#DIV/0!</v>
      </c>
      <c r="AD20" s="43"/>
      <c r="AE20" s="43" t="e">
        <v>#DIV/0!</v>
      </c>
      <c r="AF20" s="43" t="e">
        <v>#DIV/0!</v>
      </c>
      <c r="AG20" s="43" t="e">
        <v>#DIV/0!</v>
      </c>
      <c r="AH20" s="38">
        <v>45397</v>
      </c>
      <c r="AI20" s="38"/>
      <c r="AJ20" s="38"/>
      <c r="AK20" s="38"/>
      <c r="AL20" s="38"/>
      <c r="AM20" s="48"/>
      <c r="AN20" s="42"/>
      <c r="AO20" s="42"/>
      <c r="AP20" s="42"/>
      <c r="AQ20" s="42"/>
      <c r="AR20" s="42"/>
      <c r="AS20" s="50"/>
      <c r="AT20" s="39"/>
      <c r="AU20" s="39"/>
      <c r="AV20" s="49"/>
      <c r="AW20" s="39"/>
      <c r="AX20" s="39">
        <v>10</v>
      </c>
      <c r="AY20" s="30">
        <v>2473466.5559999999</v>
      </c>
      <c r="AZ20" s="42"/>
    </row>
    <row r="21" spans="1:52" ht="41.25" customHeight="1" x14ac:dyDescent="0.25">
      <c r="A21" s="61" t="s">
        <v>2025</v>
      </c>
      <c r="B21" s="62">
        <v>45330</v>
      </c>
      <c r="C21" s="42" t="s">
        <v>1960</v>
      </c>
      <c r="D21" s="37"/>
      <c r="E21" s="41" t="s">
        <v>2026</v>
      </c>
      <c r="F21" s="38">
        <v>45342</v>
      </c>
      <c r="G21" s="39" t="s">
        <v>2027</v>
      </c>
      <c r="H21" s="42" t="s">
        <v>1129</v>
      </c>
      <c r="I21" s="64" t="s">
        <v>2028</v>
      </c>
      <c r="J21" s="63">
        <v>198000</v>
      </c>
      <c r="K21" s="43">
        <v>0</v>
      </c>
      <c r="L21" s="56">
        <v>0</v>
      </c>
      <c r="M21" s="56">
        <v>0</v>
      </c>
      <c r="N21" s="44">
        <v>0</v>
      </c>
      <c r="O21" s="45">
        <v>0</v>
      </c>
      <c r="P21" s="63">
        <v>198000</v>
      </c>
      <c r="Q21" s="45">
        <v>0</v>
      </c>
      <c r="R21" s="63">
        <v>198000</v>
      </c>
      <c r="S21" s="30">
        <v>198000</v>
      </c>
      <c r="T21" s="30">
        <v>198000</v>
      </c>
      <c r="U21" s="30">
        <v>396</v>
      </c>
      <c r="V21" s="43">
        <v>396</v>
      </c>
      <c r="W21" s="43">
        <v>39600</v>
      </c>
      <c r="X21" s="43">
        <v>500</v>
      </c>
      <c r="Y21" s="43">
        <v>500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5</v>
      </c>
      <c r="AG21" s="43">
        <v>5</v>
      </c>
      <c r="AH21" s="38">
        <v>45397</v>
      </c>
      <c r="AI21" s="38"/>
      <c r="AJ21" s="38"/>
      <c r="AK21" s="38">
        <v>45427</v>
      </c>
      <c r="AL21" s="38"/>
      <c r="AM21" s="48"/>
      <c r="AN21" s="42"/>
      <c r="AO21" s="42" t="s">
        <v>2029</v>
      </c>
      <c r="AP21" s="42" t="s">
        <v>2030</v>
      </c>
      <c r="AQ21" s="42" t="s">
        <v>2031</v>
      </c>
      <c r="AR21" s="42" t="s">
        <v>82</v>
      </c>
      <c r="AS21" s="50">
        <v>100</v>
      </c>
      <c r="AT21" s="39">
        <v>0</v>
      </c>
      <c r="AU21" s="39" t="s">
        <v>389</v>
      </c>
      <c r="AV21" s="49">
        <v>100</v>
      </c>
      <c r="AW21" s="39" t="s">
        <v>221</v>
      </c>
      <c r="AX21" s="39">
        <v>10</v>
      </c>
      <c r="AY21" s="30">
        <v>19800</v>
      </c>
      <c r="AZ21" s="42" t="s">
        <v>405</v>
      </c>
    </row>
    <row r="22" spans="1:52" ht="41.25" customHeight="1" x14ac:dyDescent="0.25">
      <c r="A22" s="37" t="s">
        <v>2032</v>
      </c>
      <c r="B22" s="38">
        <v>45331</v>
      </c>
      <c r="C22" s="42" t="s">
        <v>1960</v>
      </c>
      <c r="D22" s="37"/>
      <c r="E22" s="41" t="s">
        <v>2033</v>
      </c>
      <c r="F22" s="38">
        <v>45343</v>
      </c>
      <c r="G22" s="39" t="s">
        <v>2034</v>
      </c>
      <c r="H22" s="42" t="s">
        <v>1129</v>
      </c>
      <c r="I22" s="36" t="s">
        <v>1952</v>
      </c>
      <c r="J22" s="43">
        <v>148830</v>
      </c>
      <c r="K22" s="43">
        <v>0</v>
      </c>
      <c r="L22" s="56">
        <v>0</v>
      </c>
      <c r="M22" s="56">
        <v>0</v>
      </c>
      <c r="N22" s="44">
        <v>0</v>
      </c>
      <c r="O22" s="45">
        <v>0</v>
      </c>
      <c r="P22" s="43">
        <v>148830</v>
      </c>
      <c r="Q22" s="45">
        <v>0</v>
      </c>
      <c r="R22" s="43">
        <v>148830</v>
      </c>
      <c r="S22" s="30">
        <v>148830</v>
      </c>
      <c r="T22" s="30">
        <v>148830</v>
      </c>
      <c r="U22" s="30">
        <v>180.4</v>
      </c>
      <c r="V22" s="43">
        <v>180.4</v>
      </c>
      <c r="W22" s="43">
        <v>135.30000000000001</v>
      </c>
      <c r="X22" s="43">
        <v>825</v>
      </c>
      <c r="Y22" s="43">
        <v>825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1100</v>
      </c>
      <c r="AG22" s="43">
        <v>1100</v>
      </c>
      <c r="AH22" s="38">
        <v>45397</v>
      </c>
      <c r="AI22" s="38"/>
      <c r="AJ22" s="38"/>
      <c r="AK22" s="38">
        <v>45427</v>
      </c>
      <c r="AL22" s="38"/>
      <c r="AM22" s="48"/>
      <c r="AN22" s="42"/>
      <c r="AO22" s="42" t="s">
        <v>1983</v>
      </c>
      <c r="AP22" s="42" t="s">
        <v>2035</v>
      </c>
      <c r="AQ22" s="42" t="s">
        <v>1985</v>
      </c>
      <c r="AR22" s="42" t="s">
        <v>82</v>
      </c>
      <c r="AS22" s="50">
        <v>100</v>
      </c>
      <c r="AT22" s="39">
        <v>0</v>
      </c>
      <c r="AU22" s="39" t="s">
        <v>346</v>
      </c>
      <c r="AV22" s="43">
        <v>0.75</v>
      </c>
      <c r="AW22" s="39" t="s">
        <v>221</v>
      </c>
      <c r="AX22" s="39">
        <v>10</v>
      </c>
      <c r="AY22" s="30">
        <v>14883</v>
      </c>
      <c r="AZ22" s="42" t="s">
        <v>405</v>
      </c>
    </row>
    <row r="23" spans="1:52" ht="41.25" customHeight="1" x14ac:dyDescent="0.25">
      <c r="A23" s="37" t="s">
        <v>2041</v>
      </c>
      <c r="B23" s="38">
        <v>45331</v>
      </c>
      <c r="C23" s="42" t="s">
        <v>2042</v>
      </c>
      <c r="D23" s="39" t="s">
        <v>434</v>
      </c>
      <c r="E23" s="41" t="s">
        <v>2043</v>
      </c>
      <c r="F23" s="39" t="s">
        <v>434</v>
      </c>
      <c r="G23" s="39" t="s">
        <v>434</v>
      </c>
      <c r="H23" s="39" t="s">
        <v>434</v>
      </c>
      <c r="I23" s="36" t="s">
        <v>2044</v>
      </c>
      <c r="J23" s="43">
        <v>524851.19999999995</v>
      </c>
      <c r="K23" s="43">
        <v>0</v>
      </c>
      <c r="L23" s="56">
        <v>0</v>
      </c>
      <c r="M23" s="56">
        <v>0</v>
      </c>
      <c r="N23" s="44">
        <v>100</v>
      </c>
      <c r="O23" s="45">
        <v>524851.19999999995</v>
      </c>
      <c r="P23" s="43"/>
      <c r="Q23" s="45">
        <v>524851.19999999995</v>
      </c>
      <c r="R23" s="43">
        <v>0</v>
      </c>
      <c r="S23" s="30">
        <v>0</v>
      </c>
      <c r="T23" s="30">
        <v>0</v>
      </c>
      <c r="U23" s="30" t="e">
        <v>#DIV/0!</v>
      </c>
      <c r="V23" s="43" t="e">
        <v>#DIV/0!</v>
      </c>
      <c r="W23" s="43" t="e">
        <v>#DIV/0!</v>
      </c>
      <c r="X23" s="43">
        <v>0</v>
      </c>
      <c r="Y23" s="43">
        <v>0</v>
      </c>
      <c r="Z23" s="43">
        <v>0</v>
      </c>
      <c r="AA23" s="43">
        <v>0</v>
      </c>
      <c r="AB23" s="43"/>
      <c r="AC23" s="43" t="e">
        <v>#DIV/0!</v>
      </c>
      <c r="AD23" s="43"/>
      <c r="AE23" s="43" t="e">
        <v>#DIV/0!</v>
      </c>
      <c r="AF23" s="43" t="e">
        <v>#DIV/0!</v>
      </c>
      <c r="AG23" s="43" t="e">
        <v>#DIV/0!</v>
      </c>
      <c r="AH23" s="38">
        <v>45397</v>
      </c>
      <c r="AI23" s="38"/>
      <c r="AJ23" s="38"/>
      <c r="AK23" s="38"/>
      <c r="AL23" s="38"/>
      <c r="AM23" s="48"/>
      <c r="AN23" s="42"/>
      <c r="AO23" s="42"/>
      <c r="AP23" s="42"/>
      <c r="AQ23" s="42"/>
      <c r="AR23" s="42"/>
      <c r="AS23" s="50"/>
      <c r="AT23" s="39"/>
      <c r="AU23" s="39"/>
      <c r="AV23" s="49"/>
      <c r="AW23" s="39"/>
      <c r="AX23" s="39">
        <v>10</v>
      </c>
      <c r="AY23" s="30">
        <v>52485.120000000003</v>
      </c>
      <c r="AZ23" s="42" t="s">
        <v>434</v>
      </c>
    </row>
    <row r="24" spans="1:52" ht="15.75" customHeight="1" x14ac:dyDescent="0.25">
      <c r="A24" s="46"/>
      <c r="B24" s="38"/>
      <c r="C24" s="39"/>
      <c r="D24" s="37"/>
      <c r="E24" s="42"/>
      <c r="F24" s="38"/>
      <c r="G24" s="39"/>
      <c r="H24" s="42"/>
      <c r="I24" s="42"/>
      <c r="J24" s="43">
        <v>0</v>
      </c>
      <c r="K24" s="43">
        <v>0</v>
      </c>
      <c r="L24" s="56">
        <v>0</v>
      </c>
      <c r="M24" s="56">
        <v>0</v>
      </c>
      <c r="N24" s="44" t="e">
        <f t="shared" ref="N3:N66" si="0">((J24-P24)/J24)*100</f>
        <v>#DIV/0!</v>
      </c>
      <c r="O24" s="45">
        <f t="shared" ref="O3:O66" si="1">J24-P24</f>
        <v>0</v>
      </c>
      <c r="P24" s="43"/>
      <c r="Q24" s="45">
        <f t="shared" ref="Q3:Q66" si="2">J24-R24</f>
        <v>0</v>
      </c>
      <c r="R24" s="43">
        <v>0</v>
      </c>
      <c r="S24" s="30">
        <f t="shared" ref="S3:T40" si="3">R24</f>
        <v>0</v>
      </c>
      <c r="T24" s="30">
        <f t="shared" si="3"/>
        <v>0</v>
      </c>
      <c r="U24" s="30" t="e">
        <f>T24/X24</f>
        <v>#DIV/0!</v>
      </c>
      <c r="V24" s="43" t="e">
        <f>T24/X24</f>
        <v>#DIV/0!</v>
      </c>
      <c r="W24" s="43" t="e">
        <f t="shared" ref="W3:W66" si="4">V24*AV24</f>
        <v>#DIV/0!</v>
      </c>
      <c r="X24" s="43">
        <f t="shared" ref="X3:X66" si="5">Y24+Z24+AA24</f>
        <v>0</v>
      </c>
      <c r="Y24" s="43">
        <v>0</v>
      </c>
      <c r="Z24" s="43">
        <v>0</v>
      </c>
      <c r="AA24" s="43">
        <v>0</v>
      </c>
      <c r="AB24" s="43"/>
      <c r="AC24" s="43" t="e">
        <f t="shared" ref="AC3:AC66" si="6">AB24*V24</f>
        <v>#DIV/0!</v>
      </c>
      <c r="AD24" s="43"/>
      <c r="AE24" s="43" t="e">
        <f t="shared" ref="AE3:AE66" si="7">AD24*V24</f>
        <v>#DIV/0!</v>
      </c>
      <c r="AF24" s="43" t="e">
        <f t="shared" ref="AF3:AF66" si="8">X24/AV24</f>
        <v>#DIV/0!</v>
      </c>
      <c r="AG24" s="43" t="e">
        <f t="shared" ref="AG3:AG66" si="9">_xlfn.CEILING.MATH(AF24)</f>
        <v>#DIV/0!</v>
      </c>
      <c r="AH24" s="38"/>
      <c r="AI24" s="38"/>
      <c r="AJ24" s="38"/>
      <c r="AK24" s="38"/>
      <c r="AL24" s="38"/>
      <c r="AM24" s="48"/>
      <c r="AN24" s="42"/>
      <c r="AO24" s="42"/>
      <c r="AP24" s="42"/>
      <c r="AQ24" s="42"/>
      <c r="AR24" s="42"/>
      <c r="AS24" s="50"/>
      <c r="AT24" s="39"/>
      <c r="AU24" s="39"/>
      <c r="AV24" s="49"/>
      <c r="AW24" s="39"/>
      <c r="AX24" s="39">
        <v>10</v>
      </c>
      <c r="AY24" s="30">
        <f>(J24*10)/100</f>
        <v>0</v>
      </c>
      <c r="AZ24" s="42"/>
    </row>
    <row r="25" spans="1:52" ht="15.75" customHeight="1" x14ac:dyDescent="0.25">
      <c r="A25" s="46"/>
      <c r="B25" s="38"/>
      <c r="C25" s="39"/>
      <c r="D25" s="37"/>
      <c r="E25" s="42"/>
      <c r="F25" s="38"/>
      <c r="G25" s="39"/>
      <c r="H25" s="42"/>
      <c r="I25" s="42"/>
      <c r="J25" s="43">
        <v>0</v>
      </c>
      <c r="K25" s="43">
        <v>0</v>
      </c>
      <c r="L25" s="56">
        <v>0</v>
      </c>
      <c r="M25" s="56">
        <v>0</v>
      </c>
      <c r="N25" s="44" t="e">
        <f t="shared" si="0"/>
        <v>#DIV/0!</v>
      </c>
      <c r="O25" s="45">
        <f t="shared" si="1"/>
        <v>0</v>
      </c>
      <c r="P25" s="43"/>
      <c r="Q25" s="45">
        <f t="shared" si="2"/>
        <v>0</v>
      </c>
      <c r="R25" s="43">
        <v>0</v>
      </c>
      <c r="S25" s="30">
        <f t="shared" si="3"/>
        <v>0</v>
      </c>
      <c r="T25" s="30">
        <f t="shared" si="3"/>
        <v>0</v>
      </c>
      <c r="U25" s="30" t="e">
        <f>T25/X25</f>
        <v>#DIV/0!</v>
      </c>
      <c r="V25" s="43" t="e">
        <f>T25/X25</f>
        <v>#DIV/0!</v>
      </c>
      <c r="W25" s="43" t="e">
        <f t="shared" si="4"/>
        <v>#DIV/0!</v>
      </c>
      <c r="X25" s="43">
        <f t="shared" si="5"/>
        <v>0</v>
      </c>
      <c r="Y25" s="43">
        <v>0</v>
      </c>
      <c r="Z25" s="43">
        <v>0</v>
      </c>
      <c r="AA25" s="43">
        <v>0</v>
      </c>
      <c r="AB25" s="43"/>
      <c r="AC25" s="43" t="e">
        <f t="shared" si="6"/>
        <v>#DIV/0!</v>
      </c>
      <c r="AD25" s="43"/>
      <c r="AE25" s="43" t="e">
        <f t="shared" si="7"/>
        <v>#DIV/0!</v>
      </c>
      <c r="AF25" s="43" t="e">
        <f t="shared" si="8"/>
        <v>#DIV/0!</v>
      </c>
      <c r="AG25" s="43" t="e">
        <f t="shared" si="9"/>
        <v>#DIV/0!</v>
      </c>
      <c r="AH25" s="38"/>
      <c r="AI25" s="38"/>
      <c r="AJ25" s="38"/>
      <c r="AK25" s="38"/>
      <c r="AL25" s="38"/>
      <c r="AM25" s="48"/>
      <c r="AN25" s="42"/>
      <c r="AO25" s="42"/>
      <c r="AP25" s="42"/>
      <c r="AQ25" s="42"/>
      <c r="AR25" s="42"/>
      <c r="AS25" s="50"/>
      <c r="AT25" s="39"/>
      <c r="AU25" s="39"/>
      <c r="AV25" s="49"/>
      <c r="AW25" s="39"/>
      <c r="AX25" s="39">
        <v>10</v>
      </c>
      <c r="AY25" s="30">
        <f>(J25*10)/100</f>
        <v>0</v>
      </c>
      <c r="AZ25" s="42"/>
    </row>
    <row r="26" spans="1:52" ht="15.75" customHeight="1" x14ac:dyDescent="0.25">
      <c r="A26" s="46"/>
      <c r="B26" s="38"/>
      <c r="C26" s="39"/>
      <c r="D26" s="37"/>
      <c r="E26" s="42"/>
      <c r="F26" s="38"/>
      <c r="G26" s="39"/>
      <c r="H26" s="42"/>
      <c r="I26" s="42"/>
      <c r="J26" s="43">
        <v>0</v>
      </c>
      <c r="K26" s="43">
        <v>0</v>
      </c>
      <c r="L26" s="56">
        <v>0</v>
      </c>
      <c r="M26" s="56">
        <v>0</v>
      </c>
      <c r="N26" s="44" t="e">
        <f t="shared" si="0"/>
        <v>#DIV/0!</v>
      </c>
      <c r="O26" s="45">
        <f t="shared" si="1"/>
        <v>0</v>
      </c>
      <c r="P26" s="43"/>
      <c r="Q26" s="45">
        <f t="shared" si="2"/>
        <v>0</v>
      </c>
      <c r="R26" s="43">
        <v>0</v>
      </c>
      <c r="S26" s="30">
        <f t="shared" si="3"/>
        <v>0</v>
      </c>
      <c r="T26" s="30">
        <f t="shared" si="3"/>
        <v>0</v>
      </c>
      <c r="U26" s="30" t="e">
        <f>T26/X26</f>
        <v>#DIV/0!</v>
      </c>
      <c r="V26" s="43" t="e">
        <f>T26/X26</f>
        <v>#DIV/0!</v>
      </c>
      <c r="W26" s="43" t="e">
        <f t="shared" si="4"/>
        <v>#DIV/0!</v>
      </c>
      <c r="X26" s="43">
        <f t="shared" si="5"/>
        <v>0</v>
      </c>
      <c r="Y26" s="43">
        <v>0</v>
      </c>
      <c r="Z26" s="43">
        <v>0</v>
      </c>
      <c r="AA26" s="43">
        <v>0</v>
      </c>
      <c r="AB26" s="43"/>
      <c r="AC26" s="43" t="e">
        <f t="shared" si="6"/>
        <v>#DIV/0!</v>
      </c>
      <c r="AD26" s="43"/>
      <c r="AE26" s="43" t="e">
        <f t="shared" si="7"/>
        <v>#DIV/0!</v>
      </c>
      <c r="AF26" s="43" t="e">
        <f t="shared" si="8"/>
        <v>#DIV/0!</v>
      </c>
      <c r="AG26" s="43" t="e">
        <f t="shared" si="9"/>
        <v>#DIV/0!</v>
      </c>
      <c r="AH26" s="38"/>
      <c r="AI26" s="38"/>
      <c r="AJ26" s="38"/>
      <c r="AK26" s="38"/>
      <c r="AL26" s="38"/>
      <c r="AM26" s="48"/>
      <c r="AN26" s="42"/>
      <c r="AO26" s="42"/>
      <c r="AP26" s="42"/>
      <c r="AQ26" s="42"/>
      <c r="AR26" s="42"/>
      <c r="AS26" s="50"/>
      <c r="AT26" s="39"/>
      <c r="AU26" s="39"/>
      <c r="AV26" s="49"/>
      <c r="AW26" s="39"/>
      <c r="AX26" s="39">
        <v>10</v>
      </c>
      <c r="AY26" s="30">
        <f>(J26*10)/100</f>
        <v>0</v>
      </c>
      <c r="AZ26" s="42"/>
    </row>
    <row r="27" spans="1:52" ht="15.75" customHeight="1" x14ac:dyDescent="0.25">
      <c r="A27" s="46"/>
      <c r="B27" s="38"/>
      <c r="C27" s="39"/>
      <c r="D27" s="37"/>
      <c r="E27" s="42"/>
      <c r="F27" s="38"/>
      <c r="G27" s="39"/>
      <c r="H27" s="42"/>
      <c r="I27" s="42"/>
      <c r="J27" s="43">
        <v>0</v>
      </c>
      <c r="K27" s="43">
        <v>0</v>
      </c>
      <c r="L27" s="56">
        <v>0</v>
      </c>
      <c r="M27" s="56">
        <v>0</v>
      </c>
      <c r="N27" s="44" t="e">
        <f t="shared" si="0"/>
        <v>#DIV/0!</v>
      </c>
      <c r="O27" s="45">
        <f t="shared" si="1"/>
        <v>0</v>
      </c>
      <c r="P27" s="43"/>
      <c r="Q27" s="45">
        <f t="shared" si="2"/>
        <v>0</v>
      </c>
      <c r="R27" s="43">
        <v>0</v>
      </c>
      <c r="S27" s="30">
        <f t="shared" si="3"/>
        <v>0</v>
      </c>
      <c r="T27" s="30">
        <f t="shared" si="3"/>
        <v>0</v>
      </c>
      <c r="U27" s="30" t="e">
        <f>T27/X27</f>
        <v>#DIV/0!</v>
      </c>
      <c r="V27" s="43" t="e">
        <f>T27/X27</f>
        <v>#DIV/0!</v>
      </c>
      <c r="W27" s="43" t="e">
        <f t="shared" si="4"/>
        <v>#DIV/0!</v>
      </c>
      <c r="X27" s="43">
        <f t="shared" si="5"/>
        <v>0</v>
      </c>
      <c r="Y27" s="43">
        <v>0</v>
      </c>
      <c r="Z27" s="43">
        <v>0</v>
      </c>
      <c r="AA27" s="43">
        <v>0</v>
      </c>
      <c r="AB27" s="43"/>
      <c r="AC27" s="43" t="e">
        <f t="shared" si="6"/>
        <v>#DIV/0!</v>
      </c>
      <c r="AD27" s="43"/>
      <c r="AE27" s="43" t="e">
        <f t="shared" si="7"/>
        <v>#DIV/0!</v>
      </c>
      <c r="AF27" s="43" t="e">
        <f t="shared" si="8"/>
        <v>#DIV/0!</v>
      </c>
      <c r="AG27" s="43" t="e">
        <f t="shared" si="9"/>
        <v>#DIV/0!</v>
      </c>
      <c r="AH27" s="38"/>
      <c r="AI27" s="38"/>
      <c r="AJ27" s="38"/>
      <c r="AK27" s="38"/>
      <c r="AL27" s="38"/>
      <c r="AM27" s="48"/>
      <c r="AN27" s="42"/>
      <c r="AO27" s="42"/>
      <c r="AP27" s="42"/>
      <c r="AQ27" s="42"/>
      <c r="AR27" s="42"/>
      <c r="AS27" s="50"/>
      <c r="AT27" s="39"/>
      <c r="AU27" s="39"/>
      <c r="AV27" s="49"/>
      <c r="AW27" s="39"/>
      <c r="AX27" s="39">
        <v>10</v>
      </c>
      <c r="AY27" s="30">
        <f>(J27*10)/100</f>
        <v>0</v>
      </c>
      <c r="AZ27" s="42"/>
    </row>
    <row r="28" spans="1:52" ht="15.75" customHeight="1" x14ac:dyDescent="0.25">
      <c r="A28" s="46"/>
      <c r="B28" s="38"/>
      <c r="C28" s="39"/>
      <c r="D28" s="37"/>
      <c r="E28" s="42"/>
      <c r="F28" s="38"/>
      <c r="G28" s="39"/>
      <c r="H28" s="42"/>
      <c r="I28" s="42"/>
      <c r="J28" s="43">
        <v>0</v>
      </c>
      <c r="K28" s="43">
        <v>0</v>
      </c>
      <c r="L28" s="56">
        <v>0</v>
      </c>
      <c r="M28" s="56">
        <v>0</v>
      </c>
      <c r="N28" s="44" t="e">
        <f t="shared" si="0"/>
        <v>#DIV/0!</v>
      </c>
      <c r="O28" s="45">
        <f t="shared" si="1"/>
        <v>0</v>
      </c>
      <c r="P28" s="43"/>
      <c r="Q28" s="45">
        <f t="shared" si="2"/>
        <v>0</v>
      </c>
      <c r="R28" s="43">
        <v>0</v>
      </c>
      <c r="S28" s="30">
        <f t="shared" si="3"/>
        <v>0</v>
      </c>
      <c r="T28" s="30">
        <f t="shared" si="3"/>
        <v>0</v>
      </c>
      <c r="U28" s="30" t="e">
        <f>T28/X28</f>
        <v>#DIV/0!</v>
      </c>
      <c r="V28" s="43" t="e">
        <f>T28/X28</f>
        <v>#DIV/0!</v>
      </c>
      <c r="W28" s="43" t="e">
        <f t="shared" si="4"/>
        <v>#DIV/0!</v>
      </c>
      <c r="X28" s="43">
        <f t="shared" si="5"/>
        <v>0</v>
      </c>
      <c r="Y28" s="43">
        <v>0</v>
      </c>
      <c r="Z28" s="43">
        <v>0</v>
      </c>
      <c r="AA28" s="43">
        <v>0</v>
      </c>
      <c r="AB28" s="43"/>
      <c r="AC28" s="43" t="e">
        <f t="shared" si="6"/>
        <v>#DIV/0!</v>
      </c>
      <c r="AD28" s="43"/>
      <c r="AE28" s="43" t="e">
        <f t="shared" si="7"/>
        <v>#DIV/0!</v>
      </c>
      <c r="AF28" s="43" t="e">
        <f t="shared" si="8"/>
        <v>#DIV/0!</v>
      </c>
      <c r="AG28" s="43" t="e">
        <f t="shared" si="9"/>
        <v>#DIV/0!</v>
      </c>
      <c r="AH28" s="38"/>
      <c r="AI28" s="38"/>
      <c r="AJ28" s="38"/>
      <c r="AK28" s="38"/>
      <c r="AL28" s="38"/>
      <c r="AM28" s="48"/>
      <c r="AN28" s="42"/>
      <c r="AO28" s="42"/>
      <c r="AP28" s="42"/>
      <c r="AQ28" s="42"/>
      <c r="AR28" s="42"/>
      <c r="AS28" s="50"/>
      <c r="AT28" s="39"/>
      <c r="AU28" s="39"/>
      <c r="AV28" s="49"/>
      <c r="AW28" s="39"/>
      <c r="AX28" s="39">
        <v>10</v>
      </c>
      <c r="AY28" s="30">
        <f>(J28*10)/100</f>
        <v>0</v>
      </c>
      <c r="AZ28" s="42"/>
    </row>
    <row r="29" spans="1:52" ht="15.75" customHeight="1" x14ac:dyDescent="0.25">
      <c r="A29" s="46"/>
      <c r="B29" s="38"/>
      <c r="C29" s="39"/>
      <c r="D29" s="37"/>
      <c r="E29" s="42"/>
      <c r="F29" s="38"/>
      <c r="G29" s="39"/>
      <c r="H29" s="42"/>
      <c r="I29" s="42"/>
      <c r="J29" s="43">
        <v>0</v>
      </c>
      <c r="K29" s="43">
        <v>0</v>
      </c>
      <c r="L29" s="56">
        <v>0</v>
      </c>
      <c r="M29" s="56">
        <v>0</v>
      </c>
      <c r="N29" s="44" t="e">
        <f t="shared" si="0"/>
        <v>#DIV/0!</v>
      </c>
      <c r="O29" s="45">
        <f t="shared" si="1"/>
        <v>0</v>
      </c>
      <c r="P29" s="43"/>
      <c r="Q29" s="45">
        <f t="shared" si="2"/>
        <v>0</v>
      </c>
      <c r="R29" s="43">
        <v>0</v>
      </c>
      <c r="S29" s="30">
        <f t="shared" si="3"/>
        <v>0</v>
      </c>
      <c r="T29" s="30">
        <f t="shared" si="3"/>
        <v>0</v>
      </c>
      <c r="U29" s="30" t="e">
        <f>T29/X29</f>
        <v>#DIV/0!</v>
      </c>
      <c r="V29" s="43" t="e">
        <f>T29/X29</f>
        <v>#DIV/0!</v>
      </c>
      <c r="W29" s="43" t="e">
        <f t="shared" si="4"/>
        <v>#DIV/0!</v>
      </c>
      <c r="X29" s="43">
        <f t="shared" si="5"/>
        <v>0</v>
      </c>
      <c r="Y29" s="43">
        <v>0</v>
      </c>
      <c r="Z29" s="43">
        <v>0</v>
      </c>
      <c r="AA29" s="43">
        <v>0</v>
      </c>
      <c r="AB29" s="43"/>
      <c r="AC29" s="43" t="e">
        <f t="shared" si="6"/>
        <v>#DIV/0!</v>
      </c>
      <c r="AD29" s="43"/>
      <c r="AE29" s="43" t="e">
        <f t="shared" si="7"/>
        <v>#DIV/0!</v>
      </c>
      <c r="AF29" s="43" t="e">
        <f t="shared" si="8"/>
        <v>#DIV/0!</v>
      </c>
      <c r="AG29" s="43" t="e">
        <f t="shared" si="9"/>
        <v>#DIV/0!</v>
      </c>
      <c r="AH29" s="38"/>
      <c r="AI29" s="38"/>
      <c r="AJ29" s="38"/>
      <c r="AK29" s="38"/>
      <c r="AL29" s="38"/>
      <c r="AM29" s="48"/>
      <c r="AN29" s="42"/>
      <c r="AO29" s="42"/>
      <c r="AP29" s="42"/>
      <c r="AQ29" s="42"/>
      <c r="AR29" s="42"/>
      <c r="AS29" s="50"/>
      <c r="AT29" s="39"/>
      <c r="AU29" s="39"/>
      <c r="AV29" s="49"/>
      <c r="AW29" s="39"/>
      <c r="AX29" s="39">
        <v>10</v>
      </c>
      <c r="AY29" s="30">
        <f>(J29*10)/100</f>
        <v>0</v>
      </c>
      <c r="AZ29" s="42"/>
    </row>
    <row r="30" spans="1:52" ht="15.75" customHeight="1" x14ac:dyDescent="0.25">
      <c r="A30" s="46"/>
      <c r="B30" s="38"/>
      <c r="C30" s="39"/>
      <c r="D30" s="37"/>
      <c r="E30" s="42"/>
      <c r="F30" s="38"/>
      <c r="G30" s="39"/>
      <c r="H30" s="42"/>
      <c r="I30" s="42"/>
      <c r="J30" s="43">
        <v>0</v>
      </c>
      <c r="K30" s="43">
        <v>0</v>
      </c>
      <c r="L30" s="56">
        <v>0</v>
      </c>
      <c r="M30" s="56">
        <v>0</v>
      </c>
      <c r="N30" s="44" t="e">
        <f t="shared" si="0"/>
        <v>#DIV/0!</v>
      </c>
      <c r="O30" s="45">
        <f t="shared" si="1"/>
        <v>0</v>
      </c>
      <c r="P30" s="43"/>
      <c r="Q30" s="45">
        <f t="shared" si="2"/>
        <v>0</v>
      </c>
      <c r="R30" s="43">
        <v>0</v>
      </c>
      <c r="S30" s="30">
        <f t="shared" si="3"/>
        <v>0</v>
      </c>
      <c r="T30" s="30">
        <f t="shared" si="3"/>
        <v>0</v>
      </c>
      <c r="U30" s="30" t="e">
        <f>T30/X30</f>
        <v>#DIV/0!</v>
      </c>
      <c r="V30" s="43" t="e">
        <f>T30/X30</f>
        <v>#DIV/0!</v>
      </c>
      <c r="W30" s="43" t="e">
        <f t="shared" si="4"/>
        <v>#DIV/0!</v>
      </c>
      <c r="X30" s="43">
        <f t="shared" si="5"/>
        <v>0</v>
      </c>
      <c r="Y30" s="43">
        <v>0</v>
      </c>
      <c r="Z30" s="43">
        <v>0</v>
      </c>
      <c r="AA30" s="43">
        <v>0</v>
      </c>
      <c r="AB30" s="43"/>
      <c r="AC30" s="43" t="e">
        <f t="shared" si="6"/>
        <v>#DIV/0!</v>
      </c>
      <c r="AD30" s="43"/>
      <c r="AE30" s="43" t="e">
        <f t="shared" si="7"/>
        <v>#DIV/0!</v>
      </c>
      <c r="AF30" s="43" t="e">
        <f t="shared" si="8"/>
        <v>#DIV/0!</v>
      </c>
      <c r="AG30" s="43" t="e">
        <f t="shared" si="9"/>
        <v>#DIV/0!</v>
      </c>
      <c r="AH30" s="38"/>
      <c r="AI30" s="38"/>
      <c r="AJ30" s="38"/>
      <c r="AK30" s="38"/>
      <c r="AL30" s="38"/>
      <c r="AM30" s="48"/>
      <c r="AN30" s="42"/>
      <c r="AO30" s="42"/>
      <c r="AP30" s="42"/>
      <c r="AQ30" s="42"/>
      <c r="AR30" s="42"/>
      <c r="AS30" s="50"/>
      <c r="AT30" s="39"/>
      <c r="AU30" s="39"/>
      <c r="AV30" s="49"/>
      <c r="AW30" s="39"/>
      <c r="AX30" s="39">
        <v>10</v>
      </c>
      <c r="AY30" s="30">
        <f>(J30*10)/100</f>
        <v>0</v>
      </c>
      <c r="AZ30" s="42"/>
    </row>
    <row r="31" spans="1:52" ht="15.75" customHeight="1" x14ac:dyDescent="0.25">
      <c r="A31" s="46"/>
      <c r="B31" s="38"/>
      <c r="C31" s="39"/>
      <c r="D31" s="37"/>
      <c r="E31" s="42"/>
      <c r="F31" s="38"/>
      <c r="G31" s="39"/>
      <c r="H31" s="42"/>
      <c r="I31" s="42"/>
      <c r="J31" s="43">
        <v>0</v>
      </c>
      <c r="K31" s="43">
        <v>0</v>
      </c>
      <c r="L31" s="56">
        <v>0</v>
      </c>
      <c r="M31" s="56">
        <v>0</v>
      </c>
      <c r="N31" s="44" t="e">
        <f t="shared" si="0"/>
        <v>#DIV/0!</v>
      </c>
      <c r="O31" s="45">
        <f t="shared" si="1"/>
        <v>0</v>
      </c>
      <c r="P31" s="43"/>
      <c r="Q31" s="45">
        <f t="shared" si="2"/>
        <v>0</v>
      </c>
      <c r="R31" s="43">
        <v>0</v>
      </c>
      <c r="S31" s="30">
        <f t="shared" si="3"/>
        <v>0</v>
      </c>
      <c r="T31" s="30">
        <f t="shared" si="3"/>
        <v>0</v>
      </c>
      <c r="U31" s="30" t="e">
        <f>T31/X31</f>
        <v>#DIV/0!</v>
      </c>
      <c r="V31" s="43" t="e">
        <f>T31/X31</f>
        <v>#DIV/0!</v>
      </c>
      <c r="W31" s="43" t="e">
        <f t="shared" si="4"/>
        <v>#DIV/0!</v>
      </c>
      <c r="X31" s="43">
        <f t="shared" si="5"/>
        <v>0</v>
      </c>
      <c r="Y31" s="43">
        <v>0</v>
      </c>
      <c r="Z31" s="43">
        <v>0</v>
      </c>
      <c r="AA31" s="43">
        <v>0</v>
      </c>
      <c r="AB31" s="43"/>
      <c r="AC31" s="43" t="e">
        <f t="shared" si="6"/>
        <v>#DIV/0!</v>
      </c>
      <c r="AD31" s="43"/>
      <c r="AE31" s="43" t="e">
        <f t="shared" si="7"/>
        <v>#DIV/0!</v>
      </c>
      <c r="AF31" s="43" t="e">
        <f t="shared" si="8"/>
        <v>#DIV/0!</v>
      </c>
      <c r="AG31" s="43" t="e">
        <f t="shared" si="9"/>
        <v>#DIV/0!</v>
      </c>
      <c r="AH31" s="38"/>
      <c r="AI31" s="38"/>
      <c r="AJ31" s="38"/>
      <c r="AK31" s="38"/>
      <c r="AL31" s="38"/>
      <c r="AM31" s="48"/>
      <c r="AN31" s="42"/>
      <c r="AO31" s="42"/>
      <c r="AP31" s="42"/>
      <c r="AQ31" s="42"/>
      <c r="AR31" s="42"/>
      <c r="AS31" s="50"/>
      <c r="AT31" s="39"/>
      <c r="AU31" s="39"/>
      <c r="AV31" s="49"/>
      <c r="AW31" s="39"/>
      <c r="AX31" s="39">
        <v>10</v>
      </c>
      <c r="AY31" s="30">
        <f>(J31*10)/100</f>
        <v>0</v>
      </c>
      <c r="AZ31" s="42"/>
    </row>
    <row r="32" spans="1:52" ht="15.75" customHeight="1" x14ac:dyDescent="0.25">
      <c r="A32" s="46"/>
      <c r="B32" s="38"/>
      <c r="C32" s="39"/>
      <c r="D32" s="37"/>
      <c r="E32" s="42"/>
      <c r="F32" s="38"/>
      <c r="G32" s="39"/>
      <c r="H32" s="42"/>
      <c r="I32" s="42"/>
      <c r="J32" s="43">
        <v>0</v>
      </c>
      <c r="K32" s="43">
        <v>0</v>
      </c>
      <c r="L32" s="56">
        <v>0</v>
      </c>
      <c r="M32" s="56">
        <v>0</v>
      </c>
      <c r="N32" s="44" t="e">
        <f t="shared" si="0"/>
        <v>#DIV/0!</v>
      </c>
      <c r="O32" s="45">
        <f t="shared" si="1"/>
        <v>0</v>
      </c>
      <c r="P32" s="43"/>
      <c r="Q32" s="45">
        <f t="shared" si="2"/>
        <v>0</v>
      </c>
      <c r="R32" s="43">
        <v>0</v>
      </c>
      <c r="S32" s="30">
        <f t="shared" si="3"/>
        <v>0</v>
      </c>
      <c r="T32" s="30">
        <f t="shared" si="3"/>
        <v>0</v>
      </c>
      <c r="U32" s="30" t="e">
        <f>T32/X32</f>
        <v>#DIV/0!</v>
      </c>
      <c r="V32" s="43" t="e">
        <f>T32/X32</f>
        <v>#DIV/0!</v>
      </c>
      <c r="W32" s="43" t="e">
        <f t="shared" si="4"/>
        <v>#DIV/0!</v>
      </c>
      <c r="X32" s="43">
        <f t="shared" si="5"/>
        <v>0</v>
      </c>
      <c r="Y32" s="43">
        <v>0</v>
      </c>
      <c r="Z32" s="43">
        <v>0</v>
      </c>
      <c r="AA32" s="43">
        <v>0</v>
      </c>
      <c r="AB32" s="43"/>
      <c r="AC32" s="43" t="e">
        <f t="shared" si="6"/>
        <v>#DIV/0!</v>
      </c>
      <c r="AD32" s="43"/>
      <c r="AE32" s="43" t="e">
        <f t="shared" si="7"/>
        <v>#DIV/0!</v>
      </c>
      <c r="AF32" s="43" t="e">
        <f t="shared" si="8"/>
        <v>#DIV/0!</v>
      </c>
      <c r="AG32" s="43" t="e">
        <f t="shared" si="9"/>
        <v>#DIV/0!</v>
      </c>
      <c r="AH32" s="38"/>
      <c r="AI32" s="38"/>
      <c r="AJ32" s="38"/>
      <c r="AK32" s="38"/>
      <c r="AL32" s="38"/>
      <c r="AM32" s="48"/>
      <c r="AN32" s="42"/>
      <c r="AO32" s="42"/>
      <c r="AP32" s="42"/>
      <c r="AQ32" s="42"/>
      <c r="AR32" s="42"/>
      <c r="AS32" s="50"/>
      <c r="AT32" s="39"/>
      <c r="AU32" s="39"/>
      <c r="AV32" s="49"/>
      <c r="AW32" s="39"/>
      <c r="AX32" s="39">
        <v>10</v>
      </c>
      <c r="AY32" s="30">
        <f>(J32*10)/100</f>
        <v>0</v>
      </c>
      <c r="AZ32" s="42"/>
    </row>
    <row r="33" spans="1:52" ht="15.75" customHeight="1" x14ac:dyDescent="0.25">
      <c r="A33" s="46"/>
      <c r="B33" s="38"/>
      <c r="C33" s="39"/>
      <c r="D33" s="37"/>
      <c r="E33" s="42"/>
      <c r="F33" s="38"/>
      <c r="G33" s="39"/>
      <c r="H33" s="42"/>
      <c r="I33" s="42"/>
      <c r="J33" s="43">
        <v>0</v>
      </c>
      <c r="K33" s="43">
        <v>0</v>
      </c>
      <c r="L33" s="56">
        <v>0</v>
      </c>
      <c r="M33" s="56">
        <v>0</v>
      </c>
      <c r="N33" s="44" t="e">
        <f t="shared" si="0"/>
        <v>#DIV/0!</v>
      </c>
      <c r="O33" s="45">
        <f t="shared" si="1"/>
        <v>0</v>
      </c>
      <c r="P33" s="43"/>
      <c r="Q33" s="45">
        <f t="shared" si="2"/>
        <v>0</v>
      </c>
      <c r="R33" s="43">
        <v>0</v>
      </c>
      <c r="S33" s="30">
        <f t="shared" si="3"/>
        <v>0</v>
      </c>
      <c r="T33" s="30">
        <f t="shared" si="3"/>
        <v>0</v>
      </c>
      <c r="U33" s="30" t="e">
        <f>T33/X33</f>
        <v>#DIV/0!</v>
      </c>
      <c r="V33" s="43" t="e">
        <f>T33/X33</f>
        <v>#DIV/0!</v>
      </c>
      <c r="W33" s="43" t="e">
        <f t="shared" si="4"/>
        <v>#DIV/0!</v>
      </c>
      <c r="X33" s="43">
        <f t="shared" si="5"/>
        <v>0</v>
      </c>
      <c r="Y33" s="43">
        <v>0</v>
      </c>
      <c r="Z33" s="43">
        <v>0</v>
      </c>
      <c r="AA33" s="43">
        <v>0</v>
      </c>
      <c r="AB33" s="43"/>
      <c r="AC33" s="43" t="e">
        <f t="shared" si="6"/>
        <v>#DIV/0!</v>
      </c>
      <c r="AD33" s="43"/>
      <c r="AE33" s="43" t="e">
        <f t="shared" si="7"/>
        <v>#DIV/0!</v>
      </c>
      <c r="AF33" s="43" t="e">
        <f t="shared" si="8"/>
        <v>#DIV/0!</v>
      </c>
      <c r="AG33" s="43" t="e">
        <f t="shared" si="9"/>
        <v>#DIV/0!</v>
      </c>
      <c r="AH33" s="38"/>
      <c r="AI33" s="38"/>
      <c r="AJ33" s="38"/>
      <c r="AK33" s="38"/>
      <c r="AL33" s="38"/>
      <c r="AM33" s="48"/>
      <c r="AN33" s="42"/>
      <c r="AO33" s="42"/>
      <c r="AP33" s="42"/>
      <c r="AQ33" s="42"/>
      <c r="AR33" s="42"/>
      <c r="AS33" s="50"/>
      <c r="AT33" s="39"/>
      <c r="AU33" s="39"/>
      <c r="AV33" s="49"/>
      <c r="AW33" s="39"/>
      <c r="AX33" s="39">
        <v>10</v>
      </c>
      <c r="AY33" s="30">
        <f>(J33*10)/100</f>
        <v>0</v>
      </c>
      <c r="AZ33" s="42"/>
    </row>
    <row r="34" spans="1:52" ht="15.75" customHeight="1" x14ac:dyDescent="0.25">
      <c r="A34" s="46"/>
      <c r="B34" s="38"/>
      <c r="C34" s="39"/>
      <c r="D34" s="37"/>
      <c r="E34" s="42"/>
      <c r="F34" s="38"/>
      <c r="G34" s="39"/>
      <c r="H34" s="42"/>
      <c r="I34" s="42"/>
      <c r="J34" s="43">
        <v>0</v>
      </c>
      <c r="K34" s="43">
        <v>0</v>
      </c>
      <c r="L34" s="56">
        <v>0</v>
      </c>
      <c r="M34" s="56">
        <v>0</v>
      </c>
      <c r="N34" s="44" t="e">
        <f t="shared" si="0"/>
        <v>#DIV/0!</v>
      </c>
      <c r="O34" s="45">
        <f t="shared" si="1"/>
        <v>0</v>
      </c>
      <c r="P34" s="43"/>
      <c r="Q34" s="45">
        <f t="shared" si="2"/>
        <v>0</v>
      </c>
      <c r="R34" s="43">
        <v>0</v>
      </c>
      <c r="S34" s="30">
        <f t="shared" si="3"/>
        <v>0</v>
      </c>
      <c r="T34" s="30">
        <f t="shared" si="3"/>
        <v>0</v>
      </c>
      <c r="U34" s="30" t="e">
        <f>T34/X34</f>
        <v>#DIV/0!</v>
      </c>
      <c r="V34" s="43" t="e">
        <f>T34/X34</f>
        <v>#DIV/0!</v>
      </c>
      <c r="W34" s="43" t="e">
        <f t="shared" si="4"/>
        <v>#DIV/0!</v>
      </c>
      <c r="X34" s="43">
        <f t="shared" si="5"/>
        <v>0</v>
      </c>
      <c r="Y34" s="43">
        <v>0</v>
      </c>
      <c r="Z34" s="43">
        <v>0</v>
      </c>
      <c r="AA34" s="43">
        <v>0</v>
      </c>
      <c r="AB34" s="43"/>
      <c r="AC34" s="43" t="e">
        <f t="shared" si="6"/>
        <v>#DIV/0!</v>
      </c>
      <c r="AD34" s="43"/>
      <c r="AE34" s="43" t="e">
        <f t="shared" si="7"/>
        <v>#DIV/0!</v>
      </c>
      <c r="AF34" s="43" t="e">
        <f t="shared" si="8"/>
        <v>#DIV/0!</v>
      </c>
      <c r="AG34" s="43" t="e">
        <f t="shared" si="9"/>
        <v>#DIV/0!</v>
      </c>
      <c r="AH34" s="38"/>
      <c r="AI34" s="38"/>
      <c r="AJ34" s="38"/>
      <c r="AK34" s="38"/>
      <c r="AL34" s="38"/>
      <c r="AM34" s="48"/>
      <c r="AN34" s="42"/>
      <c r="AO34" s="42"/>
      <c r="AP34" s="42"/>
      <c r="AQ34" s="42"/>
      <c r="AR34" s="42"/>
      <c r="AS34" s="50"/>
      <c r="AT34" s="39"/>
      <c r="AU34" s="39"/>
      <c r="AV34" s="49"/>
      <c r="AW34" s="39"/>
      <c r="AX34" s="39">
        <v>10</v>
      </c>
      <c r="AY34" s="30">
        <f>(J34*10)/100</f>
        <v>0</v>
      </c>
      <c r="AZ34" s="42"/>
    </row>
    <row r="35" spans="1:52" ht="15.75" customHeight="1" x14ac:dyDescent="0.25">
      <c r="A35" s="46"/>
      <c r="B35" s="38"/>
      <c r="C35" s="39"/>
      <c r="D35" s="37"/>
      <c r="E35" s="42"/>
      <c r="F35" s="38"/>
      <c r="G35" s="39"/>
      <c r="H35" s="42"/>
      <c r="I35" s="42"/>
      <c r="J35" s="43">
        <v>0</v>
      </c>
      <c r="K35" s="43">
        <v>0</v>
      </c>
      <c r="L35" s="56">
        <v>0</v>
      </c>
      <c r="M35" s="56">
        <v>0</v>
      </c>
      <c r="N35" s="44" t="e">
        <f t="shared" si="0"/>
        <v>#DIV/0!</v>
      </c>
      <c r="O35" s="45">
        <f t="shared" si="1"/>
        <v>0</v>
      </c>
      <c r="P35" s="43"/>
      <c r="Q35" s="45">
        <f t="shared" si="2"/>
        <v>0</v>
      </c>
      <c r="R35" s="43">
        <v>0</v>
      </c>
      <c r="S35" s="30">
        <f t="shared" si="3"/>
        <v>0</v>
      </c>
      <c r="T35" s="30">
        <f t="shared" si="3"/>
        <v>0</v>
      </c>
      <c r="U35" s="30" t="e">
        <f>T35/X35</f>
        <v>#DIV/0!</v>
      </c>
      <c r="V35" s="43" t="e">
        <f>T35/X35</f>
        <v>#DIV/0!</v>
      </c>
      <c r="W35" s="43" t="e">
        <f t="shared" si="4"/>
        <v>#DIV/0!</v>
      </c>
      <c r="X35" s="43">
        <f t="shared" si="5"/>
        <v>0</v>
      </c>
      <c r="Y35" s="43">
        <v>0</v>
      </c>
      <c r="Z35" s="43">
        <v>0</v>
      </c>
      <c r="AA35" s="43">
        <v>0</v>
      </c>
      <c r="AB35" s="43"/>
      <c r="AC35" s="43" t="e">
        <f t="shared" si="6"/>
        <v>#DIV/0!</v>
      </c>
      <c r="AD35" s="43"/>
      <c r="AE35" s="43" t="e">
        <f t="shared" si="7"/>
        <v>#DIV/0!</v>
      </c>
      <c r="AF35" s="43" t="e">
        <f t="shared" si="8"/>
        <v>#DIV/0!</v>
      </c>
      <c r="AG35" s="43" t="e">
        <f t="shared" si="9"/>
        <v>#DIV/0!</v>
      </c>
      <c r="AH35" s="38"/>
      <c r="AI35" s="38"/>
      <c r="AJ35" s="38"/>
      <c r="AK35" s="38"/>
      <c r="AL35" s="38"/>
      <c r="AM35" s="48"/>
      <c r="AN35" s="42"/>
      <c r="AO35" s="42"/>
      <c r="AP35" s="42"/>
      <c r="AQ35" s="42"/>
      <c r="AR35" s="42"/>
      <c r="AS35" s="50"/>
      <c r="AT35" s="39"/>
      <c r="AU35" s="39"/>
      <c r="AV35" s="49"/>
      <c r="AW35" s="39"/>
      <c r="AX35" s="39">
        <v>10</v>
      </c>
      <c r="AY35" s="30">
        <f>(J35*10)/100</f>
        <v>0</v>
      </c>
      <c r="AZ35" s="42"/>
    </row>
    <row r="36" spans="1:52" ht="15.75" customHeight="1" x14ac:dyDescent="0.25">
      <c r="A36" s="46"/>
      <c r="B36" s="38"/>
      <c r="C36" s="39"/>
      <c r="D36" s="37"/>
      <c r="E36" s="42"/>
      <c r="F36" s="38"/>
      <c r="G36" s="39"/>
      <c r="H36" s="42"/>
      <c r="I36" s="42"/>
      <c r="J36" s="43">
        <v>0</v>
      </c>
      <c r="K36" s="43">
        <v>0</v>
      </c>
      <c r="L36" s="56">
        <v>0</v>
      </c>
      <c r="M36" s="56">
        <v>0</v>
      </c>
      <c r="N36" s="44" t="e">
        <f t="shared" si="0"/>
        <v>#DIV/0!</v>
      </c>
      <c r="O36" s="45">
        <f t="shared" si="1"/>
        <v>0</v>
      </c>
      <c r="P36" s="43"/>
      <c r="Q36" s="45">
        <f t="shared" si="2"/>
        <v>0</v>
      </c>
      <c r="R36" s="43">
        <v>0</v>
      </c>
      <c r="S36" s="30">
        <f t="shared" si="3"/>
        <v>0</v>
      </c>
      <c r="T36" s="30">
        <f t="shared" si="3"/>
        <v>0</v>
      </c>
      <c r="U36" s="30" t="e">
        <f>T36/X36</f>
        <v>#DIV/0!</v>
      </c>
      <c r="V36" s="43" t="e">
        <f>T36/X36</f>
        <v>#DIV/0!</v>
      </c>
      <c r="W36" s="43" t="e">
        <f t="shared" si="4"/>
        <v>#DIV/0!</v>
      </c>
      <c r="X36" s="43">
        <f t="shared" si="5"/>
        <v>0</v>
      </c>
      <c r="Y36" s="43">
        <v>0</v>
      </c>
      <c r="Z36" s="43">
        <v>0</v>
      </c>
      <c r="AA36" s="43">
        <v>0</v>
      </c>
      <c r="AB36" s="43"/>
      <c r="AC36" s="43" t="e">
        <f t="shared" si="6"/>
        <v>#DIV/0!</v>
      </c>
      <c r="AD36" s="43"/>
      <c r="AE36" s="43" t="e">
        <f t="shared" si="7"/>
        <v>#DIV/0!</v>
      </c>
      <c r="AF36" s="43" t="e">
        <f t="shared" si="8"/>
        <v>#DIV/0!</v>
      </c>
      <c r="AG36" s="43" t="e">
        <f t="shared" si="9"/>
        <v>#DIV/0!</v>
      </c>
      <c r="AH36" s="38"/>
      <c r="AI36" s="38"/>
      <c r="AJ36" s="38"/>
      <c r="AK36" s="38"/>
      <c r="AL36" s="38"/>
      <c r="AM36" s="48"/>
      <c r="AN36" s="42"/>
      <c r="AO36" s="42"/>
      <c r="AP36" s="42"/>
      <c r="AQ36" s="42"/>
      <c r="AR36" s="42"/>
      <c r="AS36" s="50"/>
      <c r="AT36" s="39"/>
      <c r="AU36" s="39"/>
      <c r="AV36" s="49"/>
      <c r="AW36" s="39"/>
      <c r="AX36" s="39">
        <v>10</v>
      </c>
      <c r="AY36" s="30">
        <f>(J36*10)/100</f>
        <v>0</v>
      </c>
      <c r="AZ36" s="42"/>
    </row>
    <row r="37" spans="1:52" ht="15.75" customHeight="1" x14ac:dyDescent="0.25">
      <c r="A37" s="46"/>
      <c r="B37" s="38"/>
      <c r="C37" s="39"/>
      <c r="D37" s="37"/>
      <c r="E37" s="42"/>
      <c r="F37" s="38"/>
      <c r="G37" s="39"/>
      <c r="H37" s="42"/>
      <c r="I37" s="42"/>
      <c r="J37" s="43">
        <v>0</v>
      </c>
      <c r="K37" s="43">
        <v>0</v>
      </c>
      <c r="L37" s="56">
        <v>0</v>
      </c>
      <c r="M37" s="56">
        <v>0</v>
      </c>
      <c r="N37" s="44" t="e">
        <f t="shared" si="0"/>
        <v>#DIV/0!</v>
      </c>
      <c r="O37" s="45">
        <f t="shared" si="1"/>
        <v>0</v>
      </c>
      <c r="P37" s="43"/>
      <c r="Q37" s="45">
        <f t="shared" si="2"/>
        <v>0</v>
      </c>
      <c r="R37" s="43">
        <v>0</v>
      </c>
      <c r="S37" s="30">
        <f t="shared" si="3"/>
        <v>0</v>
      </c>
      <c r="T37" s="30">
        <f t="shared" si="3"/>
        <v>0</v>
      </c>
      <c r="U37" s="30" t="e">
        <f>T37/X37</f>
        <v>#DIV/0!</v>
      </c>
      <c r="V37" s="43" t="e">
        <f>T37/X37</f>
        <v>#DIV/0!</v>
      </c>
      <c r="W37" s="43" t="e">
        <f t="shared" si="4"/>
        <v>#DIV/0!</v>
      </c>
      <c r="X37" s="43">
        <f t="shared" si="5"/>
        <v>0</v>
      </c>
      <c r="Y37" s="43">
        <v>0</v>
      </c>
      <c r="Z37" s="43">
        <v>0</v>
      </c>
      <c r="AA37" s="43">
        <v>0</v>
      </c>
      <c r="AB37" s="43"/>
      <c r="AC37" s="43" t="e">
        <f t="shared" si="6"/>
        <v>#DIV/0!</v>
      </c>
      <c r="AD37" s="43"/>
      <c r="AE37" s="43" t="e">
        <f t="shared" si="7"/>
        <v>#DIV/0!</v>
      </c>
      <c r="AF37" s="43" t="e">
        <f t="shared" si="8"/>
        <v>#DIV/0!</v>
      </c>
      <c r="AG37" s="43" t="e">
        <f t="shared" si="9"/>
        <v>#DIV/0!</v>
      </c>
      <c r="AH37" s="38"/>
      <c r="AI37" s="38"/>
      <c r="AJ37" s="38"/>
      <c r="AK37" s="38"/>
      <c r="AL37" s="38"/>
      <c r="AM37" s="48"/>
      <c r="AN37" s="42"/>
      <c r="AO37" s="42"/>
      <c r="AP37" s="42"/>
      <c r="AQ37" s="42"/>
      <c r="AR37" s="42"/>
      <c r="AS37" s="50"/>
      <c r="AT37" s="39"/>
      <c r="AU37" s="39"/>
      <c r="AV37" s="49"/>
      <c r="AW37" s="39"/>
      <c r="AX37" s="39">
        <v>10</v>
      </c>
      <c r="AY37" s="30">
        <f>(J37*10)/100</f>
        <v>0</v>
      </c>
      <c r="AZ37" s="42"/>
    </row>
    <row r="38" spans="1:52" ht="15.75" customHeight="1" x14ac:dyDescent="0.25">
      <c r="A38" s="46"/>
      <c r="B38" s="38"/>
      <c r="C38" s="39"/>
      <c r="D38" s="37"/>
      <c r="E38" s="42"/>
      <c r="F38" s="38"/>
      <c r="G38" s="39"/>
      <c r="H38" s="42"/>
      <c r="I38" s="42"/>
      <c r="J38" s="43">
        <v>0</v>
      </c>
      <c r="K38" s="43">
        <v>0</v>
      </c>
      <c r="L38" s="56">
        <v>0</v>
      </c>
      <c r="M38" s="56">
        <v>0</v>
      </c>
      <c r="N38" s="44" t="e">
        <f t="shared" si="0"/>
        <v>#DIV/0!</v>
      </c>
      <c r="O38" s="45">
        <f t="shared" si="1"/>
        <v>0</v>
      </c>
      <c r="P38" s="43"/>
      <c r="Q38" s="45">
        <f t="shared" si="2"/>
        <v>0</v>
      </c>
      <c r="R38" s="43">
        <v>0</v>
      </c>
      <c r="S38" s="30">
        <f t="shared" si="3"/>
        <v>0</v>
      </c>
      <c r="T38" s="30">
        <f t="shared" si="3"/>
        <v>0</v>
      </c>
      <c r="U38" s="30" t="e">
        <f>T38/X38</f>
        <v>#DIV/0!</v>
      </c>
      <c r="V38" s="43" t="e">
        <f>T38/X38</f>
        <v>#DIV/0!</v>
      </c>
      <c r="W38" s="43" t="e">
        <f t="shared" si="4"/>
        <v>#DIV/0!</v>
      </c>
      <c r="X38" s="43">
        <f t="shared" si="5"/>
        <v>0</v>
      </c>
      <c r="Y38" s="43">
        <v>0</v>
      </c>
      <c r="Z38" s="43">
        <v>0</v>
      </c>
      <c r="AA38" s="43">
        <v>0</v>
      </c>
      <c r="AB38" s="43"/>
      <c r="AC38" s="43" t="e">
        <f t="shared" si="6"/>
        <v>#DIV/0!</v>
      </c>
      <c r="AD38" s="43"/>
      <c r="AE38" s="43" t="e">
        <f t="shared" si="7"/>
        <v>#DIV/0!</v>
      </c>
      <c r="AF38" s="43" t="e">
        <f t="shared" si="8"/>
        <v>#DIV/0!</v>
      </c>
      <c r="AG38" s="43" t="e">
        <f t="shared" si="9"/>
        <v>#DIV/0!</v>
      </c>
      <c r="AH38" s="38"/>
      <c r="AI38" s="38"/>
      <c r="AJ38" s="38"/>
      <c r="AK38" s="38"/>
      <c r="AL38" s="38"/>
      <c r="AM38" s="48"/>
      <c r="AN38" s="42"/>
      <c r="AO38" s="42"/>
      <c r="AP38" s="42"/>
      <c r="AQ38" s="42"/>
      <c r="AR38" s="42"/>
      <c r="AS38" s="50"/>
      <c r="AT38" s="39"/>
      <c r="AU38" s="39"/>
      <c r="AV38" s="49"/>
      <c r="AW38" s="39"/>
      <c r="AX38" s="39">
        <v>10</v>
      </c>
      <c r="AY38" s="30">
        <f>(J38*10)/100</f>
        <v>0</v>
      </c>
      <c r="AZ38" s="42"/>
    </row>
    <row r="39" spans="1:52" ht="15.75" customHeight="1" x14ac:dyDescent="0.25">
      <c r="A39" s="46"/>
      <c r="B39" s="38"/>
      <c r="C39" s="39"/>
      <c r="D39" s="37"/>
      <c r="E39" s="42"/>
      <c r="F39" s="38"/>
      <c r="G39" s="39"/>
      <c r="H39" s="42"/>
      <c r="I39" s="42"/>
      <c r="J39" s="43">
        <v>0</v>
      </c>
      <c r="K39" s="43">
        <v>0</v>
      </c>
      <c r="L39" s="56">
        <v>0</v>
      </c>
      <c r="M39" s="56">
        <v>0</v>
      </c>
      <c r="N39" s="44" t="e">
        <f t="shared" si="0"/>
        <v>#DIV/0!</v>
      </c>
      <c r="O39" s="45">
        <f t="shared" si="1"/>
        <v>0</v>
      </c>
      <c r="P39" s="43"/>
      <c r="Q39" s="45">
        <f t="shared" si="2"/>
        <v>0</v>
      </c>
      <c r="R39" s="43">
        <v>0</v>
      </c>
      <c r="S39" s="30">
        <f t="shared" si="3"/>
        <v>0</v>
      </c>
      <c r="T39" s="30">
        <f t="shared" si="3"/>
        <v>0</v>
      </c>
      <c r="U39" s="30" t="e">
        <f>T39/X39</f>
        <v>#DIV/0!</v>
      </c>
      <c r="V39" s="43" t="e">
        <f>T39/X39</f>
        <v>#DIV/0!</v>
      </c>
      <c r="W39" s="43" t="e">
        <f t="shared" si="4"/>
        <v>#DIV/0!</v>
      </c>
      <c r="X39" s="43">
        <f t="shared" si="5"/>
        <v>0</v>
      </c>
      <c r="Y39" s="43">
        <v>0</v>
      </c>
      <c r="Z39" s="43">
        <v>0</v>
      </c>
      <c r="AA39" s="43">
        <v>0</v>
      </c>
      <c r="AB39" s="43"/>
      <c r="AC39" s="43" t="e">
        <f t="shared" si="6"/>
        <v>#DIV/0!</v>
      </c>
      <c r="AD39" s="43"/>
      <c r="AE39" s="43" t="e">
        <f t="shared" si="7"/>
        <v>#DIV/0!</v>
      </c>
      <c r="AF39" s="43" t="e">
        <f t="shared" si="8"/>
        <v>#DIV/0!</v>
      </c>
      <c r="AG39" s="43" t="e">
        <f t="shared" si="9"/>
        <v>#DIV/0!</v>
      </c>
      <c r="AH39" s="38"/>
      <c r="AI39" s="38"/>
      <c r="AJ39" s="38"/>
      <c r="AK39" s="38"/>
      <c r="AL39" s="38"/>
      <c r="AM39" s="48"/>
      <c r="AN39" s="42"/>
      <c r="AO39" s="42"/>
      <c r="AP39" s="42"/>
      <c r="AQ39" s="42"/>
      <c r="AR39" s="42"/>
      <c r="AS39" s="50"/>
      <c r="AT39" s="39"/>
      <c r="AU39" s="39"/>
      <c r="AV39" s="49"/>
      <c r="AW39" s="39"/>
      <c r="AX39" s="39">
        <v>10</v>
      </c>
      <c r="AY39" s="30">
        <f>(J39*10)/100</f>
        <v>0</v>
      </c>
      <c r="AZ39" s="42"/>
    </row>
    <row r="40" spans="1:52" ht="15.75" customHeight="1" x14ac:dyDescent="0.25">
      <c r="A40" s="46"/>
      <c r="B40" s="38"/>
      <c r="C40" s="39"/>
      <c r="D40" s="37"/>
      <c r="E40" s="42"/>
      <c r="F40" s="38"/>
      <c r="G40" s="39"/>
      <c r="H40" s="42"/>
      <c r="I40" s="42"/>
      <c r="J40" s="43">
        <v>0</v>
      </c>
      <c r="K40" s="43">
        <v>0</v>
      </c>
      <c r="L40" s="56">
        <v>0</v>
      </c>
      <c r="M40" s="56">
        <v>0</v>
      </c>
      <c r="N40" s="44" t="e">
        <f t="shared" si="0"/>
        <v>#DIV/0!</v>
      </c>
      <c r="O40" s="45">
        <f t="shared" si="1"/>
        <v>0</v>
      </c>
      <c r="P40" s="43"/>
      <c r="Q40" s="45">
        <f t="shared" si="2"/>
        <v>0</v>
      </c>
      <c r="R40" s="43">
        <v>0</v>
      </c>
      <c r="S40" s="30">
        <f t="shared" si="3"/>
        <v>0</v>
      </c>
      <c r="T40" s="30">
        <f t="shared" si="3"/>
        <v>0</v>
      </c>
      <c r="U40" s="30" t="e">
        <f>T40/X40</f>
        <v>#DIV/0!</v>
      </c>
      <c r="V40" s="43" t="e">
        <f>T40/X40</f>
        <v>#DIV/0!</v>
      </c>
      <c r="W40" s="43" t="e">
        <f t="shared" si="4"/>
        <v>#DIV/0!</v>
      </c>
      <c r="X40" s="43">
        <f t="shared" si="5"/>
        <v>0</v>
      </c>
      <c r="Y40" s="43">
        <v>0</v>
      </c>
      <c r="Z40" s="43">
        <v>0</v>
      </c>
      <c r="AA40" s="43">
        <v>0</v>
      </c>
      <c r="AB40" s="43"/>
      <c r="AC40" s="43" t="e">
        <f t="shared" si="6"/>
        <v>#DIV/0!</v>
      </c>
      <c r="AD40" s="43"/>
      <c r="AE40" s="43" t="e">
        <f t="shared" si="7"/>
        <v>#DIV/0!</v>
      </c>
      <c r="AF40" s="43" t="e">
        <f t="shared" si="8"/>
        <v>#DIV/0!</v>
      </c>
      <c r="AG40" s="43" t="e">
        <f t="shared" si="9"/>
        <v>#DIV/0!</v>
      </c>
      <c r="AH40" s="38"/>
      <c r="AI40" s="38"/>
      <c r="AJ40" s="38"/>
      <c r="AK40" s="38"/>
      <c r="AL40" s="38"/>
      <c r="AM40" s="48"/>
      <c r="AN40" s="42"/>
      <c r="AO40" s="42"/>
      <c r="AP40" s="42"/>
      <c r="AQ40" s="42"/>
      <c r="AR40" s="42"/>
      <c r="AS40" s="50"/>
      <c r="AT40" s="39"/>
      <c r="AU40" s="39"/>
      <c r="AV40" s="49"/>
      <c r="AW40" s="39"/>
      <c r="AX40" s="39">
        <v>10</v>
      </c>
      <c r="AY40" s="30">
        <f>(J40*10)/100</f>
        <v>0</v>
      </c>
      <c r="AZ40" s="42"/>
    </row>
    <row r="41" spans="1:52" ht="15.75" customHeight="1" x14ac:dyDescent="0.25">
      <c r="A41" s="46"/>
      <c r="B41" s="38"/>
      <c r="C41" s="39"/>
      <c r="D41" s="37"/>
      <c r="E41" s="42"/>
      <c r="F41" s="38"/>
      <c r="G41" s="39"/>
      <c r="H41" s="42"/>
      <c r="I41" s="42"/>
      <c r="J41" s="43">
        <v>0</v>
      </c>
      <c r="K41" s="43">
        <v>0</v>
      </c>
      <c r="L41" s="56">
        <v>0</v>
      </c>
      <c r="M41" s="56">
        <v>0</v>
      </c>
      <c r="N41" s="44" t="e">
        <f t="shared" si="0"/>
        <v>#DIV/0!</v>
      </c>
      <c r="O41" s="45">
        <f t="shared" si="1"/>
        <v>0</v>
      </c>
      <c r="P41" s="43"/>
      <c r="Q41" s="45">
        <f t="shared" si="2"/>
        <v>0</v>
      </c>
      <c r="R41" s="43">
        <v>0</v>
      </c>
      <c r="S41" s="30">
        <f t="shared" ref="S41:T95" si="10">R41</f>
        <v>0</v>
      </c>
      <c r="T41" s="30">
        <f t="shared" si="10"/>
        <v>0</v>
      </c>
      <c r="U41" s="30" t="e">
        <f>T41/X41</f>
        <v>#DIV/0!</v>
      </c>
      <c r="V41" s="43" t="e">
        <f>T41/X41</f>
        <v>#DIV/0!</v>
      </c>
      <c r="W41" s="43" t="e">
        <f t="shared" si="4"/>
        <v>#DIV/0!</v>
      </c>
      <c r="X41" s="43">
        <f t="shared" si="5"/>
        <v>0</v>
      </c>
      <c r="Y41" s="43">
        <v>0</v>
      </c>
      <c r="Z41" s="43">
        <v>0</v>
      </c>
      <c r="AA41" s="43">
        <v>0</v>
      </c>
      <c r="AB41" s="43"/>
      <c r="AC41" s="43" t="e">
        <f t="shared" si="6"/>
        <v>#DIV/0!</v>
      </c>
      <c r="AD41" s="43"/>
      <c r="AE41" s="43" t="e">
        <f t="shared" si="7"/>
        <v>#DIV/0!</v>
      </c>
      <c r="AF41" s="43" t="e">
        <f t="shared" si="8"/>
        <v>#DIV/0!</v>
      </c>
      <c r="AG41" s="43" t="e">
        <f t="shared" si="9"/>
        <v>#DIV/0!</v>
      </c>
      <c r="AH41" s="38"/>
      <c r="AI41" s="38"/>
      <c r="AJ41" s="38"/>
      <c r="AK41" s="38"/>
      <c r="AL41" s="38"/>
      <c r="AM41" s="48"/>
      <c r="AN41" s="42"/>
      <c r="AO41" s="42"/>
      <c r="AP41" s="42"/>
      <c r="AQ41" s="42"/>
      <c r="AR41" s="42"/>
      <c r="AS41" s="50"/>
      <c r="AT41" s="39"/>
      <c r="AU41" s="39"/>
      <c r="AV41" s="49"/>
      <c r="AW41" s="39"/>
      <c r="AX41" s="39">
        <v>10</v>
      </c>
      <c r="AY41" s="30">
        <f>(J41*10)/100</f>
        <v>0</v>
      </c>
      <c r="AZ41" s="42"/>
    </row>
    <row r="42" spans="1:52" ht="15.75" customHeight="1" x14ac:dyDescent="0.25">
      <c r="A42" s="46"/>
      <c r="B42" s="38"/>
      <c r="C42" s="39"/>
      <c r="D42" s="37"/>
      <c r="E42" s="42"/>
      <c r="F42" s="38"/>
      <c r="G42" s="39"/>
      <c r="H42" s="42"/>
      <c r="I42" s="42"/>
      <c r="J42" s="43">
        <v>0</v>
      </c>
      <c r="K42" s="43">
        <v>0</v>
      </c>
      <c r="L42" s="56">
        <v>0</v>
      </c>
      <c r="M42" s="56">
        <v>0</v>
      </c>
      <c r="N42" s="44" t="e">
        <f t="shared" si="0"/>
        <v>#DIV/0!</v>
      </c>
      <c r="O42" s="45">
        <f t="shared" si="1"/>
        <v>0</v>
      </c>
      <c r="P42" s="43"/>
      <c r="Q42" s="45">
        <f t="shared" si="2"/>
        <v>0</v>
      </c>
      <c r="R42" s="43">
        <v>0</v>
      </c>
      <c r="S42" s="30">
        <f t="shared" si="10"/>
        <v>0</v>
      </c>
      <c r="T42" s="30">
        <f t="shared" si="10"/>
        <v>0</v>
      </c>
      <c r="U42" s="30" t="e">
        <f>T42/X42</f>
        <v>#DIV/0!</v>
      </c>
      <c r="V42" s="43" t="e">
        <f>T42/X42</f>
        <v>#DIV/0!</v>
      </c>
      <c r="W42" s="43" t="e">
        <f t="shared" si="4"/>
        <v>#DIV/0!</v>
      </c>
      <c r="X42" s="43">
        <f t="shared" si="5"/>
        <v>0</v>
      </c>
      <c r="Y42" s="43">
        <v>0</v>
      </c>
      <c r="Z42" s="43">
        <v>0</v>
      </c>
      <c r="AA42" s="43">
        <v>0</v>
      </c>
      <c r="AB42" s="43"/>
      <c r="AC42" s="43" t="e">
        <f t="shared" si="6"/>
        <v>#DIV/0!</v>
      </c>
      <c r="AD42" s="43"/>
      <c r="AE42" s="43" t="e">
        <f t="shared" si="7"/>
        <v>#DIV/0!</v>
      </c>
      <c r="AF42" s="43" t="e">
        <f t="shared" si="8"/>
        <v>#DIV/0!</v>
      </c>
      <c r="AG42" s="43" t="e">
        <f t="shared" si="9"/>
        <v>#DIV/0!</v>
      </c>
      <c r="AH42" s="38"/>
      <c r="AI42" s="38"/>
      <c r="AJ42" s="38"/>
      <c r="AK42" s="38"/>
      <c r="AL42" s="38"/>
      <c r="AM42" s="48"/>
      <c r="AN42" s="42"/>
      <c r="AO42" s="42"/>
      <c r="AP42" s="42"/>
      <c r="AQ42" s="42"/>
      <c r="AR42" s="42"/>
      <c r="AS42" s="50"/>
      <c r="AT42" s="39"/>
      <c r="AU42" s="39"/>
      <c r="AV42" s="49"/>
      <c r="AW42" s="39"/>
      <c r="AX42" s="39">
        <v>10</v>
      </c>
      <c r="AY42" s="30">
        <f>(J42*10)/100</f>
        <v>0</v>
      </c>
      <c r="AZ42" s="42"/>
    </row>
    <row r="43" spans="1:52" ht="15.75" customHeight="1" x14ac:dyDescent="0.25">
      <c r="A43" s="46"/>
      <c r="B43" s="38"/>
      <c r="C43" s="39"/>
      <c r="D43" s="37"/>
      <c r="E43" s="42"/>
      <c r="F43" s="38"/>
      <c r="G43" s="39"/>
      <c r="H43" s="42"/>
      <c r="I43" s="42"/>
      <c r="J43" s="43">
        <v>0</v>
      </c>
      <c r="K43" s="43">
        <v>0</v>
      </c>
      <c r="L43" s="56">
        <v>0</v>
      </c>
      <c r="M43" s="56">
        <v>0</v>
      </c>
      <c r="N43" s="44" t="e">
        <f t="shared" si="0"/>
        <v>#DIV/0!</v>
      </c>
      <c r="O43" s="45">
        <f t="shared" si="1"/>
        <v>0</v>
      </c>
      <c r="P43" s="43"/>
      <c r="Q43" s="45">
        <f t="shared" si="2"/>
        <v>0</v>
      </c>
      <c r="R43" s="43">
        <v>0</v>
      </c>
      <c r="S43" s="30">
        <f t="shared" si="10"/>
        <v>0</v>
      </c>
      <c r="T43" s="30">
        <f t="shared" si="10"/>
        <v>0</v>
      </c>
      <c r="U43" s="30" t="e">
        <f>T43/X43</f>
        <v>#DIV/0!</v>
      </c>
      <c r="V43" s="43" t="e">
        <f>T43/X43</f>
        <v>#DIV/0!</v>
      </c>
      <c r="W43" s="43" t="e">
        <f t="shared" si="4"/>
        <v>#DIV/0!</v>
      </c>
      <c r="X43" s="43">
        <f t="shared" si="5"/>
        <v>0</v>
      </c>
      <c r="Y43" s="43">
        <v>0</v>
      </c>
      <c r="Z43" s="43">
        <v>0</v>
      </c>
      <c r="AA43" s="43">
        <v>0</v>
      </c>
      <c r="AB43" s="43"/>
      <c r="AC43" s="43" t="e">
        <f t="shared" si="6"/>
        <v>#DIV/0!</v>
      </c>
      <c r="AD43" s="43"/>
      <c r="AE43" s="43" t="e">
        <f t="shared" si="7"/>
        <v>#DIV/0!</v>
      </c>
      <c r="AF43" s="43" t="e">
        <f t="shared" si="8"/>
        <v>#DIV/0!</v>
      </c>
      <c r="AG43" s="43" t="e">
        <f t="shared" si="9"/>
        <v>#DIV/0!</v>
      </c>
      <c r="AH43" s="38"/>
      <c r="AI43" s="38"/>
      <c r="AJ43" s="38"/>
      <c r="AK43" s="38"/>
      <c r="AL43" s="38"/>
      <c r="AM43" s="48"/>
      <c r="AN43" s="42"/>
      <c r="AO43" s="42"/>
      <c r="AP43" s="42"/>
      <c r="AQ43" s="42"/>
      <c r="AR43" s="42"/>
      <c r="AS43" s="50"/>
      <c r="AT43" s="39"/>
      <c r="AU43" s="39"/>
      <c r="AV43" s="49"/>
      <c r="AW43" s="39"/>
      <c r="AX43" s="39">
        <v>10</v>
      </c>
      <c r="AY43" s="30">
        <f>(J43*10)/100</f>
        <v>0</v>
      </c>
      <c r="AZ43" s="42"/>
    </row>
    <row r="44" spans="1:52" ht="15.75" customHeight="1" x14ac:dyDescent="0.25">
      <c r="A44" s="46"/>
      <c r="B44" s="38"/>
      <c r="C44" s="39"/>
      <c r="D44" s="37"/>
      <c r="E44" s="42"/>
      <c r="F44" s="38"/>
      <c r="G44" s="39"/>
      <c r="H44" s="42"/>
      <c r="I44" s="42"/>
      <c r="J44" s="43">
        <v>0</v>
      </c>
      <c r="K44" s="43">
        <v>0</v>
      </c>
      <c r="L44" s="56">
        <v>0</v>
      </c>
      <c r="M44" s="56">
        <v>0</v>
      </c>
      <c r="N44" s="44" t="e">
        <f t="shared" si="0"/>
        <v>#DIV/0!</v>
      </c>
      <c r="O44" s="45">
        <f t="shared" si="1"/>
        <v>0</v>
      </c>
      <c r="P44" s="43"/>
      <c r="Q44" s="45">
        <f t="shared" si="2"/>
        <v>0</v>
      </c>
      <c r="R44" s="43">
        <v>0</v>
      </c>
      <c r="S44" s="30">
        <f t="shared" si="10"/>
        <v>0</v>
      </c>
      <c r="T44" s="30">
        <f t="shared" si="10"/>
        <v>0</v>
      </c>
      <c r="U44" s="30" t="e">
        <f>T44/X44</f>
        <v>#DIV/0!</v>
      </c>
      <c r="V44" s="43" t="e">
        <f>T44/X44</f>
        <v>#DIV/0!</v>
      </c>
      <c r="W44" s="43" t="e">
        <f t="shared" si="4"/>
        <v>#DIV/0!</v>
      </c>
      <c r="X44" s="43">
        <f t="shared" si="5"/>
        <v>0</v>
      </c>
      <c r="Y44" s="43">
        <v>0</v>
      </c>
      <c r="Z44" s="43">
        <v>0</v>
      </c>
      <c r="AA44" s="43">
        <v>0</v>
      </c>
      <c r="AB44" s="43"/>
      <c r="AC44" s="43" t="e">
        <f t="shared" si="6"/>
        <v>#DIV/0!</v>
      </c>
      <c r="AD44" s="43"/>
      <c r="AE44" s="43" t="e">
        <f t="shared" si="7"/>
        <v>#DIV/0!</v>
      </c>
      <c r="AF44" s="43" t="e">
        <f t="shared" si="8"/>
        <v>#DIV/0!</v>
      </c>
      <c r="AG44" s="43" t="e">
        <f t="shared" si="9"/>
        <v>#DIV/0!</v>
      </c>
      <c r="AH44" s="38"/>
      <c r="AI44" s="38"/>
      <c r="AJ44" s="38"/>
      <c r="AK44" s="38"/>
      <c r="AL44" s="38"/>
      <c r="AM44" s="48"/>
      <c r="AN44" s="42"/>
      <c r="AO44" s="42"/>
      <c r="AP44" s="42"/>
      <c r="AQ44" s="42"/>
      <c r="AR44" s="42"/>
      <c r="AS44" s="50"/>
      <c r="AT44" s="39"/>
      <c r="AU44" s="39"/>
      <c r="AV44" s="49"/>
      <c r="AW44" s="39"/>
      <c r="AX44" s="39">
        <v>10</v>
      </c>
      <c r="AY44" s="30">
        <f>(J44*10)/100</f>
        <v>0</v>
      </c>
      <c r="AZ44" s="42"/>
    </row>
    <row r="45" spans="1:52" ht="15.75" customHeight="1" x14ac:dyDescent="0.25">
      <c r="A45" s="46"/>
      <c r="B45" s="38"/>
      <c r="C45" s="39"/>
      <c r="D45" s="37"/>
      <c r="E45" s="42"/>
      <c r="F45" s="38"/>
      <c r="G45" s="39"/>
      <c r="H45" s="42"/>
      <c r="I45" s="42"/>
      <c r="J45" s="43">
        <v>0</v>
      </c>
      <c r="K45" s="43">
        <v>0</v>
      </c>
      <c r="L45" s="56">
        <v>0</v>
      </c>
      <c r="M45" s="56">
        <v>0</v>
      </c>
      <c r="N45" s="44" t="e">
        <f t="shared" si="0"/>
        <v>#DIV/0!</v>
      </c>
      <c r="O45" s="45">
        <f t="shared" si="1"/>
        <v>0</v>
      </c>
      <c r="P45" s="43"/>
      <c r="Q45" s="45">
        <f t="shared" si="2"/>
        <v>0</v>
      </c>
      <c r="R45" s="43">
        <v>0</v>
      </c>
      <c r="S45" s="30">
        <f t="shared" si="10"/>
        <v>0</v>
      </c>
      <c r="T45" s="30">
        <f t="shared" si="10"/>
        <v>0</v>
      </c>
      <c r="U45" s="30" t="e">
        <f>T45/X45</f>
        <v>#DIV/0!</v>
      </c>
      <c r="V45" s="43" t="e">
        <f>T45/X45</f>
        <v>#DIV/0!</v>
      </c>
      <c r="W45" s="43" t="e">
        <f t="shared" si="4"/>
        <v>#DIV/0!</v>
      </c>
      <c r="X45" s="43">
        <f t="shared" si="5"/>
        <v>0</v>
      </c>
      <c r="Y45" s="43">
        <v>0</v>
      </c>
      <c r="Z45" s="43">
        <v>0</v>
      </c>
      <c r="AA45" s="43">
        <v>0</v>
      </c>
      <c r="AB45" s="43"/>
      <c r="AC45" s="43" t="e">
        <f t="shared" si="6"/>
        <v>#DIV/0!</v>
      </c>
      <c r="AD45" s="43"/>
      <c r="AE45" s="43" t="e">
        <f t="shared" si="7"/>
        <v>#DIV/0!</v>
      </c>
      <c r="AF45" s="43" t="e">
        <f t="shared" si="8"/>
        <v>#DIV/0!</v>
      </c>
      <c r="AG45" s="43" t="e">
        <f t="shared" si="9"/>
        <v>#DIV/0!</v>
      </c>
      <c r="AH45" s="38"/>
      <c r="AI45" s="38"/>
      <c r="AJ45" s="38"/>
      <c r="AK45" s="38"/>
      <c r="AL45" s="38"/>
      <c r="AM45" s="48"/>
      <c r="AN45" s="42"/>
      <c r="AO45" s="42"/>
      <c r="AP45" s="42"/>
      <c r="AQ45" s="42"/>
      <c r="AR45" s="42"/>
      <c r="AS45" s="50"/>
      <c r="AT45" s="39"/>
      <c r="AU45" s="39"/>
      <c r="AV45" s="49"/>
      <c r="AW45" s="39"/>
      <c r="AX45" s="39">
        <v>10</v>
      </c>
      <c r="AY45" s="30">
        <f>(J45*10)/100</f>
        <v>0</v>
      </c>
      <c r="AZ45" s="42"/>
    </row>
    <row r="46" spans="1:52" ht="15.75" customHeight="1" x14ac:dyDescent="0.25">
      <c r="A46" s="46"/>
      <c r="B46" s="38"/>
      <c r="C46" s="39"/>
      <c r="D46" s="37"/>
      <c r="E46" s="42"/>
      <c r="F46" s="38"/>
      <c r="G46" s="39"/>
      <c r="H46" s="42"/>
      <c r="I46" s="42"/>
      <c r="J46" s="43">
        <v>0</v>
      </c>
      <c r="K46" s="43">
        <v>0</v>
      </c>
      <c r="L46" s="56">
        <v>0</v>
      </c>
      <c r="M46" s="56">
        <v>0</v>
      </c>
      <c r="N46" s="44" t="e">
        <f t="shared" si="0"/>
        <v>#DIV/0!</v>
      </c>
      <c r="O46" s="45">
        <f t="shared" si="1"/>
        <v>0</v>
      </c>
      <c r="P46" s="43"/>
      <c r="Q46" s="45">
        <f t="shared" si="2"/>
        <v>0</v>
      </c>
      <c r="R46" s="43">
        <v>0</v>
      </c>
      <c r="S46" s="30">
        <f t="shared" si="10"/>
        <v>0</v>
      </c>
      <c r="T46" s="30">
        <f t="shared" si="10"/>
        <v>0</v>
      </c>
      <c r="U46" s="30" t="e">
        <f>T46/X46</f>
        <v>#DIV/0!</v>
      </c>
      <c r="V46" s="43" t="e">
        <f>T46/X46</f>
        <v>#DIV/0!</v>
      </c>
      <c r="W46" s="43" t="e">
        <f t="shared" si="4"/>
        <v>#DIV/0!</v>
      </c>
      <c r="X46" s="43">
        <f t="shared" si="5"/>
        <v>0</v>
      </c>
      <c r="Y46" s="43">
        <v>0</v>
      </c>
      <c r="Z46" s="43">
        <v>0</v>
      </c>
      <c r="AA46" s="43">
        <v>0</v>
      </c>
      <c r="AB46" s="43"/>
      <c r="AC46" s="43" t="e">
        <f t="shared" si="6"/>
        <v>#DIV/0!</v>
      </c>
      <c r="AD46" s="43"/>
      <c r="AE46" s="43" t="e">
        <f t="shared" si="7"/>
        <v>#DIV/0!</v>
      </c>
      <c r="AF46" s="43" t="e">
        <f t="shared" si="8"/>
        <v>#DIV/0!</v>
      </c>
      <c r="AG46" s="43" t="e">
        <f t="shared" si="9"/>
        <v>#DIV/0!</v>
      </c>
      <c r="AH46" s="38"/>
      <c r="AI46" s="38"/>
      <c r="AJ46" s="38"/>
      <c r="AK46" s="38"/>
      <c r="AL46" s="38"/>
      <c r="AM46" s="48"/>
      <c r="AN46" s="42"/>
      <c r="AO46" s="42"/>
      <c r="AP46" s="42"/>
      <c r="AQ46" s="42"/>
      <c r="AR46" s="42"/>
      <c r="AS46" s="50"/>
      <c r="AT46" s="39"/>
      <c r="AU46" s="39"/>
      <c r="AV46" s="49"/>
      <c r="AW46" s="39"/>
      <c r="AX46" s="39">
        <v>10</v>
      </c>
      <c r="AY46" s="30">
        <f>(J46*10)/100</f>
        <v>0</v>
      </c>
      <c r="AZ46" s="42"/>
    </row>
    <row r="47" spans="1:52" ht="15.75" customHeight="1" x14ac:dyDescent="0.25">
      <c r="A47" s="46"/>
      <c r="B47" s="38"/>
      <c r="C47" s="39"/>
      <c r="D47" s="37"/>
      <c r="E47" s="42"/>
      <c r="F47" s="38"/>
      <c r="G47" s="39"/>
      <c r="H47" s="42"/>
      <c r="I47" s="42"/>
      <c r="J47" s="43">
        <v>0</v>
      </c>
      <c r="K47" s="43">
        <v>0</v>
      </c>
      <c r="L47" s="56">
        <v>0</v>
      </c>
      <c r="M47" s="56">
        <v>0</v>
      </c>
      <c r="N47" s="44" t="e">
        <f t="shared" si="0"/>
        <v>#DIV/0!</v>
      </c>
      <c r="O47" s="45">
        <f t="shared" si="1"/>
        <v>0</v>
      </c>
      <c r="P47" s="43"/>
      <c r="Q47" s="45">
        <f t="shared" si="2"/>
        <v>0</v>
      </c>
      <c r="R47" s="43">
        <v>0</v>
      </c>
      <c r="S47" s="30">
        <f t="shared" si="10"/>
        <v>0</v>
      </c>
      <c r="T47" s="30">
        <f t="shared" si="10"/>
        <v>0</v>
      </c>
      <c r="U47" s="30" t="e">
        <f>T47/X47</f>
        <v>#DIV/0!</v>
      </c>
      <c r="V47" s="43" t="e">
        <f>T47/X47</f>
        <v>#DIV/0!</v>
      </c>
      <c r="W47" s="43" t="e">
        <f t="shared" si="4"/>
        <v>#DIV/0!</v>
      </c>
      <c r="X47" s="43">
        <f t="shared" si="5"/>
        <v>0</v>
      </c>
      <c r="Y47" s="43">
        <v>0</v>
      </c>
      <c r="Z47" s="43">
        <v>0</v>
      </c>
      <c r="AA47" s="43">
        <v>0</v>
      </c>
      <c r="AB47" s="43"/>
      <c r="AC47" s="43" t="e">
        <f t="shared" si="6"/>
        <v>#DIV/0!</v>
      </c>
      <c r="AD47" s="43"/>
      <c r="AE47" s="43" t="e">
        <f t="shared" si="7"/>
        <v>#DIV/0!</v>
      </c>
      <c r="AF47" s="43" t="e">
        <f t="shared" si="8"/>
        <v>#DIV/0!</v>
      </c>
      <c r="AG47" s="43" t="e">
        <f t="shared" si="9"/>
        <v>#DIV/0!</v>
      </c>
      <c r="AH47" s="38"/>
      <c r="AI47" s="38"/>
      <c r="AJ47" s="38"/>
      <c r="AK47" s="38"/>
      <c r="AL47" s="38"/>
      <c r="AM47" s="48"/>
      <c r="AN47" s="42"/>
      <c r="AO47" s="42"/>
      <c r="AP47" s="42"/>
      <c r="AQ47" s="42"/>
      <c r="AR47" s="42"/>
      <c r="AS47" s="50"/>
      <c r="AT47" s="39"/>
      <c r="AU47" s="39"/>
      <c r="AV47" s="49"/>
      <c r="AW47" s="39"/>
      <c r="AX47" s="39">
        <v>10</v>
      </c>
      <c r="AY47" s="30">
        <f>(J47*10)/100</f>
        <v>0</v>
      </c>
      <c r="AZ47" s="42"/>
    </row>
    <row r="48" spans="1:52" ht="15.75" customHeight="1" x14ac:dyDescent="0.25">
      <c r="A48" s="46"/>
      <c r="B48" s="38"/>
      <c r="C48" s="39"/>
      <c r="D48" s="37"/>
      <c r="E48" s="42"/>
      <c r="F48" s="38"/>
      <c r="G48" s="39"/>
      <c r="H48" s="42"/>
      <c r="I48" s="42"/>
      <c r="J48" s="43">
        <v>0</v>
      </c>
      <c r="K48" s="43">
        <v>0</v>
      </c>
      <c r="L48" s="56">
        <v>0</v>
      </c>
      <c r="M48" s="56">
        <v>0</v>
      </c>
      <c r="N48" s="44" t="e">
        <f t="shared" si="0"/>
        <v>#DIV/0!</v>
      </c>
      <c r="O48" s="45">
        <f t="shared" si="1"/>
        <v>0</v>
      </c>
      <c r="P48" s="43"/>
      <c r="Q48" s="45">
        <f t="shared" si="2"/>
        <v>0</v>
      </c>
      <c r="R48" s="43">
        <v>0</v>
      </c>
      <c r="S48" s="30">
        <f t="shared" si="10"/>
        <v>0</v>
      </c>
      <c r="T48" s="30">
        <f t="shared" si="10"/>
        <v>0</v>
      </c>
      <c r="U48" s="30" t="e">
        <f>T48/X48</f>
        <v>#DIV/0!</v>
      </c>
      <c r="V48" s="43" t="e">
        <f>T48/X48</f>
        <v>#DIV/0!</v>
      </c>
      <c r="W48" s="43" t="e">
        <f t="shared" si="4"/>
        <v>#DIV/0!</v>
      </c>
      <c r="X48" s="43">
        <f t="shared" si="5"/>
        <v>0</v>
      </c>
      <c r="Y48" s="43">
        <v>0</v>
      </c>
      <c r="Z48" s="43">
        <v>0</v>
      </c>
      <c r="AA48" s="43">
        <v>0</v>
      </c>
      <c r="AB48" s="43"/>
      <c r="AC48" s="43" t="e">
        <f t="shared" si="6"/>
        <v>#DIV/0!</v>
      </c>
      <c r="AD48" s="43"/>
      <c r="AE48" s="43" t="e">
        <f t="shared" si="7"/>
        <v>#DIV/0!</v>
      </c>
      <c r="AF48" s="43" t="e">
        <f t="shared" si="8"/>
        <v>#DIV/0!</v>
      </c>
      <c r="AG48" s="43" t="e">
        <f t="shared" si="9"/>
        <v>#DIV/0!</v>
      </c>
      <c r="AH48" s="38"/>
      <c r="AI48" s="38"/>
      <c r="AJ48" s="38"/>
      <c r="AK48" s="38"/>
      <c r="AL48" s="38"/>
      <c r="AM48" s="48"/>
      <c r="AN48" s="42"/>
      <c r="AO48" s="42"/>
      <c r="AP48" s="42"/>
      <c r="AQ48" s="42"/>
      <c r="AR48" s="42"/>
      <c r="AS48" s="50"/>
      <c r="AT48" s="39"/>
      <c r="AU48" s="39"/>
      <c r="AV48" s="49"/>
      <c r="AW48" s="39"/>
      <c r="AX48" s="39">
        <v>10</v>
      </c>
      <c r="AY48" s="30">
        <f>(J48*10)/100</f>
        <v>0</v>
      </c>
      <c r="AZ48" s="42"/>
    </row>
    <row r="49" spans="1:52" ht="15.75" customHeight="1" x14ac:dyDescent="0.25">
      <c r="A49" s="46"/>
      <c r="B49" s="38"/>
      <c r="C49" s="39"/>
      <c r="D49" s="37"/>
      <c r="E49" s="42"/>
      <c r="F49" s="38"/>
      <c r="G49" s="39"/>
      <c r="H49" s="42"/>
      <c r="I49" s="42"/>
      <c r="J49" s="43">
        <v>0</v>
      </c>
      <c r="K49" s="43">
        <v>0</v>
      </c>
      <c r="L49" s="56">
        <v>0</v>
      </c>
      <c r="M49" s="56">
        <v>0</v>
      </c>
      <c r="N49" s="44" t="e">
        <f t="shared" si="0"/>
        <v>#DIV/0!</v>
      </c>
      <c r="O49" s="45">
        <f t="shared" si="1"/>
        <v>0</v>
      </c>
      <c r="P49" s="43"/>
      <c r="Q49" s="45">
        <f t="shared" si="2"/>
        <v>0</v>
      </c>
      <c r="R49" s="43">
        <v>0</v>
      </c>
      <c r="S49" s="30">
        <f t="shared" si="10"/>
        <v>0</v>
      </c>
      <c r="T49" s="30">
        <f t="shared" si="10"/>
        <v>0</v>
      </c>
      <c r="U49" s="30" t="e">
        <f>T49/X49</f>
        <v>#DIV/0!</v>
      </c>
      <c r="V49" s="43" t="e">
        <f>T49/X49</f>
        <v>#DIV/0!</v>
      </c>
      <c r="W49" s="43" t="e">
        <f t="shared" si="4"/>
        <v>#DIV/0!</v>
      </c>
      <c r="X49" s="43">
        <f t="shared" si="5"/>
        <v>0</v>
      </c>
      <c r="Y49" s="43">
        <v>0</v>
      </c>
      <c r="Z49" s="43">
        <v>0</v>
      </c>
      <c r="AA49" s="43">
        <v>0</v>
      </c>
      <c r="AB49" s="43"/>
      <c r="AC49" s="43" t="e">
        <f t="shared" si="6"/>
        <v>#DIV/0!</v>
      </c>
      <c r="AD49" s="43"/>
      <c r="AE49" s="43" t="e">
        <f t="shared" si="7"/>
        <v>#DIV/0!</v>
      </c>
      <c r="AF49" s="43" t="e">
        <f t="shared" si="8"/>
        <v>#DIV/0!</v>
      </c>
      <c r="AG49" s="43" t="e">
        <f t="shared" si="9"/>
        <v>#DIV/0!</v>
      </c>
      <c r="AH49" s="38"/>
      <c r="AI49" s="38"/>
      <c r="AJ49" s="38"/>
      <c r="AK49" s="38"/>
      <c r="AL49" s="38"/>
      <c r="AM49" s="48"/>
      <c r="AN49" s="42"/>
      <c r="AO49" s="42"/>
      <c r="AP49" s="42"/>
      <c r="AQ49" s="42"/>
      <c r="AR49" s="42"/>
      <c r="AS49" s="50"/>
      <c r="AT49" s="39"/>
      <c r="AU49" s="39"/>
      <c r="AV49" s="49"/>
      <c r="AW49" s="39"/>
      <c r="AX49" s="39">
        <v>10</v>
      </c>
      <c r="AY49" s="30">
        <f>(J49*10)/100</f>
        <v>0</v>
      </c>
      <c r="AZ49" s="42"/>
    </row>
    <row r="50" spans="1:52" ht="15.75" customHeight="1" x14ac:dyDescent="0.25">
      <c r="A50" s="46"/>
      <c r="B50" s="38"/>
      <c r="C50" s="39"/>
      <c r="D50" s="37"/>
      <c r="E50" s="42"/>
      <c r="F50" s="38"/>
      <c r="G50" s="39"/>
      <c r="H50" s="42"/>
      <c r="I50" s="42"/>
      <c r="J50" s="43">
        <v>0</v>
      </c>
      <c r="K50" s="43">
        <v>0</v>
      </c>
      <c r="L50" s="56">
        <v>0</v>
      </c>
      <c r="M50" s="56">
        <v>0</v>
      </c>
      <c r="N50" s="44" t="e">
        <f t="shared" si="0"/>
        <v>#DIV/0!</v>
      </c>
      <c r="O50" s="45">
        <f t="shared" si="1"/>
        <v>0</v>
      </c>
      <c r="P50" s="43"/>
      <c r="Q50" s="45">
        <f t="shared" si="2"/>
        <v>0</v>
      </c>
      <c r="R50" s="43">
        <v>0</v>
      </c>
      <c r="S50" s="30">
        <f t="shared" si="10"/>
        <v>0</v>
      </c>
      <c r="T50" s="30">
        <f t="shared" si="10"/>
        <v>0</v>
      </c>
      <c r="U50" s="30" t="e">
        <f>T50/X50</f>
        <v>#DIV/0!</v>
      </c>
      <c r="V50" s="43" t="e">
        <f>T50/X50</f>
        <v>#DIV/0!</v>
      </c>
      <c r="W50" s="43" t="e">
        <f t="shared" si="4"/>
        <v>#DIV/0!</v>
      </c>
      <c r="X50" s="43">
        <f t="shared" si="5"/>
        <v>0</v>
      </c>
      <c r="Y50" s="43">
        <v>0</v>
      </c>
      <c r="Z50" s="43">
        <v>0</v>
      </c>
      <c r="AA50" s="43">
        <v>0</v>
      </c>
      <c r="AB50" s="43"/>
      <c r="AC50" s="43" t="e">
        <f t="shared" si="6"/>
        <v>#DIV/0!</v>
      </c>
      <c r="AD50" s="43"/>
      <c r="AE50" s="43" t="e">
        <f t="shared" si="7"/>
        <v>#DIV/0!</v>
      </c>
      <c r="AF50" s="43" t="e">
        <f t="shared" si="8"/>
        <v>#DIV/0!</v>
      </c>
      <c r="AG50" s="43" t="e">
        <f t="shared" si="9"/>
        <v>#DIV/0!</v>
      </c>
      <c r="AH50" s="38"/>
      <c r="AI50" s="38"/>
      <c r="AJ50" s="38"/>
      <c r="AK50" s="38"/>
      <c r="AL50" s="38"/>
      <c r="AM50" s="48"/>
      <c r="AN50" s="42"/>
      <c r="AO50" s="42"/>
      <c r="AP50" s="42"/>
      <c r="AQ50" s="42"/>
      <c r="AR50" s="42"/>
      <c r="AS50" s="50"/>
      <c r="AT50" s="39"/>
      <c r="AU50" s="39"/>
      <c r="AV50" s="49"/>
      <c r="AW50" s="39"/>
      <c r="AX50" s="39">
        <v>10</v>
      </c>
      <c r="AY50" s="30">
        <f>(J50*10)/100</f>
        <v>0</v>
      </c>
      <c r="AZ50" s="42"/>
    </row>
    <row r="51" spans="1:52" ht="15.75" customHeight="1" x14ac:dyDescent="0.25">
      <c r="A51" s="46"/>
      <c r="B51" s="38"/>
      <c r="C51" s="39"/>
      <c r="D51" s="37"/>
      <c r="E51" s="42"/>
      <c r="F51" s="38"/>
      <c r="G51" s="39"/>
      <c r="H51" s="42"/>
      <c r="I51" s="42"/>
      <c r="J51" s="43">
        <v>0</v>
      </c>
      <c r="K51" s="43">
        <v>0</v>
      </c>
      <c r="L51" s="56">
        <v>0</v>
      </c>
      <c r="M51" s="56">
        <v>0</v>
      </c>
      <c r="N51" s="44" t="e">
        <f t="shared" si="0"/>
        <v>#DIV/0!</v>
      </c>
      <c r="O51" s="45">
        <f t="shared" si="1"/>
        <v>0</v>
      </c>
      <c r="P51" s="43"/>
      <c r="Q51" s="45">
        <f t="shared" si="2"/>
        <v>0</v>
      </c>
      <c r="R51" s="43">
        <v>0</v>
      </c>
      <c r="S51" s="30">
        <f t="shared" si="10"/>
        <v>0</v>
      </c>
      <c r="T51" s="30">
        <f t="shared" si="10"/>
        <v>0</v>
      </c>
      <c r="U51" s="30" t="e">
        <f>T51/X51</f>
        <v>#DIV/0!</v>
      </c>
      <c r="V51" s="43" t="e">
        <f>T51/X51</f>
        <v>#DIV/0!</v>
      </c>
      <c r="W51" s="43" t="e">
        <f t="shared" si="4"/>
        <v>#DIV/0!</v>
      </c>
      <c r="X51" s="43">
        <f t="shared" si="5"/>
        <v>0</v>
      </c>
      <c r="Y51" s="43">
        <v>0</v>
      </c>
      <c r="Z51" s="43">
        <v>0</v>
      </c>
      <c r="AA51" s="43">
        <v>0</v>
      </c>
      <c r="AB51" s="43"/>
      <c r="AC51" s="43" t="e">
        <f t="shared" si="6"/>
        <v>#DIV/0!</v>
      </c>
      <c r="AD51" s="43"/>
      <c r="AE51" s="43" t="e">
        <f t="shared" si="7"/>
        <v>#DIV/0!</v>
      </c>
      <c r="AF51" s="43" t="e">
        <f t="shared" si="8"/>
        <v>#DIV/0!</v>
      </c>
      <c r="AG51" s="43" t="e">
        <f t="shared" si="9"/>
        <v>#DIV/0!</v>
      </c>
      <c r="AH51" s="38"/>
      <c r="AI51" s="38"/>
      <c r="AJ51" s="38"/>
      <c r="AK51" s="38"/>
      <c r="AL51" s="38"/>
      <c r="AM51" s="48"/>
      <c r="AN51" s="42"/>
      <c r="AO51" s="42"/>
      <c r="AP51" s="42"/>
      <c r="AQ51" s="42"/>
      <c r="AR51" s="42"/>
      <c r="AS51" s="50"/>
      <c r="AT51" s="39"/>
      <c r="AU51" s="39"/>
      <c r="AV51" s="49"/>
      <c r="AW51" s="39"/>
      <c r="AX51" s="39">
        <v>10</v>
      </c>
      <c r="AY51" s="30">
        <f>(J51*10)/100</f>
        <v>0</v>
      </c>
      <c r="AZ51" s="42"/>
    </row>
    <row r="52" spans="1:52" ht="15.75" customHeight="1" x14ac:dyDescent="0.25">
      <c r="A52" s="46"/>
      <c r="B52" s="38"/>
      <c r="C52" s="39"/>
      <c r="D52" s="37"/>
      <c r="E52" s="42"/>
      <c r="F52" s="38"/>
      <c r="G52" s="39"/>
      <c r="H52" s="42"/>
      <c r="I52" s="42"/>
      <c r="J52" s="43">
        <v>0</v>
      </c>
      <c r="K52" s="43">
        <v>0</v>
      </c>
      <c r="L52" s="56">
        <v>0</v>
      </c>
      <c r="M52" s="56">
        <v>0</v>
      </c>
      <c r="N52" s="44" t="e">
        <f t="shared" si="0"/>
        <v>#DIV/0!</v>
      </c>
      <c r="O52" s="45">
        <f t="shared" si="1"/>
        <v>0</v>
      </c>
      <c r="P52" s="43"/>
      <c r="Q52" s="45">
        <f t="shared" si="2"/>
        <v>0</v>
      </c>
      <c r="R52" s="43">
        <v>0</v>
      </c>
      <c r="S52" s="30">
        <f t="shared" si="10"/>
        <v>0</v>
      </c>
      <c r="T52" s="30">
        <f t="shared" si="10"/>
        <v>0</v>
      </c>
      <c r="U52" s="30" t="e">
        <f>T52/X52</f>
        <v>#DIV/0!</v>
      </c>
      <c r="V52" s="43" t="e">
        <f>T52/X52</f>
        <v>#DIV/0!</v>
      </c>
      <c r="W52" s="43" t="e">
        <f t="shared" si="4"/>
        <v>#DIV/0!</v>
      </c>
      <c r="X52" s="43">
        <f t="shared" si="5"/>
        <v>0</v>
      </c>
      <c r="Y52" s="43">
        <v>0</v>
      </c>
      <c r="Z52" s="43">
        <v>0</v>
      </c>
      <c r="AA52" s="43">
        <v>0</v>
      </c>
      <c r="AB52" s="43"/>
      <c r="AC52" s="43" t="e">
        <f t="shared" si="6"/>
        <v>#DIV/0!</v>
      </c>
      <c r="AD52" s="43"/>
      <c r="AE52" s="43" t="e">
        <f t="shared" si="7"/>
        <v>#DIV/0!</v>
      </c>
      <c r="AF52" s="43" t="e">
        <f t="shared" si="8"/>
        <v>#DIV/0!</v>
      </c>
      <c r="AG52" s="43" t="e">
        <f t="shared" si="9"/>
        <v>#DIV/0!</v>
      </c>
      <c r="AH52" s="38"/>
      <c r="AI52" s="38"/>
      <c r="AJ52" s="38"/>
      <c r="AK52" s="38"/>
      <c r="AL52" s="38"/>
      <c r="AM52" s="48"/>
      <c r="AN52" s="42"/>
      <c r="AO52" s="42"/>
      <c r="AP52" s="42"/>
      <c r="AQ52" s="42"/>
      <c r="AR52" s="42"/>
      <c r="AS52" s="50"/>
      <c r="AT52" s="39"/>
      <c r="AU52" s="39"/>
      <c r="AV52" s="49"/>
      <c r="AW52" s="39"/>
      <c r="AX52" s="39">
        <v>10</v>
      </c>
      <c r="AY52" s="30">
        <f>(J52*10)/100</f>
        <v>0</v>
      </c>
      <c r="AZ52" s="42"/>
    </row>
    <row r="53" spans="1:52" ht="15.75" customHeight="1" x14ac:dyDescent="0.25">
      <c r="A53" s="46"/>
      <c r="B53" s="38"/>
      <c r="C53" s="39"/>
      <c r="D53" s="37"/>
      <c r="E53" s="42"/>
      <c r="F53" s="38"/>
      <c r="G53" s="39"/>
      <c r="H53" s="42"/>
      <c r="I53" s="42"/>
      <c r="J53" s="43">
        <v>0</v>
      </c>
      <c r="K53" s="43">
        <v>0</v>
      </c>
      <c r="L53" s="56">
        <v>0</v>
      </c>
      <c r="M53" s="56">
        <v>0</v>
      </c>
      <c r="N53" s="44" t="e">
        <f t="shared" si="0"/>
        <v>#DIV/0!</v>
      </c>
      <c r="O53" s="45">
        <f t="shared" si="1"/>
        <v>0</v>
      </c>
      <c r="P53" s="43"/>
      <c r="Q53" s="45">
        <f t="shared" si="2"/>
        <v>0</v>
      </c>
      <c r="R53" s="43">
        <v>0</v>
      </c>
      <c r="S53" s="30">
        <f t="shared" si="10"/>
        <v>0</v>
      </c>
      <c r="T53" s="30">
        <f t="shared" si="10"/>
        <v>0</v>
      </c>
      <c r="U53" s="30" t="e">
        <f>T53/X53</f>
        <v>#DIV/0!</v>
      </c>
      <c r="V53" s="43" t="e">
        <f>T53/X53</f>
        <v>#DIV/0!</v>
      </c>
      <c r="W53" s="43" t="e">
        <f t="shared" si="4"/>
        <v>#DIV/0!</v>
      </c>
      <c r="X53" s="43">
        <f t="shared" si="5"/>
        <v>0</v>
      </c>
      <c r="Y53" s="43">
        <v>0</v>
      </c>
      <c r="Z53" s="43">
        <v>0</v>
      </c>
      <c r="AA53" s="43">
        <v>0</v>
      </c>
      <c r="AB53" s="43"/>
      <c r="AC53" s="43" t="e">
        <f t="shared" si="6"/>
        <v>#DIV/0!</v>
      </c>
      <c r="AD53" s="43"/>
      <c r="AE53" s="43" t="e">
        <f t="shared" si="7"/>
        <v>#DIV/0!</v>
      </c>
      <c r="AF53" s="43" t="e">
        <f t="shared" si="8"/>
        <v>#DIV/0!</v>
      </c>
      <c r="AG53" s="43" t="e">
        <f t="shared" si="9"/>
        <v>#DIV/0!</v>
      </c>
      <c r="AH53" s="38"/>
      <c r="AI53" s="38"/>
      <c r="AJ53" s="38"/>
      <c r="AK53" s="38"/>
      <c r="AL53" s="38"/>
      <c r="AM53" s="48"/>
      <c r="AN53" s="42"/>
      <c r="AO53" s="42"/>
      <c r="AP53" s="42"/>
      <c r="AQ53" s="42"/>
      <c r="AR53" s="42"/>
      <c r="AS53" s="50"/>
      <c r="AT53" s="39"/>
      <c r="AU53" s="39"/>
      <c r="AV53" s="49"/>
      <c r="AW53" s="39"/>
      <c r="AX53" s="39">
        <v>10</v>
      </c>
      <c r="AY53" s="30">
        <f>(J53*10)/100</f>
        <v>0</v>
      </c>
      <c r="AZ53" s="42"/>
    </row>
    <row r="54" spans="1:52" ht="15.75" customHeight="1" x14ac:dyDescent="0.25">
      <c r="A54" s="46"/>
      <c r="B54" s="38"/>
      <c r="C54" s="39"/>
      <c r="D54" s="37"/>
      <c r="E54" s="42"/>
      <c r="F54" s="38"/>
      <c r="G54" s="39"/>
      <c r="H54" s="42"/>
      <c r="I54" s="42"/>
      <c r="J54" s="43">
        <v>0</v>
      </c>
      <c r="K54" s="43">
        <v>0</v>
      </c>
      <c r="L54" s="56">
        <v>0</v>
      </c>
      <c r="M54" s="56">
        <v>0</v>
      </c>
      <c r="N54" s="44" t="e">
        <f t="shared" si="0"/>
        <v>#DIV/0!</v>
      </c>
      <c r="O54" s="45">
        <f t="shared" si="1"/>
        <v>0</v>
      </c>
      <c r="P54" s="43"/>
      <c r="Q54" s="45">
        <f t="shared" si="2"/>
        <v>0</v>
      </c>
      <c r="R54" s="43">
        <v>0</v>
      </c>
      <c r="S54" s="30">
        <f t="shared" si="10"/>
        <v>0</v>
      </c>
      <c r="T54" s="30">
        <f t="shared" si="10"/>
        <v>0</v>
      </c>
      <c r="U54" s="30" t="e">
        <f>T54/X54</f>
        <v>#DIV/0!</v>
      </c>
      <c r="V54" s="43" t="e">
        <f>T54/X54</f>
        <v>#DIV/0!</v>
      </c>
      <c r="W54" s="43" t="e">
        <f t="shared" si="4"/>
        <v>#DIV/0!</v>
      </c>
      <c r="X54" s="43">
        <f t="shared" si="5"/>
        <v>0</v>
      </c>
      <c r="Y54" s="43">
        <v>0</v>
      </c>
      <c r="Z54" s="43">
        <v>0</v>
      </c>
      <c r="AA54" s="43">
        <v>0</v>
      </c>
      <c r="AB54" s="43"/>
      <c r="AC54" s="43" t="e">
        <f t="shared" si="6"/>
        <v>#DIV/0!</v>
      </c>
      <c r="AD54" s="43"/>
      <c r="AE54" s="43" t="e">
        <f t="shared" si="7"/>
        <v>#DIV/0!</v>
      </c>
      <c r="AF54" s="43" t="e">
        <f t="shared" si="8"/>
        <v>#DIV/0!</v>
      </c>
      <c r="AG54" s="43" t="e">
        <f t="shared" si="9"/>
        <v>#DIV/0!</v>
      </c>
      <c r="AH54" s="38"/>
      <c r="AI54" s="38"/>
      <c r="AJ54" s="38"/>
      <c r="AK54" s="38"/>
      <c r="AL54" s="38"/>
      <c r="AM54" s="48"/>
      <c r="AN54" s="42"/>
      <c r="AO54" s="42"/>
      <c r="AP54" s="42"/>
      <c r="AQ54" s="42"/>
      <c r="AR54" s="42"/>
      <c r="AS54" s="50"/>
      <c r="AT54" s="39"/>
      <c r="AU54" s="39"/>
      <c r="AV54" s="49"/>
      <c r="AW54" s="39"/>
      <c r="AX54" s="39">
        <v>10</v>
      </c>
      <c r="AY54" s="30">
        <f>(J54*10)/100</f>
        <v>0</v>
      </c>
      <c r="AZ54" s="42"/>
    </row>
    <row r="55" spans="1:52" ht="15.75" customHeight="1" x14ac:dyDescent="0.25">
      <c r="A55" s="46"/>
      <c r="B55" s="38"/>
      <c r="C55" s="39"/>
      <c r="D55" s="37"/>
      <c r="E55" s="42"/>
      <c r="F55" s="38"/>
      <c r="G55" s="39"/>
      <c r="H55" s="42"/>
      <c r="I55" s="42"/>
      <c r="J55" s="43">
        <v>0</v>
      </c>
      <c r="K55" s="43">
        <v>0</v>
      </c>
      <c r="L55" s="56">
        <v>0</v>
      </c>
      <c r="M55" s="56">
        <v>0</v>
      </c>
      <c r="N55" s="44" t="e">
        <f t="shared" si="0"/>
        <v>#DIV/0!</v>
      </c>
      <c r="O55" s="45">
        <f t="shared" si="1"/>
        <v>0</v>
      </c>
      <c r="P55" s="43"/>
      <c r="Q55" s="45">
        <f t="shared" si="2"/>
        <v>0</v>
      </c>
      <c r="R55" s="43">
        <v>0</v>
      </c>
      <c r="S55" s="30">
        <f t="shared" si="10"/>
        <v>0</v>
      </c>
      <c r="T55" s="30">
        <f t="shared" si="10"/>
        <v>0</v>
      </c>
      <c r="U55" s="30" t="e">
        <f>T55/X55</f>
        <v>#DIV/0!</v>
      </c>
      <c r="V55" s="43" t="e">
        <f>T55/X55</f>
        <v>#DIV/0!</v>
      </c>
      <c r="W55" s="43" t="e">
        <f t="shared" si="4"/>
        <v>#DIV/0!</v>
      </c>
      <c r="X55" s="43">
        <f t="shared" si="5"/>
        <v>0</v>
      </c>
      <c r="Y55" s="43">
        <v>0</v>
      </c>
      <c r="Z55" s="43">
        <v>0</v>
      </c>
      <c r="AA55" s="43">
        <v>0</v>
      </c>
      <c r="AB55" s="43"/>
      <c r="AC55" s="43" t="e">
        <f t="shared" si="6"/>
        <v>#DIV/0!</v>
      </c>
      <c r="AD55" s="43"/>
      <c r="AE55" s="43" t="e">
        <f t="shared" si="7"/>
        <v>#DIV/0!</v>
      </c>
      <c r="AF55" s="43" t="e">
        <f t="shared" si="8"/>
        <v>#DIV/0!</v>
      </c>
      <c r="AG55" s="43" t="e">
        <f t="shared" si="9"/>
        <v>#DIV/0!</v>
      </c>
      <c r="AH55" s="38"/>
      <c r="AI55" s="38"/>
      <c r="AJ55" s="38"/>
      <c r="AK55" s="38"/>
      <c r="AL55" s="38"/>
      <c r="AM55" s="48"/>
      <c r="AN55" s="42"/>
      <c r="AO55" s="42"/>
      <c r="AP55" s="42"/>
      <c r="AQ55" s="42"/>
      <c r="AR55" s="42"/>
      <c r="AS55" s="50"/>
      <c r="AT55" s="39"/>
      <c r="AU55" s="39"/>
      <c r="AV55" s="49"/>
      <c r="AW55" s="39"/>
      <c r="AX55" s="39">
        <v>10</v>
      </c>
      <c r="AY55" s="30">
        <f>(J55*10)/100</f>
        <v>0</v>
      </c>
      <c r="AZ55" s="42"/>
    </row>
    <row r="56" spans="1:52" ht="15.75" customHeight="1" x14ac:dyDescent="0.25">
      <c r="A56" s="46"/>
      <c r="B56" s="38"/>
      <c r="C56" s="39"/>
      <c r="D56" s="37"/>
      <c r="E56" s="42"/>
      <c r="F56" s="38"/>
      <c r="G56" s="39"/>
      <c r="H56" s="42"/>
      <c r="I56" s="42"/>
      <c r="J56" s="43">
        <v>0</v>
      </c>
      <c r="K56" s="43">
        <v>0</v>
      </c>
      <c r="L56" s="56">
        <v>0</v>
      </c>
      <c r="M56" s="56">
        <v>0</v>
      </c>
      <c r="N56" s="44" t="e">
        <f t="shared" si="0"/>
        <v>#DIV/0!</v>
      </c>
      <c r="O56" s="45">
        <f t="shared" si="1"/>
        <v>0</v>
      </c>
      <c r="P56" s="43"/>
      <c r="Q56" s="45">
        <f t="shared" si="2"/>
        <v>0</v>
      </c>
      <c r="R56" s="43">
        <v>0</v>
      </c>
      <c r="S56" s="30">
        <f t="shared" si="10"/>
        <v>0</v>
      </c>
      <c r="T56" s="30">
        <f t="shared" si="10"/>
        <v>0</v>
      </c>
      <c r="U56" s="30" t="e">
        <f>T56/X56</f>
        <v>#DIV/0!</v>
      </c>
      <c r="V56" s="43" t="e">
        <f>T56/X56</f>
        <v>#DIV/0!</v>
      </c>
      <c r="W56" s="43" t="e">
        <f t="shared" si="4"/>
        <v>#DIV/0!</v>
      </c>
      <c r="X56" s="43">
        <f t="shared" si="5"/>
        <v>0</v>
      </c>
      <c r="Y56" s="43">
        <v>0</v>
      </c>
      <c r="Z56" s="43">
        <v>0</v>
      </c>
      <c r="AA56" s="43">
        <v>0</v>
      </c>
      <c r="AB56" s="43"/>
      <c r="AC56" s="43" t="e">
        <f t="shared" si="6"/>
        <v>#DIV/0!</v>
      </c>
      <c r="AD56" s="43"/>
      <c r="AE56" s="43" t="e">
        <f t="shared" si="7"/>
        <v>#DIV/0!</v>
      </c>
      <c r="AF56" s="43" t="e">
        <f t="shared" si="8"/>
        <v>#DIV/0!</v>
      </c>
      <c r="AG56" s="43" t="e">
        <f t="shared" si="9"/>
        <v>#DIV/0!</v>
      </c>
      <c r="AH56" s="38"/>
      <c r="AI56" s="38"/>
      <c r="AJ56" s="38"/>
      <c r="AK56" s="38"/>
      <c r="AL56" s="38"/>
      <c r="AM56" s="48"/>
      <c r="AN56" s="42"/>
      <c r="AO56" s="42"/>
      <c r="AP56" s="42"/>
      <c r="AQ56" s="42"/>
      <c r="AR56" s="42"/>
      <c r="AS56" s="50"/>
      <c r="AT56" s="39"/>
      <c r="AU56" s="39"/>
      <c r="AV56" s="49"/>
      <c r="AW56" s="39"/>
      <c r="AX56" s="39">
        <v>10</v>
      </c>
      <c r="AY56" s="30">
        <f>(J56*10)/100</f>
        <v>0</v>
      </c>
      <c r="AZ56" s="42"/>
    </row>
    <row r="57" spans="1:52" ht="15.75" customHeight="1" x14ac:dyDescent="0.25">
      <c r="A57" s="46"/>
      <c r="B57" s="38"/>
      <c r="C57" s="39"/>
      <c r="D57" s="37"/>
      <c r="E57" s="42"/>
      <c r="F57" s="38"/>
      <c r="G57" s="39"/>
      <c r="H57" s="42"/>
      <c r="I57" s="42"/>
      <c r="J57" s="43">
        <v>0</v>
      </c>
      <c r="K57" s="43">
        <v>0</v>
      </c>
      <c r="L57" s="56">
        <v>0</v>
      </c>
      <c r="M57" s="56">
        <v>0</v>
      </c>
      <c r="N57" s="44" t="e">
        <f t="shared" si="0"/>
        <v>#DIV/0!</v>
      </c>
      <c r="O57" s="45">
        <f t="shared" si="1"/>
        <v>0</v>
      </c>
      <c r="P57" s="43"/>
      <c r="Q57" s="45">
        <f t="shared" si="2"/>
        <v>0</v>
      </c>
      <c r="R57" s="43">
        <v>0</v>
      </c>
      <c r="S57" s="30">
        <f t="shared" si="10"/>
        <v>0</v>
      </c>
      <c r="T57" s="30">
        <f t="shared" si="10"/>
        <v>0</v>
      </c>
      <c r="U57" s="30" t="e">
        <f>T57/X57</f>
        <v>#DIV/0!</v>
      </c>
      <c r="V57" s="43" t="e">
        <f>T57/X57</f>
        <v>#DIV/0!</v>
      </c>
      <c r="W57" s="43" t="e">
        <f t="shared" si="4"/>
        <v>#DIV/0!</v>
      </c>
      <c r="X57" s="43">
        <f t="shared" si="5"/>
        <v>0</v>
      </c>
      <c r="Y57" s="43">
        <v>0</v>
      </c>
      <c r="Z57" s="43">
        <v>0</v>
      </c>
      <c r="AA57" s="43">
        <v>0</v>
      </c>
      <c r="AB57" s="43"/>
      <c r="AC57" s="43" t="e">
        <f t="shared" si="6"/>
        <v>#DIV/0!</v>
      </c>
      <c r="AD57" s="43"/>
      <c r="AE57" s="43" t="e">
        <f t="shared" si="7"/>
        <v>#DIV/0!</v>
      </c>
      <c r="AF57" s="43" t="e">
        <f t="shared" si="8"/>
        <v>#DIV/0!</v>
      </c>
      <c r="AG57" s="43" t="e">
        <f t="shared" si="9"/>
        <v>#DIV/0!</v>
      </c>
      <c r="AH57" s="38"/>
      <c r="AI57" s="38"/>
      <c r="AJ57" s="38"/>
      <c r="AK57" s="38"/>
      <c r="AL57" s="38"/>
      <c r="AM57" s="48"/>
      <c r="AN57" s="42"/>
      <c r="AO57" s="42"/>
      <c r="AP57" s="42"/>
      <c r="AQ57" s="42"/>
      <c r="AR57" s="42"/>
      <c r="AS57" s="50"/>
      <c r="AT57" s="39"/>
      <c r="AU57" s="39"/>
      <c r="AV57" s="49"/>
      <c r="AW57" s="39"/>
      <c r="AX57" s="39">
        <v>10</v>
      </c>
      <c r="AY57" s="30">
        <f>(J57*10)/100</f>
        <v>0</v>
      </c>
      <c r="AZ57" s="42"/>
    </row>
    <row r="58" spans="1:52" ht="15.75" customHeight="1" x14ac:dyDescent="0.25">
      <c r="A58" s="46"/>
      <c r="B58" s="38"/>
      <c r="C58" s="39"/>
      <c r="D58" s="37"/>
      <c r="E58" s="42"/>
      <c r="F58" s="38"/>
      <c r="G58" s="39"/>
      <c r="H58" s="42"/>
      <c r="I58" s="42"/>
      <c r="J58" s="43">
        <v>0</v>
      </c>
      <c r="K58" s="43">
        <v>0</v>
      </c>
      <c r="L58" s="56">
        <v>0</v>
      </c>
      <c r="M58" s="56">
        <v>0</v>
      </c>
      <c r="N58" s="44" t="e">
        <f t="shared" si="0"/>
        <v>#DIV/0!</v>
      </c>
      <c r="O58" s="45">
        <f t="shared" si="1"/>
        <v>0</v>
      </c>
      <c r="P58" s="43"/>
      <c r="Q58" s="45">
        <f t="shared" si="2"/>
        <v>0</v>
      </c>
      <c r="R58" s="43">
        <v>0</v>
      </c>
      <c r="S58" s="30">
        <f t="shared" si="10"/>
        <v>0</v>
      </c>
      <c r="T58" s="30">
        <f t="shared" si="10"/>
        <v>0</v>
      </c>
      <c r="U58" s="30" t="e">
        <f>T58/X58</f>
        <v>#DIV/0!</v>
      </c>
      <c r="V58" s="43" t="e">
        <f>T58/X58</f>
        <v>#DIV/0!</v>
      </c>
      <c r="W58" s="43" t="e">
        <f t="shared" si="4"/>
        <v>#DIV/0!</v>
      </c>
      <c r="X58" s="43">
        <f t="shared" si="5"/>
        <v>0</v>
      </c>
      <c r="Y58" s="43">
        <v>0</v>
      </c>
      <c r="Z58" s="43">
        <v>0</v>
      </c>
      <c r="AA58" s="43">
        <v>0</v>
      </c>
      <c r="AB58" s="43"/>
      <c r="AC58" s="43" t="e">
        <f t="shared" si="6"/>
        <v>#DIV/0!</v>
      </c>
      <c r="AD58" s="43"/>
      <c r="AE58" s="43" t="e">
        <f t="shared" si="7"/>
        <v>#DIV/0!</v>
      </c>
      <c r="AF58" s="43" t="e">
        <f t="shared" si="8"/>
        <v>#DIV/0!</v>
      </c>
      <c r="AG58" s="43" t="e">
        <f t="shared" si="9"/>
        <v>#DIV/0!</v>
      </c>
      <c r="AH58" s="38"/>
      <c r="AI58" s="38"/>
      <c r="AJ58" s="38"/>
      <c r="AK58" s="38"/>
      <c r="AL58" s="38"/>
      <c r="AM58" s="48"/>
      <c r="AN58" s="42"/>
      <c r="AO58" s="42"/>
      <c r="AP58" s="42"/>
      <c r="AQ58" s="42"/>
      <c r="AR58" s="42"/>
      <c r="AS58" s="50"/>
      <c r="AT58" s="39"/>
      <c r="AU58" s="39"/>
      <c r="AV58" s="49"/>
      <c r="AW58" s="39"/>
      <c r="AX58" s="39">
        <v>10</v>
      </c>
      <c r="AY58" s="30">
        <f>(J58*10)/100</f>
        <v>0</v>
      </c>
      <c r="AZ58" s="42"/>
    </row>
    <row r="59" spans="1:52" ht="15.75" customHeight="1" x14ac:dyDescent="0.25">
      <c r="A59" s="46"/>
      <c r="B59" s="38"/>
      <c r="C59" s="39"/>
      <c r="D59" s="37"/>
      <c r="E59" s="42"/>
      <c r="F59" s="38"/>
      <c r="G59" s="39"/>
      <c r="H59" s="42"/>
      <c r="I59" s="42"/>
      <c r="J59" s="43">
        <v>0</v>
      </c>
      <c r="K59" s="43">
        <v>0</v>
      </c>
      <c r="L59" s="56">
        <v>0</v>
      </c>
      <c r="M59" s="56">
        <v>0</v>
      </c>
      <c r="N59" s="44" t="e">
        <f t="shared" si="0"/>
        <v>#DIV/0!</v>
      </c>
      <c r="O59" s="45">
        <f t="shared" si="1"/>
        <v>0</v>
      </c>
      <c r="P59" s="43"/>
      <c r="Q59" s="45">
        <f t="shared" si="2"/>
        <v>0</v>
      </c>
      <c r="R59" s="43">
        <v>0</v>
      </c>
      <c r="S59" s="30">
        <f t="shared" si="10"/>
        <v>0</v>
      </c>
      <c r="T59" s="30">
        <f t="shared" si="10"/>
        <v>0</v>
      </c>
      <c r="U59" s="30" t="e">
        <f>T59/X59</f>
        <v>#DIV/0!</v>
      </c>
      <c r="V59" s="43" t="e">
        <f>T59/X59</f>
        <v>#DIV/0!</v>
      </c>
      <c r="W59" s="43" t="e">
        <f t="shared" si="4"/>
        <v>#DIV/0!</v>
      </c>
      <c r="X59" s="43">
        <f t="shared" si="5"/>
        <v>0</v>
      </c>
      <c r="Y59" s="43">
        <v>0</v>
      </c>
      <c r="Z59" s="43">
        <v>0</v>
      </c>
      <c r="AA59" s="43">
        <v>0</v>
      </c>
      <c r="AB59" s="43"/>
      <c r="AC59" s="43" t="e">
        <f t="shared" si="6"/>
        <v>#DIV/0!</v>
      </c>
      <c r="AD59" s="43"/>
      <c r="AE59" s="43" t="e">
        <f t="shared" si="7"/>
        <v>#DIV/0!</v>
      </c>
      <c r="AF59" s="43" t="e">
        <f t="shared" si="8"/>
        <v>#DIV/0!</v>
      </c>
      <c r="AG59" s="43" t="e">
        <f t="shared" si="9"/>
        <v>#DIV/0!</v>
      </c>
      <c r="AH59" s="38"/>
      <c r="AI59" s="38"/>
      <c r="AJ59" s="38"/>
      <c r="AK59" s="38"/>
      <c r="AL59" s="38"/>
      <c r="AM59" s="48"/>
      <c r="AN59" s="42"/>
      <c r="AO59" s="42"/>
      <c r="AP59" s="42"/>
      <c r="AQ59" s="42"/>
      <c r="AR59" s="42"/>
      <c r="AS59" s="50"/>
      <c r="AT59" s="39"/>
      <c r="AU59" s="39"/>
      <c r="AV59" s="49"/>
      <c r="AW59" s="39"/>
      <c r="AX59" s="39">
        <v>10</v>
      </c>
      <c r="AY59" s="30">
        <f>(J59*10)/100</f>
        <v>0</v>
      </c>
      <c r="AZ59" s="42"/>
    </row>
    <row r="60" spans="1:52" ht="15.75" customHeight="1" x14ac:dyDescent="0.25">
      <c r="A60" s="46"/>
      <c r="B60" s="38"/>
      <c r="C60" s="39"/>
      <c r="D60" s="37"/>
      <c r="E60" s="42"/>
      <c r="F60" s="38"/>
      <c r="G60" s="39"/>
      <c r="H60" s="42"/>
      <c r="I60" s="42"/>
      <c r="J60" s="43">
        <v>0</v>
      </c>
      <c r="K60" s="43">
        <v>0</v>
      </c>
      <c r="L60" s="56">
        <v>0</v>
      </c>
      <c r="M60" s="56">
        <v>0</v>
      </c>
      <c r="N60" s="44" t="e">
        <f t="shared" si="0"/>
        <v>#DIV/0!</v>
      </c>
      <c r="O60" s="45">
        <f t="shared" si="1"/>
        <v>0</v>
      </c>
      <c r="P60" s="43"/>
      <c r="Q60" s="45">
        <f t="shared" si="2"/>
        <v>0</v>
      </c>
      <c r="R60" s="43">
        <v>0</v>
      </c>
      <c r="S60" s="30">
        <f t="shared" si="10"/>
        <v>0</v>
      </c>
      <c r="T60" s="30">
        <f t="shared" si="10"/>
        <v>0</v>
      </c>
      <c r="U60" s="30" t="e">
        <f>T60/X60</f>
        <v>#DIV/0!</v>
      </c>
      <c r="V60" s="43" t="e">
        <f>T60/X60</f>
        <v>#DIV/0!</v>
      </c>
      <c r="W60" s="43" t="e">
        <f t="shared" si="4"/>
        <v>#DIV/0!</v>
      </c>
      <c r="X60" s="43">
        <f t="shared" si="5"/>
        <v>0</v>
      </c>
      <c r="Y60" s="43">
        <v>0</v>
      </c>
      <c r="Z60" s="43">
        <v>0</v>
      </c>
      <c r="AA60" s="43">
        <v>0</v>
      </c>
      <c r="AB60" s="43"/>
      <c r="AC60" s="43" t="e">
        <f t="shared" si="6"/>
        <v>#DIV/0!</v>
      </c>
      <c r="AD60" s="43"/>
      <c r="AE60" s="43" t="e">
        <f t="shared" si="7"/>
        <v>#DIV/0!</v>
      </c>
      <c r="AF60" s="43" t="e">
        <f t="shared" si="8"/>
        <v>#DIV/0!</v>
      </c>
      <c r="AG60" s="43" t="e">
        <f t="shared" si="9"/>
        <v>#DIV/0!</v>
      </c>
      <c r="AH60" s="38"/>
      <c r="AI60" s="38"/>
      <c r="AJ60" s="38"/>
      <c r="AK60" s="38"/>
      <c r="AL60" s="38"/>
      <c r="AM60" s="48"/>
      <c r="AN60" s="42"/>
      <c r="AO60" s="42"/>
      <c r="AP60" s="42"/>
      <c r="AQ60" s="42"/>
      <c r="AR60" s="42"/>
      <c r="AS60" s="50"/>
      <c r="AT60" s="39"/>
      <c r="AU60" s="39"/>
      <c r="AV60" s="49"/>
      <c r="AW60" s="39"/>
      <c r="AX60" s="39">
        <v>10</v>
      </c>
      <c r="AY60" s="30">
        <f>(J60*10)/100</f>
        <v>0</v>
      </c>
      <c r="AZ60" s="42"/>
    </row>
    <row r="61" spans="1:52" ht="15.75" customHeight="1" x14ac:dyDescent="0.25">
      <c r="A61" s="46"/>
      <c r="B61" s="38"/>
      <c r="C61" s="39"/>
      <c r="D61" s="37"/>
      <c r="E61" s="42"/>
      <c r="F61" s="38"/>
      <c r="G61" s="39"/>
      <c r="H61" s="42"/>
      <c r="I61" s="42"/>
      <c r="J61" s="43">
        <v>0</v>
      </c>
      <c r="K61" s="43">
        <v>0</v>
      </c>
      <c r="L61" s="56">
        <v>0</v>
      </c>
      <c r="M61" s="56">
        <v>0</v>
      </c>
      <c r="N61" s="44" t="e">
        <f t="shared" si="0"/>
        <v>#DIV/0!</v>
      </c>
      <c r="O61" s="45">
        <f t="shared" si="1"/>
        <v>0</v>
      </c>
      <c r="P61" s="43"/>
      <c r="Q61" s="45">
        <f t="shared" si="2"/>
        <v>0</v>
      </c>
      <c r="R61" s="43">
        <v>0</v>
      </c>
      <c r="S61" s="30">
        <f t="shared" si="10"/>
        <v>0</v>
      </c>
      <c r="T61" s="30">
        <f t="shared" si="10"/>
        <v>0</v>
      </c>
      <c r="U61" s="30" t="e">
        <f>T61/X61</f>
        <v>#DIV/0!</v>
      </c>
      <c r="V61" s="43" t="e">
        <f>T61/X61</f>
        <v>#DIV/0!</v>
      </c>
      <c r="W61" s="43" t="e">
        <f t="shared" si="4"/>
        <v>#DIV/0!</v>
      </c>
      <c r="X61" s="43">
        <f t="shared" si="5"/>
        <v>0</v>
      </c>
      <c r="Y61" s="43">
        <v>0</v>
      </c>
      <c r="Z61" s="43">
        <v>0</v>
      </c>
      <c r="AA61" s="43">
        <v>0</v>
      </c>
      <c r="AB61" s="43"/>
      <c r="AC61" s="43" t="e">
        <f t="shared" si="6"/>
        <v>#DIV/0!</v>
      </c>
      <c r="AD61" s="43"/>
      <c r="AE61" s="43" t="e">
        <f t="shared" si="7"/>
        <v>#DIV/0!</v>
      </c>
      <c r="AF61" s="43" t="e">
        <f t="shared" si="8"/>
        <v>#DIV/0!</v>
      </c>
      <c r="AG61" s="43" t="e">
        <f t="shared" si="9"/>
        <v>#DIV/0!</v>
      </c>
      <c r="AH61" s="38"/>
      <c r="AI61" s="38"/>
      <c r="AJ61" s="38"/>
      <c r="AK61" s="38"/>
      <c r="AL61" s="38"/>
      <c r="AM61" s="48"/>
      <c r="AN61" s="42"/>
      <c r="AO61" s="42"/>
      <c r="AP61" s="42"/>
      <c r="AQ61" s="42"/>
      <c r="AR61" s="42"/>
      <c r="AS61" s="50"/>
      <c r="AT61" s="39"/>
      <c r="AU61" s="39"/>
      <c r="AV61" s="49"/>
      <c r="AW61" s="39"/>
      <c r="AX61" s="39">
        <v>10</v>
      </c>
      <c r="AY61" s="30">
        <f>(J61*10)/100</f>
        <v>0</v>
      </c>
      <c r="AZ61" s="42"/>
    </row>
    <row r="62" spans="1:52" ht="15.75" customHeight="1" x14ac:dyDescent="0.25">
      <c r="A62" s="46"/>
      <c r="B62" s="38"/>
      <c r="C62" s="39"/>
      <c r="D62" s="37"/>
      <c r="E62" s="42"/>
      <c r="F62" s="38"/>
      <c r="G62" s="39"/>
      <c r="H62" s="42"/>
      <c r="I62" s="42"/>
      <c r="J62" s="43">
        <v>0</v>
      </c>
      <c r="K62" s="43">
        <v>0</v>
      </c>
      <c r="L62" s="56">
        <v>0</v>
      </c>
      <c r="M62" s="56">
        <v>0</v>
      </c>
      <c r="N62" s="44" t="e">
        <f t="shared" si="0"/>
        <v>#DIV/0!</v>
      </c>
      <c r="O62" s="45">
        <f t="shared" si="1"/>
        <v>0</v>
      </c>
      <c r="P62" s="43"/>
      <c r="Q62" s="45">
        <f t="shared" si="2"/>
        <v>0</v>
      </c>
      <c r="R62" s="43">
        <v>0</v>
      </c>
      <c r="S62" s="30">
        <f t="shared" si="10"/>
        <v>0</v>
      </c>
      <c r="T62" s="30">
        <f t="shared" si="10"/>
        <v>0</v>
      </c>
      <c r="U62" s="30" t="e">
        <f>T62/X62</f>
        <v>#DIV/0!</v>
      </c>
      <c r="V62" s="43" t="e">
        <f>T62/X62</f>
        <v>#DIV/0!</v>
      </c>
      <c r="W62" s="43" t="e">
        <f t="shared" si="4"/>
        <v>#DIV/0!</v>
      </c>
      <c r="X62" s="43">
        <f t="shared" si="5"/>
        <v>0</v>
      </c>
      <c r="Y62" s="43">
        <v>0</v>
      </c>
      <c r="Z62" s="43">
        <v>0</v>
      </c>
      <c r="AA62" s="43">
        <v>0</v>
      </c>
      <c r="AB62" s="43"/>
      <c r="AC62" s="43" t="e">
        <f t="shared" si="6"/>
        <v>#DIV/0!</v>
      </c>
      <c r="AD62" s="43"/>
      <c r="AE62" s="43" t="e">
        <f t="shared" si="7"/>
        <v>#DIV/0!</v>
      </c>
      <c r="AF62" s="43" t="e">
        <f t="shared" si="8"/>
        <v>#DIV/0!</v>
      </c>
      <c r="AG62" s="43" t="e">
        <f t="shared" si="9"/>
        <v>#DIV/0!</v>
      </c>
      <c r="AH62" s="38"/>
      <c r="AI62" s="38"/>
      <c r="AJ62" s="38"/>
      <c r="AK62" s="38"/>
      <c r="AL62" s="38"/>
      <c r="AM62" s="48"/>
      <c r="AN62" s="42"/>
      <c r="AO62" s="42"/>
      <c r="AP62" s="42"/>
      <c r="AQ62" s="42"/>
      <c r="AR62" s="42"/>
      <c r="AS62" s="50"/>
      <c r="AT62" s="39"/>
      <c r="AU62" s="39"/>
      <c r="AV62" s="49"/>
      <c r="AW62" s="39"/>
      <c r="AX62" s="39">
        <v>10</v>
      </c>
      <c r="AY62" s="30">
        <f>(J62*10)/100</f>
        <v>0</v>
      </c>
      <c r="AZ62" s="42"/>
    </row>
    <row r="63" spans="1:52" ht="15.75" customHeight="1" x14ac:dyDescent="0.25">
      <c r="A63" s="46"/>
      <c r="B63" s="38"/>
      <c r="C63" s="39"/>
      <c r="D63" s="37"/>
      <c r="E63" s="42"/>
      <c r="F63" s="38"/>
      <c r="G63" s="39"/>
      <c r="H63" s="42"/>
      <c r="I63" s="42"/>
      <c r="J63" s="43">
        <v>0</v>
      </c>
      <c r="K63" s="43">
        <v>0</v>
      </c>
      <c r="L63" s="56">
        <v>0</v>
      </c>
      <c r="M63" s="56">
        <v>0</v>
      </c>
      <c r="N63" s="44" t="e">
        <f t="shared" si="0"/>
        <v>#DIV/0!</v>
      </c>
      <c r="O63" s="45">
        <f t="shared" si="1"/>
        <v>0</v>
      </c>
      <c r="P63" s="43"/>
      <c r="Q63" s="45">
        <f t="shared" si="2"/>
        <v>0</v>
      </c>
      <c r="R63" s="43">
        <v>0</v>
      </c>
      <c r="S63" s="30">
        <f t="shared" si="10"/>
        <v>0</v>
      </c>
      <c r="T63" s="30">
        <f t="shared" si="10"/>
        <v>0</v>
      </c>
      <c r="U63" s="30" t="e">
        <f>T63/X63</f>
        <v>#DIV/0!</v>
      </c>
      <c r="V63" s="43" t="e">
        <f>T63/X63</f>
        <v>#DIV/0!</v>
      </c>
      <c r="W63" s="43" t="e">
        <f t="shared" si="4"/>
        <v>#DIV/0!</v>
      </c>
      <c r="X63" s="43">
        <f t="shared" si="5"/>
        <v>0</v>
      </c>
      <c r="Y63" s="43">
        <v>0</v>
      </c>
      <c r="Z63" s="43">
        <v>0</v>
      </c>
      <c r="AA63" s="43">
        <v>0</v>
      </c>
      <c r="AB63" s="43"/>
      <c r="AC63" s="43" t="e">
        <f t="shared" si="6"/>
        <v>#DIV/0!</v>
      </c>
      <c r="AD63" s="43"/>
      <c r="AE63" s="43" t="e">
        <f t="shared" si="7"/>
        <v>#DIV/0!</v>
      </c>
      <c r="AF63" s="43" t="e">
        <f t="shared" si="8"/>
        <v>#DIV/0!</v>
      </c>
      <c r="AG63" s="43" t="e">
        <f t="shared" si="9"/>
        <v>#DIV/0!</v>
      </c>
      <c r="AH63" s="38"/>
      <c r="AI63" s="38"/>
      <c r="AJ63" s="38"/>
      <c r="AK63" s="38"/>
      <c r="AL63" s="38"/>
      <c r="AM63" s="48"/>
      <c r="AN63" s="42"/>
      <c r="AO63" s="42"/>
      <c r="AP63" s="42"/>
      <c r="AQ63" s="42"/>
      <c r="AR63" s="42"/>
      <c r="AS63" s="50"/>
      <c r="AT63" s="39"/>
      <c r="AU63" s="39"/>
      <c r="AV63" s="49"/>
      <c r="AW63" s="39"/>
      <c r="AX63" s="39">
        <v>10</v>
      </c>
      <c r="AY63" s="30">
        <f>(J63*10)/100</f>
        <v>0</v>
      </c>
      <c r="AZ63" s="42"/>
    </row>
    <row r="64" spans="1:52" ht="15.75" customHeight="1" x14ac:dyDescent="0.25">
      <c r="A64" s="46"/>
      <c r="B64" s="38"/>
      <c r="C64" s="39"/>
      <c r="D64" s="37"/>
      <c r="E64" s="42"/>
      <c r="F64" s="38"/>
      <c r="G64" s="39"/>
      <c r="H64" s="42"/>
      <c r="I64" s="42"/>
      <c r="J64" s="43">
        <v>0</v>
      </c>
      <c r="K64" s="43">
        <v>0</v>
      </c>
      <c r="L64" s="56">
        <v>0</v>
      </c>
      <c r="M64" s="56">
        <v>0</v>
      </c>
      <c r="N64" s="44" t="e">
        <f t="shared" si="0"/>
        <v>#DIV/0!</v>
      </c>
      <c r="O64" s="45">
        <f t="shared" si="1"/>
        <v>0</v>
      </c>
      <c r="P64" s="43"/>
      <c r="Q64" s="45">
        <f t="shared" si="2"/>
        <v>0</v>
      </c>
      <c r="R64" s="43">
        <v>0</v>
      </c>
      <c r="S64" s="30">
        <f t="shared" si="10"/>
        <v>0</v>
      </c>
      <c r="T64" s="30">
        <f t="shared" si="10"/>
        <v>0</v>
      </c>
      <c r="U64" s="30" t="e">
        <f>T64/X64</f>
        <v>#DIV/0!</v>
      </c>
      <c r="V64" s="43" t="e">
        <f>T64/X64</f>
        <v>#DIV/0!</v>
      </c>
      <c r="W64" s="43" t="e">
        <f t="shared" si="4"/>
        <v>#DIV/0!</v>
      </c>
      <c r="X64" s="43">
        <f t="shared" si="5"/>
        <v>0</v>
      </c>
      <c r="Y64" s="43">
        <v>0</v>
      </c>
      <c r="Z64" s="43">
        <v>0</v>
      </c>
      <c r="AA64" s="43">
        <v>0</v>
      </c>
      <c r="AB64" s="43"/>
      <c r="AC64" s="43" t="e">
        <f t="shared" si="6"/>
        <v>#DIV/0!</v>
      </c>
      <c r="AD64" s="43"/>
      <c r="AE64" s="43" t="e">
        <f t="shared" si="7"/>
        <v>#DIV/0!</v>
      </c>
      <c r="AF64" s="43" t="e">
        <f t="shared" si="8"/>
        <v>#DIV/0!</v>
      </c>
      <c r="AG64" s="43" t="e">
        <f t="shared" si="9"/>
        <v>#DIV/0!</v>
      </c>
      <c r="AH64" s="38"/>
      <c r="AI64" s="38"/>
      <c r="AJ64" s="38"/>
      <c r="AK64" s="38"/>
      <c r="AL64" s="38"/>
      <c r="AM64" s="48"/>
      <c r="AN64" s="42"/>
      <c r="AO64" s="42"/>
      <c r="AP64" s="42"/>
      <c r="AQ64" s="42"/>
      <c r="AR64" s="42"/>
      <c r="AS64" s="50"/>
      <c r="AT64" s="39"/>
      <c r="AU64" s="39"/>
      <c r="AV64" s="49"/>
      <c r="AW64" s="39"/>
      <c r="AX64" s="39">
        <v>10</v>
      </c>
      <c r="AY64" s="30">
        <f>(J64*10)/100</f>
        <v>0</v>
      </c>
      <c r="AZ64" s="42"/>
    </row>
    <row r="65" spans="1:52" ht="15.75" customHeight="1" x14ac:dyDescent="0.25">
      <c r="A65" s="46"/>
      <c r="B65" s="38"/>
      <c r="C65" s="39"/>
      <c r="D65" s="37"/>
      <c r="E65" s="42"/>
      <c r="F65" s="38"/>
      <c r="G65" s="39"/>
      <c r="H65" s="42"/>
      <c r="I65" s="42"/>
      <c r="J65" s="43">
        <v>0</v>
      </c>
      <c r="K65" s="43">
        <v>0</v>
      </c>
      <c r="L65" s="56">
        <v>0</v>
      </c>
      <c r="M65" s="56">
        <v>0</v>
      </c>
      <c r="N65" s="44" t="e">
        <f t="shared" si="0"/>
        <v>#DIV/0!</v>
      </c>
      <c r="O65" s="45">
        <f t="shared" si="1"/>
        <v>0</v>
      </c>
      <c r="P65" s="43"/>
      <c r="Q65" s="45">
        <f t="shared" si="2"/>
        <v>0</v>
      </c>
      <c r="R65" s="43">
        <v>0</v>
      </c>
      <c r="S65" s="30">
        <f t="shared" si="10"/>
        <v>0</v>
      </c>
      <c r="T65" s="30">
        <f t="shared" si="10"/>
        <v>0</v>
      </c>
      <c r="U65" s="30" t="e">
        <f>T65/X65</f>
        <v>#DIV/0!</v>
      </c>
      <c r="V65" s="43" t="e">
        <f>T65/X65</f>
        <v>#DIV/0!</v>
      </c>
      <c r="W65" s="43" t="e">
        <f t="shared" si="4"/>
        <v>#DIV/0!</v>
      </c>
      <c r="X65" s="43">
        <f t="shared" si="5"/>
        <v>0</v>
      </c>
      <c r="Y65" s="43">
        <v>0</v>
      </c>
      <c r="Z65" s="43">
        <v>0</v>
      </c>
      <c r="AA65" s="43">
        <v>0</v>
      </c>
      <c r="AB65" s="43"/>
      <c r="AC65" s="43" t="e">
        <f t="shared" si="6"/>
        <v>#DIV/0!</v>
      </c>
      <c r="AD65" s="43"/>
      <c r="AE65" s="43" t="e">
        <f t="shared" si="7"/>
        <v>#DIV/0!</v>
      </c>
      <c r="AF65" s="43" t="e">
        <f t="shared" si="8"/>
        <v>#DIV/0!</v>
      </c>
      <c r="AG65" s="43" t="e">
        <f t="shared" si="9"/>
        <v>#DIV/0!</v>
      </c>
      <c r="AH65" s="38"/>
      <c r="AI65" s="38"/>
      <c r="AJ65" s="38"/>
      <c r="AK65" s="38"/>
      <c r="AL65" s="38"/>
      <c r="AM65" s="48"/>
      <c r="AN65" s="42"/>
      <c r="AO65" s="42"/>
      <c r="AP65" s="42"/>
      <c r="AQ65" s="42"/>
      <c r="AR65" s="42"/>
      <c r="AS65" s="50"/>
      <c r="AT65" s="39"/>
      <c r="AU65" s="39"/>
      <c r="AV65" s="49"/>
      <c r="AW65" s="39"/>
      <c r="AX65" s="39">
        <v>10</v>
      </c>
      <c r="AY65" s="30">
        <f>(J65*10)/100</f>
        <v>0</v>
      </c>
      <c r="AZ65" s="42"/>
    </row>
    <row r="66" spans="1:52" ht="15.75" customHeight="1" x14ac:dyDescent="0.25">
      <c r="A66" s="46"/>
      <c r="B66" s="38"/>
      <c r="C66" s="39"/>
      <c r="D66" s="37"/>
      <c r="E66" s="42"/>
      <c r="F66" s="38"/>
      <c r="G66" s="39"/>
      <c r="H66" s="42"/>
      <c r="I66" s="42"/>
      <c r="J66" s="43">
        <v>0</v>
      </c>
      <c r="K66" s="43">
        <v>0</v>
      </c>
      <c r="L66" s="56">
        <v>0</v>
      </c>
      <c r="M66" s="56">
        <v>0</v>
      </c>
      <c r="N66" s="44" t="e">
        <f t="shared" si="0"/>
        <v>#DIV/0!</v>
      </c>
      <c r="O66" s="45">
        <f t="shared" si="1"/>
        <v>0</v>
      </c>
      <c r="P66" s="43"/>
      <c r="Q66" s="45">
        <f t="shared" si="2"/>
        <v>0</v>
      </c>
      <c r="R66" s="43">
        <v>0</v>
      </c>
      <c r="S66" s="30">
        <f t="shared" si="10"/>
        <v>0</v>
      </c>
      <c r="T66" s="30">
        <f t="shared" si="10"/>
        <v>0</v>
      </c>
      <c r="U66" s="30" t="e">
        <f>T66/X66</f>
        <v>#DIV/0!</v>
      </c>
      <c r="V66" s="43" t="e">
        <f>T66/X66</f>
        <v>#DIV/0!</v>
      </c>
      <c r="W66" s="43" t="e">
        <f t="shared" si="4"/>
        <v>#DIV/0!</v>
      </c>
      <c r="X66" s="43">
        <f t="shared" si="5"/>
        <v>0</v>
      </c>
      <c r="Y66" s="43">
        <v>0</v>
      </c>
      <c r="Z66" s="43">
        <v>0</v>
      </c>
      <c r="AA66" s="43">
        <v>0</v>
      </c>
      <c r="AB66" s="43"/>
      <c r="AC66" s="43" t="e">
        <f t="shared" si="6"/>
        <v>#DIV/0!</v>
      </c>
      <c r="AD66" s="43"/>
      <c r="AE66" s="43" t="e">
        <f t="shared" si="7"/>
        <v>#DIV/0!</v>
      </c>
      <c r="AF66" s="43" t="e">
        <f t="shared" si="8"/>
        <v>#DIV/0!</v>
      </c>
      <c r="AG66" s="43" t="e">
        <f t="shared" si="9"/>
        <v>#DIV/0!</v>
      </c>
      <c r="AH66" s="38"/>
      <c r="AI66" s="38"/>
      <c r="AJ66" s="38"/>
      <c r="AK66" s="38"/>
      <c r="AL66" s="38"/>
      <c r="AM66" s="48"/>
      <c r="AN66" s="42"/>
      <c r="AO66" s="42"/>
      <c r="AP66" s="42"/>
      <c r="AQ66" s="42"/>
      <c r="AR66" s="42"/>
      <c r="AS66" s="50"/>
      <c r="AT66" s="39"/>
      <c r="AU66" s="39"/>
      <c r="AV66" s="49"/>
      <c r="AW66" s="39"/>
      <c r="AX66" s="39">
        <v>10</v>
      </c>
      <c r="AY66" s="30">
        <f>(J66*10)/100</f>
        <v>0</v>
      </c>
      <c r="AZ66" s="42"/>
    </row>
    <row r="67" spans="1:52" ht="15.75" customHeight="1" x14ac:dyDescent="0.25">
      <c r="A67" s="46"/>
      <c r="B67" s="38"/>
      <c r="C67" s="39"/>
      <c r="D67" s="37"/>
      <c r="E67" s="42"/>
      <c r="F67" s="38"/>
      <c r="G67" s="39"/>
      <c r="H67" s="42"/>
      <c r="I67" s="42"/>
      <c r="J67" s="43">
        <v>0</v>
      </c>
      <c r="K67" s="43">
        <v>0</v>
      </c>
      <c r="L67" s="56">
        <v>0</v>
      </c>
      <c r="M67" s="56">
        <v>0</v>
      </c>
      <c r="N67" s="44" t="e">
        <f t="shared" ref="N67:N112" si="11">((J67-P67)/J67)*100</f>
        <v>#DIV/0!</v>
      </c>
      <c r="O67" s="45">
        <f t="shared" ref="O67:O130" si="12">J67-P67</f>
        <v>0</v>
      </c>
      <c r="P67" s="43"/>
      <c r="Q67" s="45">
        <f t="shared" ref="Q67:Q130" si="13">J67-R67</f>
        <v>0</v>
      </c>
      <c r="R67" s="43">
        <v>0</v>
      </c>
      <c r="S67" s="30">
        <f t="shared" si="10"/>
        <v>0</v>
      </c>
      <c r="T67" s="30">
        <f t="shared" si="10"/>
        <v>0</v>
      </c>
      <c r="U67" s="30" t="e">
        <f>T67/X67</f>
        <v>#DIV/0!</v>
      </c>
      <c r="V67" s="43" t="e">
        <f>T67/X67</f>
        <v>#DIV/0!</v>
      </c>
      <c r="W67" s="43" t="e">
        <f t="shared" ref="W67:W130" si="14">V67*AV67</f>
        <v>#DIV/0!</v>
      </c>
      <c r="X67" s="43">
        <f t="shared" ref="X67:X130" si="15">Y67+Z67+AA67</f>
        <v>0</v>
      </c>
      <c r="Y67" s="43">
        <v>0</v>
      </c>
      <c r="Z67" s="43">
        <v>0</v>
      </c>
      <c r="AA67" s="43">
        <v>0</v>
      </c>
      <c r="AB67" s="43"/>
      <c r="AC67" s="43" t="e">
        <f t="shared" ref="AC67:AC130" si="16">AB67*V67</f>
        <v>#DIV/0!</v>
      </c>
      <c r="AD67" s="43"/>
      <c r="AE67" s="43" t="e">
        <f t="shared" ref="AE67:AE130" si="17">AD67*V67</f>
        <v>#DIV/0!</v>
      </c>
      <c r="AF67" s="43" t="e">
        <f t="shared" ref="AF67:AF129" si="18">X67/AV67</f>
        <v>#DIV/0!</v>
      </c>
      <c r="AG67" s="43" t="e">
        <f t="shared" ref="AG67:AG129" si="19">_xlfn.CEILING.MATH(AF67)</f>
        <v>#DIV/0!</v>
      </c>
      <c r="AH67" s="38"/>
      <c r="AI67" s="38"/>
      <c r="AJ67" s="38"/>
      <c r="AK67" s="38"/>
      <c r="AL67" s="38"/>
      <c r="AM67" s="48"/>
      <c r="AN67" s="42"/>
      <c r="AO67" s="42"/>
      <c r="AP67" s="42"/>
      <c r="AQ67" s="42"/>
      <c r="AR67" s="42"/>
      <c r="AS67" s="50"/>
      <c r="AT67" s="39"/>
      <c r="AU67" s="39"/>
      <c r="AV67" s="49"/>
      <c r="AW67" s="39"/>
      <c r="AX67" s="39">
        <v>10</v>
      </c>
      <c r="AY67" s="30">
        <f>(J67*10)/100</f>
        <v>0</v>
      </c>
      <c r="AZ67" s="42"/>
    </row>
    <row r="68" spans="1:52" ht="15.75" customHeight="1" x14ac:dyDescent="0.25">
      <c r="A68" s="46"/>
      <c r="B68" s="38"/>
      <c r="C68" s="39"/>
      <c r="D68" s="37"/>
      <c r="E68" s="42"/>
      <c r="F68" s="38"/>
      <c r="G68" s="39"/>
      <c r="H68" s="42"/>
      <c r="I68" s="42"/>
      <c r="J68" s="43">
        <v>0</v>
      </c>
      <c r="K68" s="43">
        <v>0</v>
      </c>
      <c r="L68" s="56">
        <v>0</v>
      </c>
      <c r="M68" s="56">
        <v>0</v>
      </c>
      <c r="N68" s="44" t="e">
        <f t="shared" si="11"/>
        <v>#DIV/0!</v>
      </c>
      <c r="O68" s="45">
        <f t="shared" si="12"/>
        <v>0</v>
      </c>
      <c r="P68" s="43"/>
      <c r="Q68" s="45">
        <f t="shared" si="13"/>
        <v>0</v>
      </c>
      <c r="R68" s="43">
        <v>0</v>
      </c>
      <c r="S68" s="30">
        <f t="shared" si="10"/>
        <v>0</v>
      </c>
      <c r="T68" s="30">
        <f t="shared" si="10"/>
        <v>0</v>
      </c>
      <c r="U68" s="30" t="e">
        <f>T68/X68</f>
        <v>#DIV/0!</v>
      </c>
      <c r="V68" s="43" t="e">
        <f>T68/X68</f>
        <v>#DIV/0!</v>
      </c>
      <c r="W68" s="43" t="e">
        <f t="shared" si="14"/>
        <v>#DIV/0!</v>
      </c>
      <c r="X68" s="43">
        <f t="shared" si="15"/>
        <v>0</v>
      </c>
      <c r="Y68" s="43">
        <v>0</v>
      </c>
      <c r="Z68" s="43">
        <v>0</v>
      </c>
      <c r="AA68" s="43">
        <v>0</v>
      </c>
      <c r="AB68" s="43"/>
      <c r="AC68" s="43" t="e">
        <f t="shared" si="16"/>
        <v>#DIV/0!</v>
      </c>
      <c r="AD68" s="43"/>
      <c r="AE68" s="43" t="e">
        <f t="shared" si="17"/>
        <v>#DIV/0!</v>
      </c>
      <c r="AF68" s="43" t="e">
        <f t="shared" si="18"/>
        <v>#DIV/0!</v>
      </c>
      <c r="AG68" s="43" t="e">
        <f t="shared" si="19"/>
        <v>#DIV/0!</v>
      </c>
      <c r="AH68" s="38"/>
      <c r="AI68" s="38"/>
      <c r="AJ68" s="38"/>
      <c r="AK68" s="38"/>
      <c r="AL68" s="38"/>
      <c r="AM68" s="48"/>
      <c r="AN68" s="42"/>
      <c r="AO68" s="42"/>
      <c r="AP68" s="42"/>
      <c r="AQ68" s="42"/>
      <c r="AR68" s="42"/>
      <c r="AS68" s="50"/>
      <c r="AT68" s="39"/>
      <c r="AU68" s="39"/>
      <c r="AV68" s="49"/>
      <c r="AW68" s="39"/>
      <c r="AX68" s="39">
        <v>10</v>
      </c>
      <c r="AY68" s="30">
        <f>(J68*10)/100</f>
        <v>0</v>
      </c>
      <c r="AZ68" s="42"/>
    </row>
    <row r="69" spans="1:52" ht="15.75" customHeight="1" x14ac:dyDescent="0.25">
      <c r="A69" s="46"/>
      <c r="B69" s="38"/>
      <c r="C69" s="39"/>
      <c r="D69" s="37"/>
      <c r="E69" s="42"/>
      <c r="F69" s="38"/>
      <c r="G69" s="39"/>
      <c r="H69" s="42"/>
      <c r="I69" s="42"/>
      <c r="J69" s="43">
        <v>0</v>
      </c>
      <c r="K69" s="43">
        <v>0</v>
      </c>
      <c r="L69" s="56">
        <v>0</v>
      </c>
      <c r="M69" s="56">
        <v>0</v>
      </c>
      <c r="N69" s="44" t="e">
        <f t="shared" si="11"/>
        <v>#DIV/0!</v>
      </c>
      <c r="O69" s="45">
        <f t="shared" si="12"/>
        <v>0</v>
      </c>
      <c r="P69" s="43"/>
      <c r="Q69" s="45">
        <f t="shared" si="13"/>
        <v>0</v>
      </c>
      <c r="R69" s="43">
        <v>0</v>
      </c>
      <c r="S69" s="30">
        <f t="shared" si="10"/>
        <v>0</v>
      </c>
      <c r="T69" s="30">
        <f t="shared" si="10"/>
        <v>0</v>
      </c>
      <c r="U69" s="30" t="e">
        <f>T69/X69</f>
        <v>#DIV/0!</v>
      </c>
      <c r="V69" s="43" t="e">
        <f>T69/X69</f>
        <v>#DIV/0!</v>
      </c>
      <c r="W69" s="43" t="e">
        <f t="shared" si="14"/>
        <v>#DIV/0!</v>
      </c>
      <c r="X69" s="43">
        <f t="shared" si="15"/>
        <v>0</v>
      </c>
      <c r="Y69" s="43">
        <v>0</v>
      </c>
      <c r="Z69" s="43">
        <v>0</v>
      </c>
      <c r="AA69" s="43">
        <v>0</v>
      </c>
      <c r="AB69" s="43"/>
      <c r="AC69" s="43" t="e">
        <f t="shared" si="16"/>
        <v>#DIV/0!</v>
      </c>
      <c r="AD69" s="43"/>
      <c r="AE69" s="43" t="e">
        <f t="shared" si="17"/>
        <v>#DIV/0!</v>
      </c>
      <c r="AF69" s="43" t="e">
        <f t="shared" si="18"/>
        <v>#DIV/0!</v>
      </c>
      <c r="AG69" s="43" t="e">
        <f t="shared" si="19"/>
        <v>#DIV/0!</v>
      </c>
      <c r="AH69" s="38"/>
      <c r="AI69" s="38"/>
      <c r="AJ69" s="38"/>
      <c r="AK69" s="38"/>
      <c r="AL69" s="38"/>
      <c r="AM69" s="48"/>
      <c r="AN69" s="42"/>
      <c r="AO69" s="42"/>
      <c r="AP69" s="42"/>
      <c r="AQ69" s="42"/>
      <c r="AR69" s="42"/>
      <c r="AS69" s="50"/>
      <c r="AT69" s="39"/>
      <c r="AU69" s="39"/>
      <c r="AV69" s="49"/>
      <c r="AW69" s="39"/>
      <c r="AX69" s="39">
        <v>10</v>
      </c>
      <c r="AY69" s="30">
        <f>(J69*10)/100</f>
        <v>0</v>
      </c>
      <c r="AZ69" s="42"/>
    </row>
    <row r="70" spans="1:52" ht="15.75" customHeight="1" x14ac:dyDescent="0.25">
      <c r="A70" s="46"/>
      <c r="B70" s="38"/>
      <c r="C70" s="39"/>
      <c r="D70" s="37"/>
      <c r="E70" s="42"/>
      <c r="F70" s="38"/>
      <c r="G70" s="39"/>
      <c r="H70" s="42"/>
      <c r="I70" s="42"/>
      <c r="J70" s="43">
        <v>0</v>
      </c>
      <c r="K70" s="43">
        <v>0</v>
      </c>
      <c r="L70" s="56">
        <v>0</v>
      </c>
      <c r="M70" s="56">
        <v>0</v>
      </c>
      <c r="N70" s="44" t="e">
        <f t="shared" si="11"/>
        <v>#DIV/0!</v>
      </c>
      <c r="O70" s="45">
        <f t="shared" si="12"/>
        <v>0</v>
      </c>
      <c r="P70" s="43"/>
      <c r="Q70" s="45">
        <f t="shared" si="13"/>
        <v>0</v>
      </c>
      <c r="R70" s="43">
        <v>0</v>
      </c>
      <c r="S70" s="30">
        <f t="shared" si="10"/>
        <v>0</v>
      </c>
      <c r="T70" s="30">
        <f t="shared" si="10"/>
        <v>0</v>
      </c>
      <c r="U70" s="30" t="e">
        <f>T70/X70</f>
        <v>#DIV/0!</v>
      </c>
      <c r="V70" s="43" t="e">
        <f>T70/X70</f>
        <v>#DIV/0!</v>
      </c>
      <c r="W70" s="43" t="e">
        <f t="shared" si="14"/>
        <v>#DIV/0!</v>
      </c>
      <c r="X70" s="43">
        <f t="shared" si="15"/>
        <v>0</v>
      </c>
      <c r="Y70" s="43">
        <v>0</v>
      </c>
      <c r="Z70" s="43">
        <v>0</v>
      </c>
      <c r="AA70" s="43">
        <v>0</v>
      </c>
      <c r="AB70" s="43"/>
      <c r="AC70" s="43" t="e">
        <f t="shared" si="16"/>
        <v>#DIV/0!</v>
      </c>
      <c r="AD70" s="43"/>
      <c r="AE70" s="43" t="e">
        <f t="shared" si="17"/>
        <v>#DIV/0!</v>
      </c>
      <c r="AF70" s="43" t="e">
        <f t="shared" si="18"/>
        <v>#DIV/0!</v>
      </c>
      <c r="AG70" s="43" t="e">
        <f t="shared" si="19"/>
        <v>#DIV/0!</v>
      </c>
      <c r="AH70" s="38"/>
      <c r="AI70" s="38"/>
      <c r="AJ70" s="38"/>
      <c r="AK70" s="38"/>
      <c r="AL70" s="38"/>
      <c r="AM70" s="48"/>
      <c r="AN70" s="42"/>
      <c r="AO70" s="42"/>
      <c r="AP70" s="42"/>
      <c r="AQ70" s="42"/>
      <c r="AR70" s="42"/>
      <c r="AS70" s="50"/>
      <c r="AT70" s="39"/>
      <c r="AU70" s="39"/>
      <c r="AV70" s="49"/>
      <c r="AW70" s="39"/>
      <c r="AX70" s="39">
        <v>10</v>
      </c>
      <c r="AY70" s="30">
        <f>(J70*10)/100</f>
        <v>0</v>
      </c>
      <c r="AZ70" s="42"/>
    </row>
    <row r="71" spans="1:52" ht="15.75" customHeight="1" x14ac:dyDescent="0.25">
      <c r="A71" s="46"/>
      <c r="B71" s="38"/>
      <c r="C71" s="39"/>
      <c r="D71" s="37"/>
      <c r="E71" s="42"/>
      <c r="F71" s="38"/>
      <c r="G71" s="39"/>
      <c r="H71" s="42"/>
      <c r="I71" s="42"/>
      <c r="J71" s="43">
        <v>0</v>
      </c>
      <c r="K71" s="43">
        <v>0</v>
      </c>
      <c r="L71" s="56">
        <v>0</v>
      </c>
      <c r="M71" s="56">
        <v>0</v>
      </c>
      <c r="N71" s="44" t="e">
        <f t="shared" si="11"/>
        <v>#DIV/0!</v>
      </c>
      <c r="O71" s="45">
        <f t="shared" si="12"/>
        <v>0</v>
      </c>
      <c r="P71" s="43"/>
      <c r="Q71" s="45">
        <f t="shared" si="13"/>
        <v>0</v>
      </c>
      <c r="R71" s="43">
        <v>0</v>
      </c>
      <c r="S71" s="30">
        <f t="shared" si="10"/>
        <v>0</v>
      </c>
      <c r="T71" s="30">
        <f t="shared" si="10"/>
        <v>0</v>
      </c>
      <c r="U71" s="30" t="e">
        <f>T71/X71</f>
        <v>#DIV/0!</v>
      </c>
      <c r="V71" s="43" t="e">
        <f>T71/X71</f>
        <v>#DIV/0!</v>
      </c>
      <c r="W71" s="43" t="e">
        <f t="shared" si="14"/>
        <v>#DIV/0!</v>
      </c>
      <c r="X71" s="43">
        <f t="shared" si="15"/>
        <v>0</v>
      </c>
      <c r="Y71" s="43">
        <v>0</v>
      </c>
      <c r="Z71" s="43">
        <v>0</v>
      </c>
      <c r="AA71" s="43">
        <v>0</v>
      </c>
      <c r="AB71" s="43"/>
      <c r="AC71" s="43" t="e">
        <f t="shared" si="16"/>
        <v>#DIV/0!</v>
      </c>
      <c r="AD71" s="43"/>
      <c r="AE71" s="43" t="e">
        <f t="shared" si="17"/>
        <v>#DIV/0!</v>
      </c>
      <c r="AF71" s="43" t="e">
        <f t="shared" si="18"/>
        <v>#DIV/0!</v>
      </c>
      <c r="AG71" s="43" t="e">
        <f t="shared" si="19"/>
        <v>#DIV/0!</v>
      </c>
      <c r="AH71" s="38"/>
      <c r="AI71" s="38"/>
      <c r="AJ71" s="38"/>
      <c r="AK71" s="38"/>
      <c r="AL71" s="38"/>
      <c r="AM71" s="48"/>
      <c r="AN71" s="42"/>
      <c r="AO71" s="42"/>
      <c r="AP71" s="42"/>
      <c r="AQ71" s="42"/>
      <c r="AR71" s="42"/>
      <c r="AS71" s="50"/>
      <c r="AT71" s="39"/>
      <c r="AU71" s="39"/>
      <c r="AV71" s="49"/>
      <c r="AW71" s="39"/>
      <c r="AX71" s="39">
        <v>10</v>
      </c>
      <c r="AY71" s="30">
        <f>(J71*10)/100</f>
        <v>0</v>
      </c>
      <c r="AZ71" s="42"/>
    </row>
    <row r="72" spans="1:52" ht="15.75" customHeight="1" x14ac:dyDescent="0.25">
      <c r="A72" s="46"/>
      <c r="B72" s="38"/>
      <c r="C72" s="39"/>
      <c r="D72" s="37"/>
      <c r="E72" s="42"/>
      <c r="F72" s="38"/>
      <c r="G72" s="39"/>
      <c r="H72" s="42"/>
      <c r="I72" s="42"/>
      <c r="J72" s="43">
        <v>0</v>
      </c>
      <c r="K72" s="43">
        <v>0</v>
      </c>
      <c r="L72" s="56">
        <v>0</v>
      </c>
      <c r="M72" s="56">
        <v>0</v>
      </c>
      <c r="N72" s="44" t="e">
        <f t="shared" si="11"/>
        <v>#DIV/0!</v>
      </c>
      <c r="O72" s="45">
        <f t="shared" si="12"/>
        <v>0</v>
      </c>
      <c r="P72" s="43"/>
      <c r="Q72" s="45">
        <f t="shared" si="13"/>
        <v>0</v>
      </c>
      <c r="R72" s="43">
        <v>0</v>
      </c>
      <c r="S72" s="30">
        <f t="shared" si="10"/>
        <v>0</v>
      </c>
      <c r="T72" s="30">
        <f t="shared" si="10"/>
        <v>0</v>
      </c>
      <c r="U72" s="30" t="e">
        <f>T72/X72</f>
        <v>#DIV/0!</v>
      </c>
      <c r="V72" s="43" t="e">
        <f>T72/X72</f>
        <v>#DIV/0!</v>
      </c>
      <c r="W72" s="43" t="e">
        <f t="shared" si="14"/>
        <v>#DIV/0!</v>
      </c>
      <c r="X72" s="43">
        <f t="shared" si="15"/>
        <v>0</v>
      </c>
      <c r="Y72" s="43">
        <v>0</v>
      </c>
      <c r="Z72" s="43">
        <v>0</v>
      </c>
      <c r="AA72" s="43">
        <v>0</v>
      </c>
      <c r="AB72" s="43"/>
      <c r="AC72" s="43" t="e">
        <f t="shared" si="16"/>
        <v>#DIV/0!</v>
      </c>
      <c r="AD72" s="43"/>
      <c r="AE72" s="43" t="e">
        <f t="shared" si="17"/>
        <v>#DIV/0!</v>
      </c>
      <c r="AF72" s="43" t="e">
        <f t="shared" si="18"/>
        <v>#DIV/0!</v>
      </c>
      <c r="AG72" s="43" t="e">
        <f t="shared" si="19"/>
        <v>#DIV/0!</v>
      </c>
      <c r="AH72" s="38"/>
      <c r="AI72" s="38"/>
      <c r="AJ72" s="38"/>
      <c r="AK72" s="38"/>
      <c r="AL72" s="38"/>
      <c r="AM72" s="48"/>
      <c r="AN72" s="42"/>
      <c r="AO72" s="42"/>
      <c r="AP72" s="42"/>
      <c r="AQ72" s="42"/>
      <c r="AR72" s="42"/>
      <c r="AS72" s="50"/>
      <c r="AT72" s="39"/>
      <c r="AU72" s="39"/>
      <c r="AV72" s="49"/>
      <c r="AW72" s="39"/>
      <c r="AX72" s="39">
        <v>10</v>
      </c>
      <c r="AY72" s="30">
        <f>(J72*10)/100</f>
        <v>0</v>
      </c>
      <c r="AZ72" s="42"/>
    </row>
    <row r="73" spans="1:52" ht="15.75" customHeight="1" x14ac:dyDescent="0.25">
      <c r="A73" s="46"/>
      <c r="B73" s="38"/>
      <c r="C73" s="39"/>
      <c r="D73" s="37"/>
      <c r="E73" s="42"/>
      <c r="F73" s="38"/>
      <c r="G73" s="39"/>
      <c r="H73" s="42"/>
      <c r="I73" s="42"/>
      <c r="J73" s="43">
        <v>0</v>
      </c>
      <c r="K73" s="43">
        <v>0</v>
      </c>
      <c r="L73" s="56">
        <v>0</v>
      </c>
      <c r="M73" s="56">
        <v>0</v>
      </c>
      <c r="N73" s="44" t="e">
        <f t="shared" si="11"/>
        <v>#DIV/0!</v>
      </c>
      <c r="O73" s="45">
        <f t="shared" si="12"/>
        <v>0</v>
      </c>
      <c r="P73" s="43"/>
      <c r="Q73" s="45">
        <f t="shared" si="13"/>
        <v>0</v>
      </c>
      <c r="R73" s="43">
        <v>0</v>
      </c>
      <c r="S73" s="30">
        <f t="shared" si="10"/>
        <v>0</v>
      </c>
      <c r="T73" s="30">
        <f t="shared" si="10"/>
        <v>0</v>
      </c>
      <c r="U73" s="30" t="e">
        <f>T73/X73</f>
        <v>#DIV/0!</v>
      </c>
      <c r="V73" s="43" t="e">
        <f>T73/X73</f>
        <v>#DIV/0!</v>
      </c>
      <c r="W73" s="43" t="e">
        <f t="shared" si="14"/>
        <v>#DIV/0!</v>
      </c>
      <c r="X73" s="43">
        <f t="shared" si="15"/>
        <v>0</v>
      </c>
      <c r="Y73" s="43">
        <v>0</v>
      </c>
      <c r="Z73" s="43">
        <v>0</v>
      </c>
      <c r="AA73" s="43">
        <v>0</v>
      </c>
      <c r="AB73" s="43"/>
      <c r="AC73" s="43" t="e">
        <f t="shared" si="16"/>
        <v>#DIV/0!</v>
      </c>
      <c r="AD73" s="43"/>
      <c r="AE73" s="43" t="e">
        <f t="shared" si="17"/>
        <v>#DIV/0!</v>
      </c>
      <c r="AF73" s="43" t="e">
        <f t="shared" si="18"/>
        <v>#DIV/0!</v>
      </c>
      <c r="AG73" s="43" t="e">
        <f t="shared" si="19"/>
        <v>#DIV/0!</v>
      </c>
      <c r="AH73" s="38"/>
      <c r="AI73" s="38"/>
      <c r="AJ73" s="38"/>
      <c r="AK73" s="38"/>
      <c r="AL73" s="38"/>
      <c r="AM73" s="48"/>
      <c r="AN73" s="42"/>
      <c r="AO73" s="42"/>
      <c r="AP73" s="42"/>
      <c r="AQ73" s="42"/>
      <c r="AR73" s="42"/>
      <c r="AS73" s="50"/>
      <c r="AT73" s="39"/>
      <c r="AU73" s="39"/>
      <c r="AV73" s="49"/>
      <c r="AW73" s="39"/>
      <c r="AX73" s="39">
        <v>10</v>
      </c>
      <c r="AY73" s="30">
        <f>(J73*10)/100</f>
        <v>0</v>
      </c>
      <c r="AZ73" s="42"/>
    </row>
    <row r="74" spans="1:52" ht="15.75" customHeight="1" x14ac:dyDescent="0.25">
      <c r="A74" s="46"/>
      <c r="B74" s="38"/>
      <c r="C74" s="39"/>
      <c r="D74" s="37"/>
      <c r="E74" s="42"/>
      <c r="F74" s="38"/>
      <c r="G74" s="39"/>
      <c r="H74" s="42"/>
      <c r="I74" s="42"/>
      <c r="J74" s="43">
        <v>0</v>
      </c>
      <c r="K74" s="43">
        <v>0</v>
      </c>
      <c r="L74" s="56">
        <v>0</v>
      </c>
      <c r="M74" s="56">
        <v>0</v>
      </c>
      <c r="N74" s="44" t="e">
        <f t="shared" si="11"/>
        <v>#DIV/0!</v>
      </c>
      <c r="O74" s="45">
        <f t="shared" si="12"/>
        <v>0</v>
      </c>
      <c r="P74" s="43"/>
      <c r="Q74" s="45">
        <f t="shared" si="13"/>
        <v>0</v>
      </c>
      <c r="R74" s="43">
        <v>0</v>
      </c>
      <c r="S74" s="30">
        <f t="shared" si="10"/>
        <v>0</v>
      </c>
      <c r="T74" s="30">
        <f t="shared" si="10"/>
        <v>0</v>
      </c>
      <c r="U74" s="30" t="e">
        <f>T74/X74</f>
        <v>#DIV/0!</v>
      </c>
      <c r="V74" s="43" t="e">
        <f>T74/X74</f>
        <v>#DIV/0!</v>
      </c>
      <c r="W74" s="43" t="e">
        <f t="shared" si="14"/>
        <v>#DIV/0!</v>
      </c>
      <c r="X74" s="43">
        <f t="shared" si="15"/>
        <v>0</v>
      </c>
      <c r="Y74" s="43">
        <v>0</v>
      </c>
      <c r="Z74" s="43">
        <v>0</v>
      </c>
      <c r="AA74" s="43">
        <v>0</v>
      </c>
      <c r="AB74" s="43"/>
      <c r="AC74" s="43" t="e">
        <f t="shared" si="16"/>
        <v>#DIV/0!</v>
      </c>
      <c r="AD74" s="43"/>
      <c r="AE74" s="43" t="e">
        <f t="shared" si="17"/>
        <v>#DIV/0!</v>
      </c>
      <c r="AF74" s="43" t="e">
        <f t="shared" si="18"/>
        <v>#DIV/0!</v>
      </c>
      <c r="AG74" s="43" t="e">
        <f t="shared" si="19"/>
        <v>#DIV/0!</v>
      </c>
      <c r="AH74" s="38"/>
      <c r="AI74" s="38"/>
      <c r="AJ74" s="38"/>
      <c r="AK74" s="38"/>
      <c r="AL74" s="38"/>
      <c r="AM74" s="48"/>
      <c r="AN74" s="42"/>
      <c r="AO74" s="42"/>
      <c r="AP74" s="42"/>
      <c r="AQ74" s="42"/>
      <c r="AR74" s="42"/>
      <c r="AS74" s="50"/>
      <c r="AT74" s="39"/>
      <c r="AU74" s="39"/>
      <c r="AV74" s="49"/>
      <c r="AW74" s="39"/>
      <c r="AX74" s="39">
        <v>10</v>
      </c>
      <c r="AY74" s="30">
        <f>(J74*10)/100</f>
        <v>0</v>
      </c>
      <c r="AZ74" s="42"/>
    </row>
    <row r="75" spans="1:52" ht="15.75" customHeight="1" x14ac:dyDescent="0.25">
      <c r="A75" s="46"/>
      <c r="B75" s="38"/>
      <c r="C75" s="39"/>
      <c r="D75" s="37"/>
      <c r="E75" s="42"/>
      <c r="F75" s="38"/>
      <c r="G75" s="39"/>
      <c r="H75" s="42"/>
      <c r="I75" s="42"/>
      <c r="J75" s="43">
        <v>0</v>
      </c>
      <c r="K75" s="43">
        <v>0</v>
      </c>
      <c r="L75" s="56">
        <v>0</v>
      </c>
      <c r="M75" s="56">
        <v>0</v>
      </c>
      <c r="N75" s="44" t="e">
        <f t="shared" si="11"/>
        <v>#DIV/0!</v>
      </c>
      <c r="O75" s="45">
        <f t="shared" si="12"/>
        <v>0</v>
      </c>
      <c r="P75" s="43"/>
      <c r="Q75" s="45">
        <f t="shared" si="13"/>
        <v>0</v>
      </c>
      <c r="R75" s="43">
        <v>0</v>
      </c>
      <c r="S75" s="30">
        <f t="shared" si="10"/>
        <v>0</v>
      </c>
      <c r="T75" s="30">
        <f t="shared" si="10"/>
        <v>0</v>
      </c>
      <c r="U75" s="30" t="e">
        <f>T75/X75</f>
        <v>#DIV/0!</v>
      </c>
      <c r="V75" s="43" t="e">
        <f>T75/X75</f>
        <v>#DIV/0!</v>
      </c>
      <c r="W75" s="43" t="e">
        <f t="shared" si="14"/>
        <v>#DIV/0!</v>
      </c>
      <c r="X75" s="43">
        <f t="shared" si="15"/>
        <v>0</v>
      </c>
      <c r="Y75" s="43">
        <v>0</v>
      </c>
      <c r="Z75" s="43">
        <v>0</v>
      </c>
      <c r="AA75" s="43">
        <v>0</v>
      </c>
      <c r="AB75" s="43"/>
      <c r="AC75" s="43" t="e">
        <f t="shared" si="16"/>
        <v>#DIV/0!</v>
      </c>
      <c r="AD75" s="43"/>
      <c r="AE75" s="43" t="e">
        <f t="shared" si="17"/>
        <v>#DIV/0!</v>
      </c>
      <c r="AF75" s="43" t="e">
        <f t="shared" si="18"/>
        <v>#DIV/0!</v>
      </c>
      <c r="AG75" s="43" t="e">
        <f t="shared" si="19"/>
        <v>#DIV/0!</v>
      </c>
      <c r="AH75" s="38"/>
      <c r="AI75" s="38"/>
      <c r="AJ75" s="38"/>
      <c r="AK75" s="38"/>
      <c r="AL75" s="38"/>
      <c r="AM75" s="48"/>
      <c r="AN75" s="42"/>
      <c r="AO75" s="42"/>
      <c r="AP75" s="42"/>
      <c r="AQ75" s="42"/>
      <c r="AR75" s="42"/>
      <c r="AS75" s="50"/>
      <c r="AT75" s="39"/>
      <c r="AU75" s="39"/>
      <c r="AV75" s="49"/>
      <c r="AW75" s="39"/>
      <c r="AX75" s="39">
        <v>10</v>
      </c>
      <c r="AY75" s="30">
        <f>(J75*10)/100</f>
        <v>0</v>
      </c>
      <c r="AZ75" s="42"/>
    </row>
    <row r="76" spans="1:52" ht="15.75" customHeight="1" x14ac:dyDescent="0.25">
      <c r="A76" s="46"/>
      <c r="B76" s="38"/>
      <c r="C76" s="39"/>
      <c r="D76" s="37"/>
      <c r="E76" s="42"/>
      <c r="F76" s="38"/>
      <c r="G76" s="39"/>
      <c r="H76" s="42"/>
      <c r="I76" s="42"/>
      <c r="J76" s="43">
        <v>0</v>
      </c>
      <c r="K76" s="43">
        <v>0</v>
      </c>
      <c r="L76" s="56">
        <v>0</v>
      </c>
      <c r="M76" s="56">
        <v>0</v>
      </c>
      <c r="N76" s="44" t="e">
        <f t="shared" si="11"/>
        <v>#DIV/0!</v>
      </c>
      <c r="O76" s="45">
        <f t="shared" si="12"/>
        <v>0</v>
      </c>
      <c r="P76" s="43"/>
      <c r="Q76" s="45">
        <f t="shared" si="13"/>
        <v>0</v>
      </c>
      <c r="R76" s="43">
        <v>0</v>
      </c>
      <c r="S76" s="30">
        <f t="shared" si="10"/>
        <v>0</v>
      </c>
      <c r="T76" s="30">
        <f t="shared" si="10"/>
        <v>0</v>
      </c>
      <c r="U76" s="30" t="e">
        <f>T76/X76</f>
        <v>#DIV/0!</v>
      </c>
      <c r="V76" s="43" t="e">
        <f>T76/X76</f>
        <v>#DIV/0!</v>
      </c>
      <c r="W76" s="43" t="e">
        <f t="shared" si="14"/>
        <v>#DIV/0!</v>
      </c>
      <c r="X76" s="43">
        <f t="shared" si="15"/>
        <v>0</v>
      </c>
      <c r="Y76" s="43">
        <v>0</v>
      </c>
      <c r="Z76" s="43">
        <v>0</v>
      </c>
      <c r="AA76" s="43">
        <v>0</v>
      </c>
      <c r="AB76" s="43"/>
      <c r="AC76" s="43" t="e">
        <f t="shared" si="16"/>
        <v>#DIV/0!</v>
      </c>
      <c r="AD76" s="43"/>
      <c r="AE76" s="43" t="e">
        <f t="shared" si="17"/>
        <v>#DIV/0!</v>
      </c>
      <c r="AF76" s="43" t="e">
        <f t="shared" si="18"/>
        <v>#DIV/0!</v>
      </c>
      <c r="AG76" s="43" t="e">
        <f t="shared" si="19"/>
        <v>#DIV/0!</v>
      </c>
      <c r="AH76" s="38"/>
      <c r="AI76" s="38"/>
      <c r="AJ76" s="38"/>
      <c r="AK76" s="38"/>
      <c r="AL76" s="38"/>
      <c r="AM76" s="48"/>
      <c r="AN76" s="42"/>
      <c r="AO76" s="42"/>
      <c r="AP76" s="42"/>
      <c r="AQ76" s="42"/>
      <c r="AR76" s="42"/>
      <c r="AS76" s="50"/>
      <c r="AT76" s="39"/>
      <c r="AU76" s="39"/>
      <c r="AV76" s="49"/>
      <c r="AW76" s="39"/>
      <c r="AX76" s="39">
        <v>10</v>
      </c>
      <c r="AY76" s="30">
        <f>(J76*10)/100</f>
        <v>0</v>
      </c>
      <c r="AZ76" s="42"/>
    </row>
    <row r="77" spans="1:52" ht="15.75" customHeight="1" x14ac:dyDescent="0.25">
      <c r="A77" s="46"/>
      <c r="B77" s="38"/>
      <c r="C77" s="39"/>
      <c r="D77" s="37"/>
      <c r="E77" s="42"/>
      <c r="F77" s="38"/>
      <c r="G77" s="39"/>
      <c r="H77" s="42"/>
      <c r="I77" s="42"/>
      <c r="J77" s="43">
        <v>0</v>
      </c>
      <c r="K77" s="43">
        <v>0</v>
      </c>
      <c r="L77" s="56">
        <v>0</v>
      </c>
      <c r="M77" s="56">
        <v>0</v>
      </c>
      <c r="N77" s="44" t="e">
        <f t="shared" si="11"/>
        <v>#DIV/0!</v>
      </c>
      <c r="O77" s="45">
        <f t="shared" si="12"/>
        <v>0</v>
      </c>
      <c r="P77" s="43"/>
      <c r="Q77" s="45">
        <f t="shared" si="13"/>
        <v>0</v>
      </c>
      <c r="R77" s="43">
        <v>0</v>
      </c>
      <c r="S77" s="30">
        <f t="shared" si="10"/>
        <v>0</v>
      </c>
      <c r="T77" s="30">
        <f t="shared" si="10"/>
        <v>0</v>
      </c>
      <c r="U77" s="30" t="e">
        <f>T77/X77</f>
        <v>#DIV/0!</v>
      </c>
      <c r="V77" s="43" t="e">
        <f>T77/X77</f>
        <v>#DIV/0!</v>
      </c>
      <c r="W77" s="43" t="e">
        <f t="shared" si="14"/>
        <v>#DIV/0!</v>
      </c>
      <c r="X77" s="43">
        <f t="shared" si="15"/>
        <v>0</v>
      </c>
      <c r="Y77" s="43">
        <v>0</v>
      </c>
      <c r="Z77" s="43">
        <v>0</v>
      </c>
      <c r="AA77" s="43">
        <v>0</v>
      </c>
      <c r="AB77" s="43"/>
      <c r="AC77" s="43" t="e">
        <f t="shared" si="16"/>
        <v>#DIV/0!</v>
      </c>
      <c r="AD77" s="43"/>
      <c r="AE77" s="43" t="e">
        <f t="shared" si="17"/>
        <v>#DIV/0!</v>
      </c>
      <c r="AF77" s="43" t="e">
        <f t="shared" si="18"/>
        <v>#DIV/0!</v>
      </c>
      <c r="AG77" s="43" t="e">
        <f t="shared" si="19"/>
        <v>#DIV/0!</v>
      </c>
      <c r="AH77" s="38"/>
      <c r="AI77" s="38"/>
      <c r="AJ77" s="38"/>
      <c r="AK77" s="38"/>
      <c r="AL77" s="38"/>
      <c r="AM77" s="48"/>
      <c r="AN77" s="42"/>
      <c r="AO77" s="42"/>
      <c r="AP77" s="42"/>
      <c r="AQ77" s="42"/>
      <c r="AR77" s="42"/>
      <c r="AS77" s="50"/>
      <c r="AT77" s="39"/>
      <c r="AU77" s="39"/>
      <c r="AV77" s="49"/>
      <c r="AW77" s="39"/>
      <c r="AX77" s="39">
        <v>10</v>
      </c>
      <c r="AY77" s="30">
        <f>(J77*10)/100</f>
        <v>0</v>
      </c>
      <c r="AZ77" s="42"/>
    </row>
    <row r="78" spans="1:52" ht="15.75" customHeight="1" x14ac:dyDescent="0.25">
      <c r="A78" s="46"/>
      <c r="B78" s="38"/>
      <c r="C78" s="39"/>
      <c r="D78" s="37"/>
      <c r="E78" s="42"/>
      <c r="F78" s="38"/>
      <c r="G78" s="39"/>
      <c r="H78" s="42"/>
      <c r="I78" s="42"/>
      <c r="J78" s="43">
        <v>0</v>
      </c>
      <c r="K78" s="43">
        <v>0</v>
      </c>
      <c r="L78" s="56">
        <v>0</v>
      </c>
      <c r="M78" s="56">
        <v>0</v>
      </c>
      <c r="N78" s="44" t="e">
        <f t="shared" si="11"/>
        <v>#DIV/0!</v>
      </c>
      <c r="O78" s="45">
        <f t="shared" si="12"/>
        <v>0</v>
      </c>
      <c r="P78" s="43"/>
      <c r="Q78" s="45">
        <f t="shared" si="13"/>
        <v>0</v>
      </c>
      <c r="R78" s="43">
        <v>0</v>
      </c>
      <c r="S78" s="30">
        <f t="shared" si="10"/>
        <v>0</v>
      </c>
      <c r="T78" s="30">
        <f t="shared" si="10"/>
        <v>0</v>
      </c>
      <c r="U78" s="30" t="e">
        <f>T78/X78</f>
        <v>#DIV/0!</v>
      </c>
      <c r="V78" s="43" t="e">
        <f>T78/X78</f>
        <v>#DIV/0!</v>
      </c>
      <c r="W78" s="43" t="e">
        <f t="shared" si="14"/>
        <v>#DIV/0!</v>
      </c>
      <c r="X78" s="43">
        <f t="shared" si="15"/>
        <v>0</v>
      </c>
      <c r="Y78" s="43">
        <v>0</v>
      </c>
      <c r="Z78" s="43">
        <v>0</v>
      </c>
      <c r="AA78" s="43">
        <v>0</v>
      </c>
      <c r="AB78" s="43"/>
      <c r="AC78" s="43" t="e">
        <f t="shared" si="16"/>
        <v>#DIV/0!</v>
      </c>
      <c r="AD78" s="43"/>
      <c r="AE78" s="43" t="e">
        <f t="shared" si="17"/>
        <v>#DIV/0!</v>
      </c>
      <c r="AF78" s="43" t="e">
        <f t="shared" si="18"/>
        <v>#DIV/0!</v>
      </c>
      <c r="AG78" s="43" t="e">
        <f t="shared" si="19"/>
        <v>#DIV/0!</v>
      </c>
      <c r="AH78" s="38"/>
      <c r="AI78" s="38"/>
      <c r="AJ78" s="38"/>
      <c r="AK78" s="38"/>
      <c r="AL78" s="38"/>
      <c r="AM78" s="48"/>
      <c r="AN78" s="42"/>
      <c r="AO78" s="42"/>
      <c r="AP78" s="42"/>
      <c r="AQ78" s="42"/>
      <c r="AR78" s="42"/>
      <c r="AS78" s="50"/>
      <c r="AT78" s="39"/>
      <c r="AU78" s="39"/>
      <c r="AV78" s="49"/>
      <c r="AW78" s="39"/>
      <c r="AX78" s="39">
        <v>10</v>
      </c>
      <c r="AY78" s="30">
        <f>(J78*10)/100</f>
        <v>0</v>
      </c>
      <c r="AZ78" s="42"/>
    </row>
    <row r="79" spans="1:52" ht="15.75" customHeight="1" x14ac:dyDescent="0.25">
      <c r="A79" s="46"/>
      <c r="B79" s="38"/>
      <c r="C79" s="39"/>
      <c r="D79" s="37"/>
      <c r="E79" s="42"/>
      <c r="F79" s="38"/>
      <c r="G79" s="39"/>
      <c r="H79" s="42"/>
      <c r="I79" s="42"/>
      <c r="J79" s="43">
        <v>0</v>
      </c>
      <c r="K79" s="43">
        <v>0</v>
      </c>
      <c r="L79" s="56">
        <v>0</v>
      </c>
      <c r="M79" s="56">
        <v>0</v>
      </c>
      <c r="N79" s="44" t="e">
        <f t="shared" si="11"/>
        <v>#DIV/0!</v>
      </c>
      <c r="O79" s="45">
        <f t="shared" si="12"/>
        <v>0</v>
      </c>
      <c r="P79" s="43"/>
      <c r="Q79" s="45">
        <f t="shared" si="13"/>
        <v>0</v>
      </c>
      <c r="R79" s="43">
        <v>0</v>
      </c>
      <c r="S79" s="30">
        <f t="shared" si="10"/>
        <v>0</v>
      </c>
      <c r="T79" s="30">
        <f t="shared" si="10"/>
        <v>0</v>
      </c>
      <c r="U79" s="30" t="e">
        <f>T79/X79</f>
        <v>#DIV/0!</v>
      </c>
      <c r="V79" s="43" t="e">
        <f>T79/X79</f>
        <v>#DIV/0!</v>
      </c>
      <c r="W79" s="43" t="e">
        <f t="shared" si="14"/>
        <v>#DIV/0!</v>
      </c>
      <c r="X79" s="43">
        <f t="shared" si="15"/>
        <v>0</v>
      </c>
      <c r="Y79" s="43">
        <v>0</v>
      </c>
      <c r="Z79" s="43">
        <v>0</v>
      </c>
      <c r="AA79" s="43">
        <v>0</v>
      </c>
      <c r="AB79" s="43"/>
      <c r="AC79" s="43" t="e">
        <f t="shared" si="16"/>
        <v>#DIV/0!</v>
      </c>
      <c r="AD79" s="43"/>
      <c r="AE79" s="43" t="e">
        <f t="shared" si="17"/>
        <v>#DIV/0!</v>
      </c>
      <c r="AF79" s="43" t="e">
        <f t="shared" si="18"/>
        <v>#DIV/0!</v>
      </c>
      <c r="AG79" s="43" t="e">
        <f t="shared" si="19"/>
        <v>#DIV/0!</v>
      </c>
      <c r="AH79" s="38"/>
      <c r="AI79" s="38"/>
      <c r="AJ79" s="38"/>
      <c r="AK79" s="38"/>
      <c r="AL79" s="38"/>
      <c r="AM79" s="48"/>
      <c r="AN79" s="42"/>
      <c r="AO79" s="42"/>
      <c r="AP79" s="42"/>
      <c r="AQ79" s="42"/>
      <c r="AR79" s="42"/>
      <c r="AS79" s="50"/>
      <c r="AT79" s="39"/>
      <c r="AU79" s="39"/>
      <c r="AV79" s="49"/>
      <c r="AW79" s="39"/>
      <c r="AX79" s="39">
        <v>10</v>
      </c>
      <c r="AY79" s="30">
        <f>(J79*10)/100</f>
        <v>0</v>
      </c>
      <c r="AZ79" s="42"/>
    </row>
    <row r="80" spans="1:52" ht="15.75" customHeight="1" x14ac:dyDescent="0.25">
      <c r="A80" s="46"/>
      <c r="B80" s="38"/>
      <c r="C80" s="39"/>
      <c r="D80" s="37"/>
      <c r="E80" s="42"/>
      <c r="F80" s="38"/>
      <c r="G80" s="39"/>
      <c r="H80" s="42"/>
      <c r="I80" s="42"/>
      <c r="J80" s="43">
        <v>0</v>
      </c>
      <c r="K80" s="43">
        <v>0</v>
      </c>
      <c r="L80" s="56">
        <v>0</v>
      </c>
      <c r="M80" s="56">
        <v>0</v>
      </c>
      <c r="N80" s="44" t="e">
        <f t="shared" si="11"/>
        <v>#DIV/0!</v>
      </c>
      <c r="O80" s="45">
        <f t="shared" si="12"/>
        <v>0</v>
      </c>
      <c r="P80" s="43"/>
      <c r="Q80" s="45">
        <f t="shared" si="13"/>
        <v>0</v>
      </c>
      <c r="R80" s="43">
        <v>0</v>
      </c>
      <c r="S80" s="30">
        <f t="shared" si="10"/>
        <v>0</v>
      </c>
      <c r="T80" s="30">
        <f t="shared" si="10"/>
        <v>0</v>
      </c>
      <c r="U80" s="30" t="e">
        <f>T80/X80</f>
        <v>#DIV/0!</v>
      </c>
      <c r="V80" s="43" t="e">
        <f>T80/X80</f>
        <v>#DIV/0!</v>
      </c>
      <c r="W80" s="43" t="e">
        <f t="shared" si="14"/>
        <v>#DIV/0!</v>
      </c>
      <c r="X80" s="43">
        <f t="shared" si="15"/>
        <v>0</v>
      </c>
      <c r="Y80" s="43">
        <v>0</v>
      </c>
      <c r="Z80" s="43">
        <v>0</v>
      </c>
      <c r="AA80" s="43">
        <v>0</v>
      </c>
      <c r="AB80" s="43"/>
      <c r="AC80" s="43" t="e">
        <f t="shared" si="16"/>
        <v>#DIV/0!</v>
      </c>
      <c r="AD80" s="43"/>
      <c r="AE80" s="43" t="e">
        <f t="shared" si="17"/>
        <v>#DIV/0!</v>
      </c>
      <c r="AF80" s="43" t="e">
        <f t="shared" si="18"/>
        <v>#DIV/0!</v>
      </c>
      <c r="AG80" s="43" t="e">
        <f t="shared" si="19"/>
        <v>#DIV/0!</v>
      </c>
      <c r="AH80" s="38"/>
      <c r="AI80" s="38"/>
      <c r="AJ80" s="38"/>
      <c r="AK80" s="38"/>
      <c r="AL80" s="38"/>
      <c r="AM80" s="48"/>
      <c r="AN80" s="42"/>
      <c r="AO80" s="42"/>
      <c r="AP80" s="42"/>
      <c r="AQ80" s="42"/>
      <c r="AR80" s="42"/>
      <c r="AS80" s="50"/>
      <c r="AT80" s="39"/>
      <c r="AU80" s="39"/>
      <c r="AV80" s="49"/>
      <c r="AW80" s="39"/>
      <c r="AX80" s="39">
        <v>10</v>
      </c>
      <c r="AY80" s="30">
        <f>(J80*10)/100</f>
        <v>0</v>
      </c>
      <c r="AZ80" s="42"/>
    </row>
    <row r="81" spans="1:52" ht="15.75" customHeight="1" x14ac:dyDescent="0.25">
      <c r="A81" s="46"/>
      <c r="B81" s="38"/>
      <c r="C81" s="39"/>
      <c r="D81" s="37"/>
      <c r="E81" s="42"/>
      <c r="F81" s="38"/>
      <c r="G81" s="39"/>
      <c r="H81" s="42"/>
      <c r="I81" s="42"/>
      <c r="J81" s="43">
        <v>0</v>
      </c>
      <c r="K81" s="43">
        <v>0</v>
      </c>
      <c r="L81" s="56">
        <v>0</v>
      </c>
      <c r="M81" s="56">
        <v>0</v>
      </c>
      <c r="N81" s="44" t="e">
        <f t="shared" si="11"/>
        <v>#DIV/0!</v>
      </c>
      <c r="O81" s="45">
        <f t="shared" si="12"/>
        <v>0</v>
      </c>
      <c r="P81" s="43"/>
      <c r="Q81" s="45">
        <f t="shared" si="13"/>
        <v>0</v>
      </c>
      <c r="R81" s="43">
        <v>0</v>
      </c>
      <c r="S81" s="30">
        <f t="shared" si="10"/>
        <v>0</v>
      </c>
      <c r="T81" s="30">
        <f t="shared" si="10"/>
        <v>0</v>
      </c>
      <c r="U81" s="30" t="e">
        <f>T81/X81</f>
        <v>#DIV/0!</v>
      </c>
      <c r="V81" s="43" t="e">
        <f>T81/X81</f>
        <v>#DIV/0!</v>
      </c>
      <c r="W81" s="43" t="e">
        <f t="shared" si="14"/>
        <v>#DIV/0!</v>
      </c>
      <c r="X81" s="43">
        <f t="shared" si="15"/>
        <v>0</v>
      </c>
      <c r="Y81" s="43">
        <v>0</v>
      </c>
      <c r="Z81" s="43">
        <v>0</v>
      </c>
      <c r="AA81" s="43">
        <v>0</v>
      </c>
      <c r="AB81" s="43"/>
      <c r="AC81" s="43" t="e">
        <f t="shared" si="16"/>
        <v>#DIV/0!</v>
      </c>
      <c r="AD81" s="43"/>
      <c r="AE81" s="43" t="e">
        <f t="shared" si="17"/>
        <v>#DIV/0!</v>
      </c>
      <c r="AF81" s="43" t="e">
        <f t="shared" si="18"/>
        <v>#DIV/0!</v>
      </c>
      <c r="AG81" s="43" t="e">
        <f t="shared" si="19"/>
        <v>#DIV/0!</v>
      </c>
      <c r="AH81" s="38"/>
      <c r="AI81" s="38"/>
      <c r="AJ81" s="38"/>
      <c r="AK81" s="38"/>
      <c r="AL81" s="38"/>
      <c r="AM81" s="48"/>
      <c r="AN81" s="42"/>
      <c r="AO81" s="42"/>
      <c r="AP81" s="42"/>
      <c r="AQ81" s="42"/>
      <c r="AR81" s="42"/>
      <c r="AS81" s="50"/>
      <c r="AT81" s="39"/>
      <c r="AU81" s="39"/>
      <c r="AV81" s="49"/>
      <c r="AW81" s="39"/>
      <c r="AX81" s="39">
        <v>10</v>
      </c>
      <c r="AY81" s="30">
        <f>(J81*10)/100</f>
        <v>0</v>
      </c>
      <c r="AZ81" s="42"/>
    </row>
    <row r="82" spans="1:52" ht="15.75" customHeight="1" x14ac:dyDescent="0.25">
      <c r="A82" s="46"/>
      <c r="B82" s="38"/>
      <c r="C82" s="39"/>
      <c r="D82" s="37"/>
      <c r="E82" s="42"/>
      <c r="F82" s="38"/>
      <c r="G82" s="39"/>
      <c r="H82" s="42"/>
      <c r="I82" s="42"/>
      <c r="J82" s="43">
        <v>0</v>
      </c>
      <c r="K82" s="43">
        <v>0</v>
      </c>
      <c r="L82" s="56">
        <v>0</v>
      </c>
      <c r="M82" s="56">
        <v>0</v>
      </c>
      <c r="N82" s="44" t="e">
        <f t="shared" si="11"/>
        <v>#DIV/0!</v>
      </c>
      <c r="O82" s="45">
        <f t="shared" si="12"/>
        <v>0</v>
      </c>
      <c r="P82" s="43"/>
      <c r="Q82" s="45">
        <f t="shared" si="13"/>
        <v>0</v>
      </c>
      <c r="R82" s="43">
        <v>0</v>
      </c>
      <c r="S82" s="30">
        <f t="shared" si="10"/>
        <v>0</v>
      </c>
      <c r="T82" s="30">
        <f t="shared" si="10"/>
        <v>0</v>
      </c>
      <c r="U82" s="30" t="e">
        <f>T82/X82</f>
        <v>#DIV/0!</v>
      </c>
      <c r="V82" s="43" t="e">
        <f>T82/X82</f>
        <v>#DIV/0!</v>
      </c>
      <c r="W82" s="43" t="e">
        <f t="shared" si="14"/>
        <v>#DIV/0!</v>
      </c>
      <c r="X82" s="43">
        <f t="shared" si="15"/>
        <v>0</v>
      </c>
      <c r="Y82" s="43">
        <v>0</v>
      </c>
      <c r="Z82" s="43">
        <v>0</v>
      </c>
      <c r="AA82" s="43">
        <v>0</v>
      </c>
      <c r="AB82" s="43"/>
      <c r="AC82" s="43" t="e">
        <f t="shared" si="16"/>
        <v>#DIV/0!</v>
      </c>
      <c r="AD82" s="43"/>
      <c r="AE82" s="43" t="e">
        <f t="shared" si="17"/>
        <v>#DIV/0!</v>
      </c>
      <c r="AF82" s="43" t="e">
        <f t="shared" si="18"/>
        <v>#DIV/0!</v>
      </c>
      <c r="AG82" s="43" t="e">
        <f t="shared" si="19"/>
        <v>#DIV/0!</v>
      </c>
      <c r="AH82" s="38"/>
      <c r="AI82" s="38"/>
      <c r="AJ82" s="38"/>
      <c r="AK82" s="38"/>
      <c r="AL82" s="38"/>
      <c r="AM82" s="48"/>
      <c r="AN82" s="42"/>
      <c r="AO82" s="42"/>
      <c r="AP82" s="42"/>
      <c r="AQ82" s="42"/>
      <c r="AR82" s="42"/>
      <c r="AS82" s="50"/>
      <c r="AT82" s="39"/>
      <c r="AU82" s="39"/>
      <c r="AV82" s="49"/>
      <c r="AW82" s="39"/>
      <c r="AX82" s="39">
        <v>10</v>
      </c>
      <c r="AY82" s="30">
        <f>(J82*10)/100</f>
        <v>0</v>
      </c>
      <c r="AZ82" s="42"/>
    </row>
    <row r="83" spans="1:52" ht="15.75" customHeight="1" x14ac:dyDescent="0.25">
      <c r="A83" s="46"/>
      <c r="B83" s="38"/>
      <c r="C83" s="39"/>
      <c r="D83" s="37"/>
      <c r="E83" s="42"/>
      <c r="F83" s="38"/>
      <c r="G83" s="39"/>
      <c r="H83" s="42"/>
      <c r="I83" s="42"/>
      <c r="J83" s="43">
        <v>0</v>
      </c>
      <c r="K83" s="43">
        <v>0</v>
      </c>
      <c r="L83" s="56">
        <v>0</v>
      </c>
      <c r="M83" s="56">
        <v>0</v>
      </c>
      <c r="N83" s="44" t="e">
        <f t="shared" si="11"/>
        <v>#DIV/0!</v>
      </c>
      <c r="O83" s="45">
        <f t="shared" si="12"/>
        <v>0</v>
      </c>
      <c r="P83" s="43"/>
      <c r="Q83" s="45">
        <f t="shared" si="13"/>
        <v>0</v>
      </c>
      <c r="R83" s="43">
        <v>0</v>
      </c>
      <c r="S83" s="30">
        <f t="shared" si="10"/>
        <v>0</v>
      </c>
      <c r="T83" s="30">
        <f t="shared" si="10"/>
        <v>0</v>
      </c>
      <c r="U83" s="30" t="e">
        <f>T83/X83</f>
        <v>#DIV/0!</v>
      </c>
      <c r="V83" s="43" t="e">
        <f>T83/X83</f>
        <v>#DIV/0!</v>
      </c>
      <c r="W83" s="43" t="e">
        <f t="shared" si="14"/>
        <v>#DIV/0!</v>
      </c>
      <c r="X83" s="43">
        <f t="shared" si="15"/>
        <v>0</v>
      </c>
      <c r="Y83" s="43">
        <v>0</v>
      </c>
      <c r="Z83" s="43">
        <v>0</v>
      </c>
      <c r="AA83" s="43">
        <v>0</v>
      </c>
      <c r="AB83" s="43"/>
      <c r="AC83" s="43" t="e">
        <f t="shared" si="16"/>
        <v>#DIV/0!</v>
      </c>
      <c r="AD83" s="43"/>
      <c r="AE83" s="43" t="e">
        <f t="shared" si="17"/>
        <v>#DIV/0!</v>
      </c>
      <c r="AF83" s="43" t="e">
        <f t="shared" si="18"/>
        <v>#DIV/0!</v>
      </c>
      <c r="AG83" s="43" t="e">
        <f t="shared" si="19"/>
        <v>#DIV/0!</v>
      </c>
      <c r="AH83" s="38"/>
      <c r="AI83" s="38"/>
      <c r="AJ83" s="38"/>
      <c r="AK83" s="38"/>
      <c r="AL83" s="38"/>
      <c r="AM83" s="48"/>
      <c r="AN83" s="42"/>
      <c r="AO83" s="42"/>
      <c r="AP83" s="42"/>
      <c r="AQ83" s="42"/>
      <c r="AR83" s="42"/>
      <c r="AS83" s="50"/>
      <c r="AT83" s="39"/>
      <c r="AU83" s="39"/>
      <c r="AV83" s="49"/>
      <c r="AW83" s="39"/>
      <c r="AX83" s="39">
        <v>10</v>
      </c>
      <c r="AY83" s="30">
        <f>(J83*10)/100</f>
        <v>0</v>
      </c>
      <c r="AZ83" s="42"/>
    </row>
    <row r="84" spans="1:52" ht="15.75" customHeight="1" x14ac:dyDescent="0.25">
      <c r="A84" s="46"/>
      <c r="B84" s="38"/>
      <c r="C84" s="39"/>
      <c r="D84" s="37"/>
      <c r="E84" s="42"/>
      <c r="F84" s="38"/>
      <c r="G84" s="39"/>
      <c r="H84" s="42"/>
      <c r="I84" s="42"/>
      <c r="J84" s="43">
        <v>0</v>
      </c>
      <c r="K84" s="43">
        <v>0</v>
      </c>
      <c r="L84" s="56">
        <v>0</v>
      </c>
      <c r="M84" s="56">
        <v>0</v>
      </c>
      <c r="N84" s="44" t="e">
        <f t="shared" si="11"/>
        <v>#DIV/0!</v>
      </c>
      <c r="O84" s="45">
        <f t="shared" si="12"/>
        <v>0</v>
      </c>
      <c r="P84" s="43"/>
      <c r="Q84" s="45">
        <f t="shared" si="13"/>
        <v>0</v>
      </c>
      <c r="R84" s="43">
        <v>0</v>
      </c>
      <c r="S84" s="30">
        <f t="shared" si="10"/>
        <v>0</v>
      </c>
      <c r="T84" s="30">
        <f t="shared" si="10"/>
        <v>0</v>
      </c>
      <c r="U84" s="30" t="e">
        <f>T84/X84</f>
        <v>#DIV/0!</v>
      </c>
      <c r="V84" s="43" t="e">
        <f>T84/X84</f>
        <v>#DIV/0!</v>
      </c>
      <c r="W84" s="43" t="e">
        <f t="shared" si="14"/>
        <v>#DIV/0!</v>
      </c>
      <c r="X84" s="43">
        <f t="shared" si="15"/>
        <v>0</v>
      </c>
      <c r="Y84" s="43">
        <v>0</v>
      </c>
      <c r="Z84" s="43">
        <v>0</v>
      </c>
      <c r="AA84" s="43">
        <v>0</v>
      </c>
      <c r="AB84" s="43"/>
      <c r="AC84" s="43" t="e">
        <f t="shared" si="16"/>
        <v>#DIV/0!</v>
      </c>
      <c r="AD84" s="43"/>
      <c r="AE84" s="43" t="e">
        <f t="shared" si="17"/>
        <v>#DIV/0!</v>
      </c>
      <c r="AF84" s="43" t="e">
        <f t="shared" si="18"/>
        <v>#DIV/0!</v>
      </c>
      <c r="AG84" s="43" t="e">
        <f t="shared" si="19"/>
        <v>#DIV/0!</v>
      </c>
      <c r="AH84" s="38"/>
      <c r="AI84" s="38"/>
      <c r="AJ84" s="38"/>
      <c r="AK84" s="38"/>
      <c r="AL84" s="38"/>
      <c r="AM84" s="48"/>
      <c r="AN84" s="42"/>
      <c r="AO84" s="42"/>
      <c r="AP84" s="42"/>
      <c r="AQ84" s="42"/>
      <c r="AR84" s="42"/>
      <c r="AS84" s="50"/>
      <c r="AT84" s="39"/>
      <c r="AU84" s="39"/>
      <c r="AV84" s="49"/>
      <c r="AW84" s="39"/>
      <c r="AX84" s="39">
        <v>10</v>
      </c>
      <c r="AY84" s="30">
        <f>(J84*10)/100</f>
        <v>0</v>
      </c>
      <c r="AZ84" s="42"/>
    </row>
    <row r="85" spans="1:52" ht="15.75" customHeight="1" x14ac:dyDescent="0.25">
      <c r="A85" s="46"/>
      <c r="B85" s="38"/>
      <c r="C85" s="39"/>
      <c r="D85" s="37"/>
      <c r="E85" s="42"/>
      <c r="F85" s="38"/>
      <c r="G85" s="39"/>
      <c r="H85" s="42"/>
      <c r="I85" s="42"/>
      <c r="J85" s="43">
        <v>0</v>
      </c>
      <c r="K85" s="43">
        <v>0</v>
      </c>
      <c r="L85" s="56">
        <v>0</v>
      </c>
      <c r="M85" s="56">
        <v>0</v>
      </c>
      <c r="N85" s="44" t="e">
        <f t="shared" si="11"/>
        <v>#DIV/0!</v>
      </c>
      <c r="O85" s="45">
        <f t="shared" si="12"/>
        <v>0</v>
      </c>
      <c r="P85" s="43"/>
      <c r="Q85" s="45">
        <f t="shared" si="13"/>
        <v>0</v>
      </c>
      <c r="R85" s="43">
        <v>0</v>
      </c>
      <c r="S85" s="30">
        <f t="shared" si="10"/>
        <v>0</v>
      </c>
      <c r="T85" s="30">
        <f t="shared" si="10"/>
        <v>0</v>
      </c>
      <c r="U85" s="30" t="e">
        <f>T85/X85</f>
        <v>#DIV/0!</v>
      </c>
      <c r="V85" s="43" t="e">
        <f>T85/X85</f>
        <v>#DIV/0!</v>
      </c>
      <c r="W85" s="43" t="e">
        <f t="shared" si="14"/>
        <v>#DIV/0!</v>
      </c>
      <c r="X85" s="43">
        <f t="shared" si="15"/>
        <v>0</v>
      </c>
      <c r="Y85" s="43">
        <v>0</v>
      </c>
      <c r="Z85" s="43">
        <v>0</v>
      </c>
      <c r="AA85" s="43">
        <v>0</v>
      </c>
      <c r="AB85" s="43"/>
      <c r="AC85" s="43" t="e">
        <f t="shared" si="16"/>
        <v>#DIV/0!</v>
      </c>
      <c r="AD85" s="43"/>
      <c r="AE85" s="43" t="e">
        <f t="shared" si="17"/>
        <v>#DIV/0!</v>
      </c>
      <c r="AF85" s="43" t="e">
        <f t="shared" si="18"/>
        <v>#DIV/0!</v>
      </c>
      <c r="AG85" s="43" t="e">
        <f t="shared" si="19"/>
        <v>#DIV/0!</v>
      </c>
      <c r="AH85" s="38"/>
      <c r="AI85" s="38"/>
      <c r="AJ85" s="38"/>
      <c r="AK85" s="38"/>
      <c r="AL85" s="38"/>
      <c r="AM85" s="48"/>
      <c r="AN85" s="42"/>
      <c r="AO85" s="42"/>
      <c r="AP85" s="42"/>
      <c r="AQ85" s="42"/>
      <c r="AR85" s="42"/>
      <c r="AS85" s="50"/>
      <c r="AT85" s="39"/>
      <c r="AU85" s="39"/>
      <c r="AV85" s="49"/>
      <c r="AW85" s="39"/>
      <c r="AX85" s="39">
        <v>10</v>
      </c>
      <c r="AY85" s="30">
        <f>(J85*10)/100</f>
        <v>0</v>
      </c>
      <c r="AZ85" s="42"/>
    </row>
    <row r="86" spans="1:52" ht="15.75" customHeight="1" x14ac:dyDescent="0.25">
      <c r="A86" s="46"/>
      <c r="B86" s="38"/>
      <c r="C86" s="39"/>
      <c r="D86" s="37"/>
      <c r="E86" s="42"/>
      <c r="F86" s="38"/>
      <c r="G86" s="39"/>
      <c r="H86" s="42"/>
      <c r="I86" s="42"/>
      <c r="J86" s="43">
        <v>0</v>
      </c>
      <c r="K86" s="43">
        <v>0</v>
      </c>
      <c r="L86" s="56">
        <v>0</v>
      </c>
      <c r="M86" s="56">
        <v>0</v>
      </c>
      <c r="N86" s="44" t="e">
        <f t="shared" si="11"/>
        <v>#DIV/0!</v>
      </c>
      <c r="O86" s="45">
        <f t="shared" si="12"/>
        <v>0</v>
      </c>
      <c r="P86" s="43"/>
      <c r="Q86" s="45">
        <f t="shared" si="13"/>
        <v>0</v>
      </c>
      <c r="R86" s="43">
        <v>0</v>
      </c>
      <c r="S86" s="30">
        <f t="shared" si="10"/>
        <v>0</v>
      </c>
      <c r="T86" s="30">
        <f t="shared" si="10"/>
        <v>0</v>
      </c>
      <c r="U86" s="30" t="e">
        <f>T86/X86</f>
        <v>#DIV/0!</v>
      </c>
      <c r="V86" s="43" t="e">
        <f>T86/X86</f>
        <v>#DIV/0!</v>
      </c>
      <c r="W86" s="43" t="e">
        <f t="shared" si="14"/>
        <v>#DIV/0!</v>
      </c>
      <c r="X86" s="43">
        <f t="shared" si="15"/>
        <v>0</v>
      </c>
      <c r="Y86" s="43">
        <v>0</v>
      </c>
      <c r="Z86" s="43">
        <v>0</v>
      </c>
      <c r="AA86" s="43">
        <v>0</v>
      </c>
      <c r="AB86" s="43"/>
      <c r="AC86" s="43" t="e">
        <f t="shared" si="16"/>
        <v>#DIV/0!</v>
      </c>
      <c r="AD86" s="43"/>
      <c r="AE86" s="43" t="e">
        <f t="shared" si="17"/>
        <v>#DIV/0!</v>
      </c>
      <c r="AF86" s="43" t="e">
        <f t="shared" si="18"/>
        <v>#DIV/0!</v>
      </c>
      <c r="AG86" s="43" t="e">
        <f t="shared" si="19"/>
        <v>#DIV/0!</v>
      </c>
      <c r="AH86" s="38"/>
      <c r="AI86" s="38"/>
      <c r="AJ86" s="38"/>
      <c r="AK86" s="38"/>
      <c r="AL86" s="38"/>
      <c r="AM86" s="48"/>
      <c r="AN86" s="42"/>
      <c r="AO86" s="42"/>
      <c r="AP86" s="42"/>
      <c r="AQ86" s="42"/>
      <c r="AR86" s="42"/>
      <c r="AS86" s="50"/>
      <c r="AT86" s="39"/>
      <c r="AU86" s="39"/>
      <c r="AV86" s="49"/>
      <c r="AW86" s="39"/>
      <c r="AX86" s="39">
        <v>10</v>
      </c>
      <c r="AY86" s="30">
        <f>(J86*10)/100</f>
        <v>0</v>
      </c>
      <c r="AZ86" s="42"/>
    </row>
    <row r="87" spans="1:52" ht="15.75" customHeight="1" x14ac:dyDescent="0.25">
      <c r="A87" s="46"/>
      <c r="B87" s="38"/>
      <c r="C87" s="39"/>
      <c r="D87" s="37"/>
      <c r="E87" s="42"/>
      <c r="F87" s="38"/>
      <c r="G87" s="39"/>
      <c r="H87" s="42"/>
      <c r="I87" s="42"/>
      <c r="J87" s="43">
        <v>0</v>
      </c>
      <c r="K87" s="43">
        <v>0</v>
      </c>
      <c r="L87" s="56">
        <v>0</v>
      </c>
      <c r="M87" s="56">
        <v>0</v>
      </c>
      <c r="N87" s="44" t="e">
        <f t="shared" si="11"/>
        <v>#DIV/0!</v>
      </c>
      <c r="O87" s="45">
        <f t="shared" si="12"/>
        <v>0</v>
      </c>
      <c r="P87" s="43"/>
      <c r="Q87" s="45">
        <f t="shared" si="13"/>
        <v>0</v>
      </c>
      <c r="R87" s="43">
        <v>0</v>
      </c>
      <c r="S87" s="30">
        <f t="shared" si="10"/>
        <v>0</v>
      </c>
      <c r="T87" s="30">
        <f t="shared" si="10"/>
        <v>0</v>
      </c>
      <c r="U87" s="30" t="e">
        <f>T87/X87</f>
        <v>#DIV/0!</v>
      </c>
      <c r="V87" s="43" t="e">
        <f>T87/X87</f>
        <v>#DIV/0!</v>
      </c>
      <c r="W87" s="43" t="e">
        <f t="shared" si="14"/>
        <v>#DIV/0!</v>
      </c>
      <c r="X87" s="43">
        <f t="shared" si="15"/>
        <v>0</v>
      </c>
      <c r="Y87" s="43">
        <v>0</v>
      </c>
      <c r="Z87" s="43">
        <v>0</v>
      </c>
      <c r="AA87" s="43">
        <v>0</v>
      </c>
      <c r="AB87" s="43"/>
      <c r="AC87" s="43" t="e">
        <f t="shared" si="16"/>
        <v>#DIV/0!</v>
      </c>
      <c r="AD87" s="43"/>
      <c r="AE87" s="43" t="e">
        <f t="shared" si="17"/>
        <v>#DIV/0!</v>
      </c>
      <c r="AF87" s="43" t="e">
        <f t="shared" si="18"/>
        <v>#DIV/0!</v>
      </c>
      <c r="AG87" s="43" t="e">
        <f t="shared" si="19"/>
        <v>#DIV/0!</v>
      </c>
      <c r="AH87" s="38"/>
      <c r="AI87" s="38"/>
      <c r="AJ87" s="38"/>
      <c r="AK87" s="38"/>
      <c r="AL87" s="38"/>
      <c r="AM87" s="48"/>
      <c r="AN87" s="42"/>
      <c r="AO87" s="42"/>
      <c r="AP87" s="42"/>
      <c r="AQ87" s="42"/>
      <c r="AR87" s="42"/>
      <c r="AS87" s="50"/>
      <c r="AT87" s="39"/>
      <c r="AU87" s="39"/>
      <c r="AV87" s="49"/>
      <c r="AW87" s="39"/>
      <c r="AX87" s="39">
        <v>10</v>
      </c>
      <c r="AY87" s="30">
        <f>(J87*10)/100</f>
        <v>0</v>
      </c>
      <c r="AZ87" s="42"/>
    </row>
    <row r="88" spans="1:52" ht="15.75" customHeight="1" x14ac:dyDescent="0.25">
      <c r="A88" s="46"/>
      <c r="B88" s="38"/>
      <c r="C88" s="39"/>
      <c r="D88" s="37"/>
      <c r="E88" s="42"/>
      <c r="F88" s="38"/>
      <c r="G88" s="39"/>
      <c r="H88" s="42"/>
      <c r="I88" s="42"/>
      <c r="J88" s="43">
        <v>0</v>
      </c>
      <c r="K88" s="43">
        <v>0</v>
      </c>
      <c r="L88" s="56">
        <v>0</v>
      </c>
      <c r="M88" s="56">
        <v>0</v>
      </c>
      <c r="N88" s="44" t="e">
        <f t="shared" si="11"/>
        <v>#DIV/0!</v>
      </c>
      <c r="O88" s="45">
        <f t="shared" si="12"/>
        <v>0</v>
      </c>
      <c r="P88" s="43"/>
      <c r="Q88" s="45">
        <f t="shared" si="13"/>
        <v>0</v>
      </c>
      <c r="R88" s="43">
        <v>0</v>
      </c>
      <c r="S88" s="30">
        <f t="shared" si="10"/>
        <v>0</v>
      </c>
      <c r="T88" s="30">
        <f t="shared" si="10"/>
        <v>0</v>
      </c>
      <c r="U88" s="30" t="e">
        <f>T88/X88</f>
        <v>#DIV/0!</v>
      </c>
      <c r="V88" s="43" t="e">
        <f>T88/X88</f>
        <v>#DIV/0!</v>
      </c>
      <c r="W88" s="43" t="e">
        <f t="shared" si="14"/>
        <v>#DIV/0!</v>
      </c>
      <c r="X88" s="43">
        <f t="shared" si="15"/>
        <v>0</v>
      </c>
      <c r="Y88" s="43">
        <v>0</v>
      </c>
      <c r="Z88" s="43">
        <v>0</v>
      </c>
      <c r="AA88" s="43">
        <v>0</v>
      </c>
      <c r="AB88" s="43"/>
      <c r="AC88" s="43" t="e">
        <f t="shared" si="16"/>
        <v>#DIV/0!</v>
      </c>
      <c r="AD88" s="43"/>
      <c r="AE88" s="43" t="e">
        <f t="shared" si="17"/>
        <v>#DIV/0!</v>
      </c>
      <c r="AF88" s="43" t="e">
        <f t="shared" si="18"/>
        <v>#DIV/0!</v>
      </c>
      <c r="AG88" s="43" t="e">
        <f t="shared" si="19"/>
        <v>#DIV/0!</v>
      </c>
      <c r="AH88" s="38"/>
      <c r="AI88" s="38"/>
      <c r="AJ88" s="38"/>
      <c r="AK88" s="38"/>
      <c r="AL88" s="38"/>
      <c r="AM88" s="48"/>
      <c r="AN88" s="42"/>
      <c r="AO88" s="42"/>
      <c r="AP88" s="42"/>
      <c r="AQ88" s="42"/>
      <c r="AR88" s="42"/>
      <c r="AS88" s="50"/>
      <c r="AT88" s="39"/>
      <c r="AU88" s="39"/>
      <c r="AV88" s="49"/>
      <c r="AW88" s="39"/>
      <c r="AX88" s="39">
        <v>10</v>
      </c>
      <c r="AY88" s="30">
        <f>(J88*10)/100</f>
        <v>0</v>
      </c>
      <c r="AZ88" s="42"/>
    </row>
    <row r="89" spans="1:52" ht="15.75" customHeight="1" x14ac:dyDescent="0.25">
      <c r="A89" s="46"/>
      <c r="B89" s="38"/>
      <c r="C89" s="39"/>
      <c r="D89" s="37"/>
      <c r="E89" s="42"/>
      <c r="F89" s="38"/>
      <c r="G89" s="39"/>
      <c r="H89" s="42"/>
      <c r="I89" s="42"/>
      <c r="J89" s="43">
        <v>0</v>
      </c>
      <c r="K89" s="43">
        <v>0</v>
      </c>
      <c r="L89" s="56">
        <v>0</v>
      </c>
      <c r="M89" s="56">
        <v>0</v>
      </c>
      <c r="N89" s="44" t="e">
        <f t="shared" si="11"/>
        <v>#DIV/0!</v>
      </c>
      <c r="O89" s="45">
        <f t="shared" si="12"/>
        <v>0</v>
      </c>
      <c r="P89" s="43"/>
      <c r="Q89" s="45">
        <f t="shared" si="13"/>
        <v>0</v>
      </c>
      <c r="R89" s="43">
        <v>0</v>
      </c>
      <c r="S89" s="30">
        <f t="shared" si="10"/>
        <v>0</v>
      </c>
      <c r="T89" s="30">
        <f t="shared" si="10"/>
        <v>0</v>
      </c>
      <c r="U89" s="30" t="e">
        <f>T89/X89</f>
        <v>#DIV/0!</v>
      </c>
      <c r="V89" s="43" t="e">
        <f>T89/X89</f>
        <v>#DIV/0!</v>
      </c>
      <c r="W89" s="43" t="e">
        <f t="shared" si="14"/>
        <v>#DIV/0!</v>
      </c>
      <c r="X89" s="43">
        <f t="shared" si="15"/>
        <v>0</v>
      </c>
      <c r="Y89" s="43">
        <v>0</v>
      </c>
      <c r="Z89" s="43">
        <v>0</v>
      </c>
      <c r="AA89" s="43">
        <v>0</v>
      </c>
      <c r="AB89" s="43"/>
      <c r="AC89" s="43" t="e">
        <f t="shared" si="16"/>
        <v>#DIV/0!</v>
      </c>
      <c r="AD89" s="43"/>
      <c r="AE89" s="43" t="e">
        <f t="shared" si="17"/>
        <v>#DIV/0!</v>
      </c>
      <c r="AF89" s="43" t="e">
        <f t="shared" si="18"/>
        <v>#DIV/0!</v>
      </c>
      <c r="AG89" s="43" t="e">
        <f t="shared" si="19"/>
        <v>#DIV/0!</v>
      </c>
      <c r="AH89" s="38"/>
      <c r="AI89" s="38"/>
      <c r="AJ89" s="38"/>
      <c r="AK89" s="38"/>
      <c r="AL89" s="38"/>
      <c r="AM89" s="48"/>
      <c r="AN89" s="42"/>
      <c r="AO89" s="42"/>
      <c r="AP89" s="42"/>
      <c r="AQ89" s="42"/>
      <c r="AR89" s="42"/>
      <c r="AS89" s="50"/>
      <c r="AT89" s="39"/>
      <c r="AU89" s="39"/>
      <c r="AV89" s="49"/>
      <c r="AW89" s="39"/>
      <c r="AX89" s="39">
        <v>10</v>
      </c>
      <c r="AY89" s="30">
        <f>(J89*10)/100</f>
        <v>0</v>
      </c>
      <c r="AZ89" s="42"/>
    </row>
    <row r="90" spans="1:52" ht="15.75" customHeight="1" x14ac:dyDescent="0.25">
      <c r="A90" s="46"/>
      <c r="B90" s="38"/>
      <c r="C90" s="39"/>
      <c r="D90" s="37"/>
      <c r="E90" s="42"/>
      <c r="F90" s="38"/>
      <c r="G90" s="39"/>
      <c r="H90" s="42"/>
      <c r="I90" s="42"/>
      <c r="J90" s="43">
        <v>0</v>
      </c>
      <c r="K90" s="43">
        <v>0</v>
      </c>
      <c r="L90" s="56">
        <v>0</v>
      </c>
      <c r="M90" s="56">
        <v>0</v>
      </c>
      <c r="N90" s="44" t="e">
        <f t="shared" si="11"/>
        <v>#DIV/0!</v>
      </c>
      <c r="O90" s="45">
        <f t="shared" si="12"/>
        <v>0</v>
      </c>
      <c r="P90" s="43"/>
      <c r="Q90" s="45">
        <f t="shared" si="13"/>
        <v>0</v>
      </c>
      <c r="R90" s="43">
        <v>0</v>
      </c>
      <c r="S90" s="30">
        <f t="shared" si="10"/>
        <v>0</v>
      </c>
      <c r="T90" s="30">
        <f t="shared" si="10"/>
        <v>0</v>
      </c>
      <c r="U90" s="30" t="e">
        <f>T90/X90</f>
        <v>#DIV/0!</v>
      </c>
      <c r="V90" s="43" t="e">
        <f>T90/X90</f>
        <v>#DIV/0!</v>
      </c>
      <c r="W90" s="43" t="e">
        <f t="shared" si="14"/>
        <v>#DIV/0!</v>
      </c>
      <c r="X90" s="43">
        <f t="shared" si="15"/>
        <v>0</v>
      </c>
      <c r="Y90" s="43">
        <v>0</v>
      </c>
      <c r="Z90" s="43">
        <v>0</v>
      </c>
      <c r="AA90" s="43">
        <v>0</v>
      </c>
      <c r="AB90" s="43"/>
      <c r="AC90" s="43" t="e">
        <f t="shared" si="16"/>
        <v>#DIV/0!</v>
      </c>
      <c r="AD90" s="43"/>
      <c r="AE90" s="43" t="e">
        <f t="shared" si="17"/>
        <v>#DIV/0!</v>
      </c>
      <c r="AF90" s="43" t="e">
        <f t="shared" si="18"/>
        <v>#DIV/0!</v>
      </c>
      <c r="AG90" s="43" t="e">
        <f t="shared" si="19"/>
        <v>#DIV/0!</v>
      </c>
      <c r="AH90" s="38"/>
      <c r="AI90" s="38"/>
      <c r="AJ90" s="38"/>
      <c r="AK90" s="38"/>
      <c r="AL90" s="38"/>
      <c r="AM90" s="48"/>
      <c r="AN90" s="42"/>
      <c r="AO90" s="42"/>
      <c r="AP90" s="42"/>
      <c r="AQ90" s="42"/>
      <c r="AR90" s="42"/>
      <c r="AS90" s="50"/>
      <c r="AT90" s="39"/>
      <c r="AU90" s="39"/>
      <c r="AV90" s="49"/>
      <c r="AW90" s="39"/>
      <c r="AX90" s="39">
        <v>10</v>
      </c>
      <c r="AY90" s="30">
        <f>(J90*10)/100</f>
        <v>0</v>
      </c>
      <c r="AZ90" s="42"/>
    </row>
    <row r="91" spans="1:52" ht="15.75" customHeight="1" x14ac:dyDescent="0.25">
      <c r="A91" s="46"/>
      <c r="B91" s="38"/>
      <c r="C91" s="39"/>
      <c r="D91" s="37"/>
      <c r="E91" s="42"/>
      <c r="F91" s="38"/>
      <c r="G91" s="39"/>
      <c r="H91" s="42"/>
      <c r="I91" s="42"/>
      <c r="J91" s="43">
        <v>0</v>
      </c>
      <c r="K91" s="43">
        <v>0</v>
      </c>
      <c r="L91" s="56">
        <v>0</v>
      </c>
      <c r="M91" s="56">
        <v>0</v>
      </c>
      <c r="N91" s="44" t="e">
        <f t="shared" si="11"/>
        <v>#DIV/0!</v>
      </c>
      <c r="O91" s="45">
        <f t="shared" si="12"/>
        <v>0</v>
      </c>
      <c r="P91" s="43"/>
      <c r="Q91" s="45">
        <f t="shared" si="13"/>
        <v>0</v>
      </c>
      <c r="R91" s="43">
        <v>0</v>
      </c>
      <c r="S91" s="30">
        <f t="shared" si="10"/>
        <v>0</v>
      </c>
      <c r="T91" s="30">
        <f t="shared" si="10"/>
        <v>0</v>
      </c>
      <c r="U91" s="30" t="e">
        <f>T91/X91</f>
        <v>#DIV/0!</v>
      </c>
      <c r="V91" s="43" t="e">
        <f>T91/X91</f>
        <v>#DIV/0!</v>
      </c>
      <c r="W91" s="43" t="e">
        <f t="shared" si="14"/>
        <v>#DIV/0!</v>
      </c>
      <c r="X91" s="43">
        <f t="shared" si="15"/>
        <v>0</v>
      </c>
      <c r="Y91" s="43">
        <v>0</v>
      </c>
      <c r="Z91" s="43">
        <v>0</v>
      </c>
      <c r="AA91" s="43">
        <v>0</v>
      </c>
      <c r="AB91" s="43"/>
      <c r="AC91" s="43" t="e">
        <f t="shared" si="16"/>
        <v>#DIV/0!</v>
      </c>
      <c r="AD91" s="43"/>
      <c r="AE91" s="43" t="e">
        <f t="shared" si="17"/>
        <v>#DIV/0!</v>
      </c>
      <c r="AF91" s="43" t="e">
        <f t="shared" si="18"/>
        <v>#DIV/0!</v>
      </c>
      <c r="AG91" s="43" t="e">
        <f t="shared" si="19"/>
        <v>#DIV/0!</v>
      </c>
      <c r="AH91" s="38"/>
      <c r="AI91" s="38"/>
      <c r="AJ91" s="38"/>
      <c r="AK91" s="38"/>
      <c r="AL91" s="38"/>
      <c r="AM91" s="48"/>
      <c r="AN91" s="42"/>
      <c r="AO91" s="42"/>
      <c r="AP91" s="42"/>
      <c r="AQ91" s="42"/>
      <c r="AR91" s="42"/>
      <c r="AS91" s="50"/>
      <c r="AT91" s="39"/>
      <c r="AU91" s="39"/>
      <c r="AV91" s="49"/>
      <c r="AW91" s="39"/>
      <c r="AX91" s="39">
        <v>10</v>
      </c>
      <c r="AY91" s="30">
        <f>(J91*10)/100</f>
        <v>0</v>
      </c>
      <c r="AZ91" s="42"/>
    </row>
    <row r="92" spans="1:52" ht="15.75" customHeight="1" x14ac:dyDescent="0.25">
      <c r="A92" s="46"/>
      <c r="B92" s="38"/>
      <c r="C92" s="39"/>
      <c r="D92" s="37"/>
      <c r="E92" s="42"/>
      <c r="F92" s="38"/>
      <c r="G92" s="39"/>
      <c r="H92" s="42"/>
      <c r="I92" s="42"/>
      <c r="J92" s="43">
        <v>0</v>
      </c>
      <c r="K92" s="43">
        <v>0</v>
      </c>
      <c r="L92" s="56">
        <v>0</v>
      </c>
      <c r="M92" s="56">
        <v>0</v>
      </c>
      <c r="N92" s="44" t="e">
        <f t="shared" si="11"/>
        <v>#DIV/0!</v>
      </c>
      <c r="O92" s="45">
        <f t="shared" si="12"/>
        <v>0</v>
      </c>
      <c r="P92" s="43"/>
      <c r="Q92" s="45">
        <f t="shared" si="13"/>
        <v>0</v>
      </c>
      <c r="R92" s="43">
        <v>0</v>
      </c>
      <c r="S92" s="30">
        <f t="shared" si="10"/>
        <v>0</v>
      </c>
      <c r="T92" s="30">
        <f t="shared" si="10"/>
        <v>0</v>
      </c>
      <c r="U92" s="30" t="e">
        <f>T92/X92</f>
        <v>#DIV/0!</v>
      </c>
      <c r="V92" s="43" t="e">
        <f>T92/X92</f>
        <v>#DIV/0!</v>
      </c>
      <c r="W92" s="43" t="e">
        <f t="shared" si="14"/>
        <v>#DIV/0!</v>
      </c>
      <c r="X92" s="43">
        <f t="shared" si="15"/>
        <v>0</v>
      </c>
      <c r="Y92" s="43">
        <v>0</v>
      </c>
      <c r="Z92" s="43">
        <v>0</v>
      </c>
      <c r="AA92" s="43">
        <v>0</v>
      </c>
      <c r="AB92" s="43"/>
      <c r="AC92" s="43" t="e">
        <f t="shared" si="16"/>
        <v>#DIV/0!</v>
      </c>
      <c r="AD92" s="43"/>
      <c r="AE92" s="43" t="e">
        <f t="shared" si="17"/>
        <v>#DIV/0!</v>
      </c>
      <c r="AF92" s="43" t="e">
        <f t="shared" si="18"/>
        <v>#DIV/0!</v>
      </c>
      <c r="AG92" s="43" t="e">
        <f t="shared" si="19"/>
        <v>#DIV/0!</v>
      </c>
      <c r="AH92" s="38"/>
      <c r="AI92" s="38"/>
      <c r="AJ92" s="38"/>
      <c r="AK92" s="38"/>
      <c r="AL92" s="38"/>
      <c r="AM92" s="48"/>
      <c r="AN92" s="42"/>
      <c r="AO92" s="42"/>
      <c r="AP92" s="42"/>
      <c r="AQ92" s="42"/>
      <c r="AR92" s="42"/>
      <c r="AS92" s="50"/>
      <c r="AT92" s="39"/>
      <c r="AU92" s="39"/>
      <c r="AV92" s="49"/>
      <c r="AW92" s="39"/>
      <c r="AX92" s="39">
        <v>10</v>
      </c>
      <c r="AY92" s="30">
        <f>(J92*10)/100</f>
        <v>0</v>
      </c>
      <c r="AZ92" s="42"/>
    </row>
    <row r="93" spans="1:52" ht="15.75" customHeight="1" x14ac:dyDescent="0.25">
      <c r="A93" s="46"/>
      <c r="B93" s="38"/>
      <c r="C93" s="39"/>
      <c r="D93" s="37"/>
      <c r="E93" s="42"/>
      <c r="F93" s="38"/>
      <c r="G93" s="39"/>
      <c r="H93" s="42"/>
      <c r="I93" s="42"/>
      <c r="J93" s="43">
        <v>0</v>
      </c>
      <c r="K93" s="43">
        <v>0</v>
      </c>
      <c r="L93" s="56">
        <v>0</v>
      </c>
      <c r="M93" s="56">
        <v>0</v>
      </c>
      <c r="N93" s="44" t="e">
        <f t="shared" si="11"/>
        <v>#DIV/0!</v>
      </c>
      <c r="O93" s="45">
        <f t="shared" si="12"/>
        <v>0</v>
      </c>
      <c r="P93" s="43"/>
      <c r="Q93" s="45">
        <f t="shared" si="13"/>
        <v>0</v>
      </c>
      <c r="R93" s="43">
        <v>0</v>
      </c>
      <c r="S93" s="30">
        <f t="shared" si="10"/>
        <v>0</v>
      </c>
      <c r="T93" s="30">
        <f t="shared" si="10"/>
        <v>0</v>
      </c>
      <c r="U93" s="30" t="e">
        <f>T93/X93</f>
        <v>#DIV/0!</v>
      </c>
      <c r="V93" s="43" t="e">
        <f>T93/X93</f>
        <v>#DIV/0!</v>
      </c>
      <c r="W93" s="43" t="e">
        <f t="shared" si="14"/>
        <v>#DIV/0!</v>
      </c>
      <c r="X93" s="43">
        <f t="shared" si="15"/>
        <v>0</v>
      </c>
      <c r="Y93" s="43">
        <v>0</v>
      </c>
      <c r="Z93" s="43">
        <v>0</v>
      </c>
      <c r="AA93" s="43">
        <v>0</v>
      </c>
      <c r="AB93" s="43"/>
      <c r="AC93" s="43" t="e">
        <f t="shared" si="16"/>
        <v>#DIV/0!</v>
      </c>
      <c r="AD93" s="43"/>
      <c r="AE93" s="43" t="e">
        <f t="shared" si="17"/>
        <v>#DIV/0!</v>
      </c>
      <c r="AF93" s="43" t="e">
        <f t="shared" si="18"/>
        <v>#DIV/0!</v>
      </c>
      <c r="AG93" s="43" t="e">
        <f t="shared" si="19"/>
        <v>#DIV/0!</v>
      </c>
      <c r="AH93" s="38"/>
      <c r="AI93" s="38"/>
      <c r="AJ93" s="38"/>
      <c r="AK93" s="38"/>
      <c r="AL93" s="38"/>
      <c r="AM93" s="48"/>
      <c r="AN93" s="42"/>
      <c r="AO93" s="42"/>
      <c r="AP93" s="42"/>
      <c r="AQ93" s="42"/>
      <c r="AR93" s="42"/>
      <c r="AS93" s="50"/>
      <c r="AT93" s="39"/>
      <c r="AU93" s="39"/>
      <c r="AV93" s="49"/>
      <c r="AW93" s="39"/>
      <c r="AX93" s="39">
        <v>10</v>
      </c>
      <c r="AY93" s="30">
        <f>(J93*10)/100</f>
        <v>0</v>
      </c>
      <c r="AZ93" s="42"/>
    </row>
    <row r="94" spans="1:52" ht="15.75" customHeight="1" x14ac:dyDescent="0.25">
      <c r="A94" s="46"/>
      <c r="B94" s="38"/>
      <c r="C94" s="39"/>
      <c r="D94" s="37"/>
      <c r="E94" s="42"/>
      <c r="F94" s="38"/>
      <c r="G94" s="39"/>
      <c r="H94" s="42"/>
      <c r="I94" s="42"/>
      <c r="J94" s="43">
        <v>0</v>
      </c>
      <c r="K94" s="43">
        <v>0</v>
      </c>
      <c r="L94" s="56">
        <v>0</v>
      </c>
      <c r="M94" s="56">
        <v>0</v>
      </c>
      <c r="N94" s="44" t="e">
        <f t="shared" si="11"/>
        <v>#DIV/0!</v>
      </c>
      <c r="O94" s="45">
        <f t="shared" si="12"/>
        <v>0</v>
      </c>
      <c r="P94" s="43"/>
      <c r="Q94" s="45">
        <f t="shared" si="13"/>
        <v>0</v>
      </c>
      <c r="R94" s="43">
        <v>0</v>
      </c>
      <c r="S94" s="30">
        <f t="shared" si="10"/>
        <v>0</v>
      </c>
      <c r="T94" s="30">
        <f t="shared" si="10"/>
        <v>0</v>
      </c>
      <c r="U94" s="30" t="e">
        <f>T94/X94</f>
        <v>#DIV/0!</v>
      </c>
      <c r="V94" s="43" t="e">
        <f>T94/X94</f>
        <v>#DIV/0!</v>
      </c>
      <c r="W94" s="43" t="e">
        <f t="shared" si="14"/>
        <v>#DIV/0!</v>
      </c>
      <c r="X94" s="43">
        <f t="shared" si="15"/>
        <v>0</v>
      </c>
      <c r="Y94" s="43">
        <v>0</v>
      </c>
      <c r="Z94" s="43">
        <v>0</v>
      </c>
      <c r="AA94" s="43">
        <v>0</v>
      </c>
      <c r="AB94" s="43"/>
      <c r="AC94" s="43" t="e">
        <f t="shared" si="16"/>
        <v>#DIV/0!</v>
      </c>
      <c r="AD94" s="43"/>
      <c r="AE94" s="43" t="e">
        <f t="shared" si="17"/>
        <v>#DIV/0!</v>
      </c>
      <c r="AF94" s="43" t="e">
        <f t="shared" si="18"/>
        <v>#DIV/0!</v>
      </c>
      <c r="AG94" s="43" t="e">
        <f t="shared" si="19"/>
        <v>#DIV/0!</v>
      </c>
      <c r="AH94" s="38"/>
      <c r="AI94" s="38"/>
      <c r="AJ94" s="38"/>
      <c r="AK94" s="38"/>
      <c r="AL94" s="38"/>
      <c r="AM94" s="48"/>
      <c r="AN94" s="42"/>
      <c r="AO94" s="42"/>
      <c r="AP94" s="42"/>
      <c r="AQ94" s="42"/>
      <c r="AR94" s="42"/>
      <c r="AS94" s="50"/>
      <c r="AT94" s="39"/>
      <c r="AU94" s="39"/>
      <c r="AV94" s="49"/>
      <c r="AW94" s="39"/>
      <c r="AX94" s="39">
        <v>10</v>
      </c>
      <c r="AY94" s="30">
        <f>(J94*10)/100</f>
        <v>0</v>
      </c>
      <c r="AZ94" s="42"/>
    </row>
    <row r="95" spans="1:52" ht="15.75" customHeight="1" x14ac:dyDescent="0.25">
      <c r="A95" s="46"/>
      <c r="B95" s="38"/>
      <c r="C95" s="39"/>
      <c r="D95" s="37"/>
      <c r="E95" s="42"/>
      <c r="F95" s="38"/>
      <c r="G95" s="39"/>
      <c r="H95" s="42"/>
      <c r="I95" s="42"/>
      <c r="J95" s="43">
        <v>0</v>
      </c>
      <c r="K95" s="43">
        <v>0</v>
      </c>
      <c r="L95" s="56">
        <v>0</v>
      </c>
      <c r="M95" s="56">
        <v>0</v>
      </c>
      <c r="N95" s="44" t="e">
        <f t="shared" si="11"/>
        <v>#DIV/0!</v>
      </c>
      <c r="O95" s="45">
        <f t="shared" si="12"/>
        <v>0</v>
      </c>
      <c r="P95" s="43"/>
      <c r="Q95" s="45">
        <f t="shared" si="13"/>
        <v>0</v>
      </c>
      <c r="R95" s="43">
        <v>0</v>
      </c>
      <c r="S95" s="30">
        <f t="shared" si="10"/>
        <v>0</v>
      </c>
      <c r="T95" s="30">
        <f t="shared" si="10"/>
        <v>0</v>
      </c>
      <c r="U95" s="30" t="e">
        <f>T95/X95</f>
        <v>#DIV/0!</v>
      </c>
      <c r="V95" s="43" t="e">
        <f>T95/X95</f>
        <v>#DIV/0!</v>
      </c>
      <c r="W95" s="43" t="e">
        <f t="shared" si="14"/>
        <v>#DIV/0!</v>
      </c>
      <c r="X95" s="43">
        <f t="shared" si="15"/>
        <v>0</v>
      </c>
      <c r="Y95" s="43">
        <v>0</v>
      </c>
      <c r="Z95" s="43">
        <v>0</v>
      </c>
      <c r="AA95" s="43">
        <v>0</v>
      </c>
      <c r="AB95" s="43"/>
      <c r="AC95" s="43" t="e">
        <f t="shared" si="16"/>
        <v>#DIV/0!</v>
      </c>
      <c r="AD95" s="43"/>
      <c r="AE95" s="43" t="e">
        <f t="shared" si="17"/>
        <v>#DIV/0!</v>
      </c>
      <c r="AF95" s="43" t="e">
        <f t="shared" si="18"/>
        <v>#DIV/0!</v>
      </c>
      <c r="AG95" s="43" t="e">
        <f t="shared" si="19"/>
        <v>#DIV/0!</v>
      </c>
      <c r="AH95" s="38"/>
      <c r="AI95" s="38"/>
      <c r="AJ95" s="38"/>
      <c r="AK95" s="38"/>
      <c r="AL95" s="38"/>
      <c r="AM95" s="48"/>
      <c r="AN95" s="42"/>
      <c r="AO95" s="42"/>
      <c r="AP95" s="42"/>
      <c r="AQ95" s="42"/>
      <c r="AR95" s="42"/>
      <c r="AS95" s="50"/>
      <c r="AT95" s="39"/>
      <c r="AU95" s="39"/>
      <c r="AV95" s="49"/>
      <c r="AW95" s="39"/>
      <c r="AX95" s="39">
        <v>10</v>
      </c>
      <c r="AY95" s="30">
        <f>(J95*10)/100</f>
        <v>0</v>
      </c>
      <c r="AZ95" s="42"/>
    </row>
    <row r="96" spans="1:52" x14ac:dyDescent="0.25">
      <c r="AE96" s="43">
        <f t="shared" si="17"/>
        <v>0</v>
      </c>
    </row>
    <row r="97" spans="31:31" x14ac:dyDescent="0.25">
      <c r="AE97" s="43">
        <f t="shared" si="17"/>
        <v>0</v>
      </c>
    </row>
    <row r="98" spans="31:31" x14ac:dyDescent="0.25">
      <c r="AE98" s="43">
        <f t="shared" si="17"/>
        <v>0</v>
      </c>
    </row>
    <row r="99" spans="31:31" x14ac:dyDescent="0.25">
      <c r="AE99" s="43">
        <f t="shared" si="17"/>
        <v>0</v>
      </c>
    </row>
    <row r="100" spans="31:31" x14ac:dyDescent="0.25">
      <c r="AE100" s="43">
        <f t="shared" si="17"/>
        <v>0</v>
      </c>
    </row>
    <row r="101" spans="31:31" x14ac:dyDescent="0.25">
      <c r="AE101" s="43">
        <f t="shared" si="17"/>
        <v>0</v>
      </c>
    </row>
    <row r="102" spans="31:31" x14ac:dyDescent="0.25">
      <c r="AE102" s="43">
        <f t="shared" si="17"/>
        <v>0</v>
      </c>
    </row>
    <row r="103" spans="31:31" x14ac:dyDescent="0.25">
      <c r="AE103" s="43">
        <f t="shared" si="17"/>
        <v>0</v>
      </c>
    </row>
    <row r="104" spans="31:31" x14ac:dyDescent="0.25">
      <c r="AE104" s="43">
        <f t="shared" si="17"/>
        <v>0</v>
      </c>
    </row>
    <row r="105" spans="31:31" x14ac:dyDescent="0.25">
      <c r="AE105" s="43">
        <f t="shared" si="17"/>
        <v>0</v>
      </c>
    </row>
    <row r="106" spans="31:31" x14ac:dyDescent="0.25">
      <c r="AE106" s="43">
        <f t="shared" si="17"/>
        <v>0</v>
      </c>
    </row>
    <row r="107" spans="31:31" x14ac:dyDescent="0.25">
      <c r="AE107" s="43">
        <f t="shared" si="17"/>
        <v>0</v>
      </c>
    </row>
    <row r="108" spans="31:31" x14ac:dyDescent="0.25">
      <c r="AE108" s="43">
        <f t="shared" si="17"/>
        <v>0</v>
      </c>
    </row>
    <row r="109" spans="31:31" x14ac:dyDescent="0.25">
      <c r="AE109" s="43">
        <f t="shared" si="17"/>
        <v>0</v>
      </c>
    </row>
    <row r="110" spans="31:31" x14ac:dyDescent="0.25">
      <c r="AE110" s="43">
        <f t="shared" si="17"/>
        <v>0</v>
      </c>
    </row>
    <row r="111" spans="31:31" x14ac:dyDescent="0.25">
      <c r="AE111" s="43">
        <f t="shared" si="17"/>
        <v>0</v>
      </c>
    </row>
    <row r="112" spans="31:31" x14ac:dyDescent="0.25">
      <c r="AE112" s="43">
        <f t="shared" si="17"/>
        <v>0</v>
      </c>
    </row>
    <row r="113" spans="31:31" x14ac:dyDescent="0.25">
      <c r="AE113" s="43">
        <f t="shared" si="17"/>
        <v>0</v>
      </c>
    </row>
    <row r="114" spans="31:31" x14ac:dyDescent="0.25">
      <c r="AE114" s="43">
        <f t="shared" si="17"/>
        <v>0</v>
      </c>
    </row>
    <row r="115" spans="31:31" x14ac:dyDescent="0.25">
      <c r="AE115" s="43">
        <f t="shared" si="17"/>
        <v>0</v>
      </c>
    </row>
    <row r="116" spans="31:31" x14ac:dyDescent="0.25">
      <c r="AE116" s="43">
        <f t="shared" si="17"/>
        <v>0</v>
      </c>
    </row>
    <row r="117" spans="31:31" x14ac:dyDescent="0.25">
      <c r="AE117" s="43">
        <f t="shared" si="17"/>
        <v>0</v>
      </c>
    </row>
    <row r="118" spans="31:31" x14ac:dyDescent="0.25">
      <c r="AE118" s="43">
        <f t="shared" si="17"/>
        <v>0</v>
      </c>
    </row>
    <row r="119" spans="31:31" x14ac:dyDescent="0.25">
      <c r="AE119" s="43">
        <f t="shared" si="17"/>
        <v>0</v>
      </c>
    </row>
    <row r="120" spans="31:31" x14ac:dyDescent="0.25">
      <c r="AE120" s="43">
        <f t="shared" si="17"/>
        <v>0</v>
      </c>
    </row>
    <row r="121" spans="31:31" x14ac:dyDescent="0.25">
      <c r="AE121" s="43">
        <f t="shared" si="17"/>
        <v>0</v>
      </c>
    </row>
    <row r="122" spans="31:31" x14ac:dyDescent="0.25">
      <c r="AE122" s="43">
        <f t="shared" si="17"/>
        <v>0</v>
      </c>
    </row>
    <row r="123" spans="31:31" x14ac:dyDescent="0.25">
      <c r="AE123" s="43">
        <f t="shared" si="17"/>
        <v>0</v>
      </c>
    </row>
    <row r="124" spans="31:31" x14ac:dyDescent="0.25">
      <c r="AE124" s="43">
        <f t="shared" si="17"/>
        <v>0</v>
      </c>
    </row>
    <row r="125" spans="31:31" x14ac:dyDescent="0.25">
      <c r="AE125" s="43">
        <f t="shared" si="17"/>
        <v>0</v>
      </c>
    </row>
    <row r="126" spans="31:31" x14ac:dyDescent="0.25">
      <c r="AE126" s="43">
        <f t="shared" si="17"/>
        <v>0</v>
      </c>
    </row>
    <row r="127" spans="31:31" x14ac:dyDescent="0.25">
      <c r="AE127" s="43">
        <f t="shared" si="17"/>
        <v>0</v>
      </c>
    </row>
    <row r="128" spans="31:31" x14ac:dyDescent="0.25">
      <c r="AE128" s="43">
        <f t="shared" si="17"/>
        <v>0</v>
      </c>
    </row>
    <row r="129" spans="31:31" x14ac:dyDescent="0.25">
      <c r="AE129" s="43">
        <f t="shared" si="17"/>
        <v>0</v>
      </c>
    </row>
    <row r="130" spans="31:31" x14ac:dyDescent="0.25">
      <c r="AE130" s="43">
        <f t="shared" si="17"/>
        <v>0</v>
      </c>
    </row>
    <row r="131" spans="31:31" x14ac:dyDescent="0.25">
      <c r="AE131" s="43">
        <f t="shared" ref="AE131:AE194" si="20">AD131*V131</f>
        <v>0</v>
      </c>
    </row>
    <row r="132" spans="31:31" x14ac:dyDescent="0.25">
      <c r="AE132" s="43">
        <f t="shared" si="20"/>
        <v>0</v>
      </c>
    </row>
    <row r="133" spans="31:31" x14ac:dyDescent="0.25">
      <c r="AE133" s="43">
        <f t="shared" si="20"/>
        <v>0</v>
      </c>
    </row>
    <row r="134" spans="31:31" x14ac:dyDescent="0.25">
      <c r="AE134" s="43">
        <f t="shared" si="20"/>
        <v>0</v>
      </c>
    </row>
    <row r="135" spans="31:31" x14ac:dyDescent="0.25">
      <c r="AE135" s="43">
        <f t="shared" si="20"/>
        <v>0</v>
      </c>
    </row>
    <row r="136" spans="31:31" x14ac:dyDescent="0.25">
      <c r="AE136" s="43">
        <f t="shared" si="20"/>
        <v>0</v>
      </c>
    </row>
    <row r="137" spans="31:31" x14ac:dyDescent="0.25">
      <c r="AE137" s="43">
        <f t="shared" si="20"/>
        <v>0</v>
      </c>
    </row>
    <row r="138" spans="31:31" x14ac:dyDescent="0.25">
      <c r="AE138" s="43">
        <f t="shared" si="20"/>
        <v>0</v>
      </c>
    </row>
    <row r="139" spans="31:31" x14ac:dyDescent="0.25">
      <c r="AE139" s="43">
        <f t="shared" si="20"/>
        <v>0</v>
      </c>
    </row>
    <row r="140" spans="31:31" x14ac:dyDescent="0.25">
      <c r="AE140" s="43">
        <f t="shared" si="20"/>
        <v>0</v>
      </c>
    </row>
    <row r="141" spans="31:31" x14ac:dyDescent="0.25">
      <c r="AE141" s="43">
        <f t="shared" si="20"/>
        <v>0</v>
      </c>
    </row>
    <row r="142" spans="31:31" x14ac:dyDescent="0.25">
      <c r="AE142" s="43">
        <f t="shared" si="20"/>
        <v>0</v>
      </c>
    </row>
    <row r="143" spans="31:31" x14ac:dyDescent="0.25">
      <c r="AE143" s="43">
        <f t="shared" si="20"/>
        <v>0</v>
      </c>
    </row>
    <row r="144" spans="31:31" x14ac:dyDescent="0.25">
      <c r="AE144" s="43">
        <f t="shared" si="20"/>
        <v>0</v>
      </c>
    </row>
    <row r="145" spans="31:31" x14ac:dyDescent="0.25">
      <c r="AE145" s="43">
        <f t="shared" si="20"/>
        <v>0</v>
      </c>
    </row>
    <row r="146" spans="31:31" x14ac:dyDescent="0.25">
      <c r="AE146" s="43">
        <f t="shared" si="20"/>
        <v>0</v>
      </c>
    </row>
    <row r="147" spans="31:31" x14ac:dyDescent="0.25">
      <c r="AE147" s="43">
        <f t="shared" si="20"/>
        <v>0</v>
      </c>
    </row>
    <row r="148" spans="31:31" x14ac:dyDescent="0.25">
      <c r="AE148" s="43">
        <f t="shared" si="20"/>
        <v>0</v>
      </c>
    </row>
    <row r="149" spans="31:31" x14ac:dyDescent="0.25">
      <c r="AE149" s="43">
        <f t="shared" si="20"/>
        <v>0</v>
      </c>
    </row>
    <row r="150" spans="31:31" x14ac:dyDescent="0.25">
      <c r="AE150" s="43">
        <f t="shared" si="20"/>
        <v>0</v>
      </c>
    </row>
    <row r="151" spans="31:31" x14ac:dyDescent="0.25">
      <c r="AE151" s="43">
        <f t="shared" si="20"/>
        <v>0</v>
      </c>
    </row>
    <row r="152" spans="31:31" x14ac:dyDescent="0.25">
      <c r="AE152" s="43">
        <f t="shared" si="20"/>
        <v>0</v>
      </c>
    </row>
    <row r="153" spans="31:31" x14ac:dyDescent="0.25">
      <c r="AE153" s="43">
        <f t="shared" si="20"/>
        <v>0</v>
      </c>
    </row>
    <row r="154" spans="31:31" x14ac:dyDescent="0.25">
      <c r="AE154" s="43">
        <f t="shared" si="20"/>
        <v>0</v>
      </c>
    </row>
    <row r="155" spans="31:31" x14ac:dyDescent="0.25">
      <c r="AE155" s="43">
        <f t="shared" si="20"/>
        <v>0</v>
      </c>
    </row>
    <row r="156" spans="31:31" x14ac:dyDescent="0.25">
      <c r="AE156" s="43">
        <f t="shared" si="20"/>
        <v>0</v>
      </c>
    </row>
    <row r="157" spans="31:31" x14ac:dyDescent="0.25">
      <c r="AE157" s="43">
        <f t="shared" si="20"/>
        <v>0</v>
      </c>
    </row>
    <row r="158" spans="31:31" x14ac:dyDescent="0.25">
      <c r="AE158" s="43">
        <f t="shared" si="20"/>
        <v>0</v>
      </c>
    </row>
    <row r="159" spans="31:31" x14ac:dyDescent="0.25">
      <c r="AE159" s="43">
        <f t="shared" si="20"/>
        <v>0</v>
      </c>
    </row>
    <row r="160" spans="31:31" x14ac:dyDescent="0.25">
      <c r="AE160" s="43">
        <f t="shared" si="20"/>
        <v>0</v>
      </c>
    </row>
    <row r="161" spans="31:31" x14ac:dyDescent="0.25">
      <c r="AE161" s="43">
        <f t="shared" si="20"/>
        <v>0</v>
      </c>
    </row>
    <row r="162" spans="31:31" x14ac:dyDescent="0.25">
      <c r="AE162" s="43">
        <f t="shared" si="20"/>
        <v>0</v>
      </c>
    </row>
    <row r="163" spans="31:31" x14ac:dyDescent="0.25">
      <c r="AE163" s="43">
        <f t="shared" si="20"/>
        <v>0</v>
      </c>
    </row>
    <row r="164" spans="31:31" x14ac:dyDescent="0.25">
      <c r="AE164" s="43">
        <f t="shared" si="20"/>
        <v>0</v>
      </c>
    </row>
    <row r="165" spans="31:31" x14ac:dyDescent="0.25">
      <c r="AE165" s="43">
        <f t="shared" si="20"/>
        <v>0</v>
      </c>
    </row>
    <row r="166" spans="31:31" x14ac:dyDescent="0.25">
      <c r="AE166" s="43">
        <f t="shared" si="20"/>
        <v>0</v>
      </c>
    </row>
    <row r="167" spans="31:31" x14ac:dyDescent="0.25">
      <c r="AE167" s="43">
        <f t="shared" si="20"/>
        <v>0</v>
      </c>
    </row>
    <row r="168" spans="31:31" x14ac:dyDescent="0.25">
      <c r="AE168" s="43">
        <f t="shared" si="20"/>
        <v>0</v>
      </c>
    </row>
    <row r="169" spans="31:31" x14ac:dyDescent="0.25">
      <c r="AE169" s="43">
        <f t="shared" si="20"/>
        <v>0</v>
      </c>
    </row>
    <row r="170" spans="31:31" x14ac:dyDescent="0.25">
      <c r="AE170" s="43">
        <f t="shared" si="20"/>
        <v>0</v>
      </c>
    </row>
    <row r="171" spans="31:31" x14ac:dyDescent="0.25">
      <c r="AE171" s="43">
        <f t="shared" si="20"/>
        <v>0</v>
      </c>
    </row>
    <row r="172" spans="31:31" x14ac:dyDescent="0.25">
      <c r="AE172" s="43">
        <f t="shared" si="20"/>
        <v>0</v>
      </c>
    </row>
    <row r="173" spans="31:31" x14ac:dyDescent="0.25">
      <c r="AE173" s="43">
        <f t="shared" si="20"/>
        <v>0</v>
      </c>
    </row>
    <row r="174" spans="31:31" x14ac:dyDescent="0.25">
      <c r="AE174" s="43">
        <f t="shared" si="20"/>
        <v>0</v>
      </c>
    </row>
    <row r="175" spans="31:31" x14ac:dyDescent="0.25">
      <c r="AE175" s="43">
        <f t="shared" si="20"/>
        <v>0</v>
      </c>
    </row>
    <row r="176" spans="31:31" x14ac:dyDescent="0.25">
      <c r="AE176" s="43">
        <f t="shared" si="20"/>
        <v>0</v>
      </c>
    </row>
    <row r="177" spans="31:31" x14ac:dyDescent="0.25">
      <c r="AE177" s="43">
        <f t="shared" si="20"/>
        <v>0</v>
      </c>
    </row>
    <row r="178" spans="31:31" x14ac:dyDescent="0.25">
      <c r="AE178" s="43">
        <f t="shared" si="20"/>
        <v>0</v>
      </c>
    </row>
    <row r="179" spans="31:31" x14ac:dyDescent="0.25">
      <c r="AE179" s="43">
        <f t="shared" si="20"/>
        <v>0</v>
      </c>
    </row>
    <row r="180" spans="31:31" x14ac:dyDescent="0.25">
      <c r="AE180" s="43">
        <f t="shared" si="20"/>
        <v>0</v>
      </c>
    </row>
    <row r="181" spans="31:31" x14ac:dyDescent="0.25">
      <c r="AE181" s="43">
        <f t="shared" si="20"/>
        <v>0</v>
      </c>
    </row>
    <row r="182" spans="31:31" x14ac:dyDescent="0.25">
      <c r="AE182" s="43">
        <f t="shared" si="20"/>
        <v>0</v>
      </c>
    </row>
    <row r="183" spans="31:31" x14ac:dyDescent="0.25">
      <c r="AE183" s="43">
        <f t="shared" si="20"/>
        <v>0</v>
      </c>
    </row>
    <row r="184" spans="31:31" x14ac:dyDescent="0.25">
      <c r="AE184" s="43">
        <f t="shared" si="20"/>
        <v>0</v>
      </c>
    </row>
    <row r="185" spans="31:31" x14ac:dyDescent="0.25">
      <c r="AE185" s="43">
        <f t="shared" si="20"/>
        <v>0</v>
      </c>
    </row>
  </sheetData>
  <autoFilter ref="A2:AZ95" xr:uid="{00000000-0009-0000-0000-000002000000}"/>
  <mergeCells count="24">
    <mergeCell ref="AR1:AR2"/>
    <mergeCell ref="AS1:AS2"/>
    <mergeCell ref="AT1:AT2"/>
    <mergeCell ref="AU1:AU2"/>
    <mergeCell ref="AV1:AV2"/>
    <mergeCell ref="AZ1:AZ2"/>
    <mergeCell ref="U1:U2"/>
    <mergeCell ref="V1:V2"/>
    <mergeCell ref="W1:W2"/>
    <mergeCell ref="AO1:AO2"/>
    <mergeCell ref="AP1:AP2"/>
    <mergeCell ref="AQ1:AQ2"/>
    <mergeCell ref="O1:O2"/>
    <mergeCell ref="P1:P2"/>
    <mergeCell ref="Q1:Q2"/>
    <mergeCell ref="R1:R2"/>
    <mergeCell ref="S1:S2"/>
    <mergeCell ref="T1:T2"/>
    <mergeCell ref="A1:A2"/>
    <mergeCell ref="B1:B2"/>
    <mergeCell ref="C1:C2"/>
    <mergeCell ref="I1:I2"/>
    <mergeCell ref="J1:J2"/>
    <mergeCell ref="N1:N2"/>
  </mergeCells>
  <hyperlinks>
    <hyperlink ref="E3" r:id="rId1" xr:uid="{6220D6D8-B91B-4023-9BF3-C86D10E122BC}"/>
    <hyperlink ref="E4" r:id="rId2" xr:uid="{21F52627-CEA2-4D4A-A741-751B1D1011FB}"/>
    <hyperlink ref="E5" r:id="rId3" xr:uid="{00D62BEB-46A6-43E7-AFC3-5C7CC2258704}"/>
    <hyperlink ref="E6" r:id="rId4" xr:uid="{CAFC3266-8465-4191-8D5A-9225D3E79B3D}"/>
    <hyperlink ref="E7" r:id="rId5" xr:uid="{948CE2A4-894F-44C0-814F-39E7A584A82F}"/>
    <hyperlink ref="E8" r:id="rId6" xr:uid="{99DE704A-B2C8-4279-B793-7560393F641B}"/>
    <hyperlink ref="E9" r:id="rId7" xr:uid="{EC527500-62AB-4651-B07B-22A51083B179}"/>
    <hyperlink ref="E10" r:id="rId8" xr:uid="{3291906A-D9EC-4D30-82C4-EED656828172}"/>
    <hyperlink ref="E11" r:id="rId9" xr:uid="{302D1CD4-020A-4F4D-9AB7-7876CF887FEB}"/>
    <hyperlink ref="E12" r:id="rId10" xr:uid="{9F099E14-0E20-4C0B-87AF-E76ACCEAF805}"/>
    <hyperlink ref="E13" r:id="rId11" xr:uid="{439C8E69-0E8A-4A23-8A44-338F38B6EA35}"/>
    <hyperlink ref="E14" r:id="rId12" xr:uid="{EC20F96B-42CB-4187-8DE0-F027D5F8A500}"/>
    <hyperlink ref="E15" r:id="rId13" xr:uid="{9DF33A47-D214-4AD8-B45E-7C49661B1ECF}"/>
    <hyperlink ref="E16" r:id="rId14" xr:uid="{5674D745-B72C-446E-A9A0-9D468CA1AF81}"/>
    <hyperlink ref="E17" r:id="rId15" xr:uid="{0B5C1795-CE1C-4B0F-8C64-494F2B6945D4}"/>
    <hyperlink ref="E18" r:id="rId16" xr:uid="{58AC4B10-DA77-432E-8CD4-6F831779B2CC}"/>
    <hyperlink ref="E19" r:id="rId17" xr:uid="{60701EE7-1198-46C4-8E31-4DE3C59D743C}"/>
    <hyperlink ref="E20" r:id="rId18" xr:uid="{8B48978F-4C02-481A-9348-9CBECD839C60}"/>
    <hyperlink ref="E21" r:id="rId19" xr:uid="{9361D556-061F-4605-BBBE-8AE395452EAD}"/>
    <hyperlink ref="E22" r:id="rId20" xr:uid="{B9AC2DF3-D2BA-4E25-B458-E257D7A5D234}"/>
    <hyperlink ref="E23" r:id="rId21" xr:uid="{22037A2B-8291-4296-BCAC-A1FD27797D3E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6776E-4B72-488D-896F-27021927106D}">
  <dimension ref="A1:AZ185"/>
  <sheetViews>
    <sheetView zoomScale="80" zoomScaleNormal="80" workbookViewId="0">
      <pane xSplit="1" ySplit="2" topLeftCell="B3" activePane="bottomRight" state="frozen"/>
      <selection pane="topRight" activeCell="D1" sqref="D1"/>
      <selection pane="bottomLeft" activeCell="A3" sqref="A3"/>
      <selection pane="bottomRight" activeCell="A3" sqref="A3"/>
    </sheetView>
  </sheetViews>
  <sheetFormatPr defaultColWidth="9.140625" defaultRowHeight="15.75" x14ac:dyDescent="0.25"/>
  <cols>
    <col min="1" max="1" width="23.85546875" style="20" customWidth="1"/>
    <col min="2" max="2" width="15.140625" style="70" customWidth="1"/>
    <col min="3" max="3" width="16" style="20" customWidth="1"/>
    <col min="4" max="4" width="24.7109375" style="20" customWidth="1"/>
    <col min="5" max="5" width="25.7109375" style="20" customWidth="1"/>
    <col min="6" max="6" width="15.140625" style="69" customWidth="1"/>
    <col min="7" max="7" width="33.42578125" style="51" customWidth="1"/>
    <col min="8" max="8" width="19.140625" style="71" customWidth="1"/>
    <col min="9" max="9" width="38.28515625" style="20" customWidth="1"/>
    <col min="10" max="13" width="22.140625" style="51" customWidth="1"/>
    <col min="14" max="14" width="19.140625" style="51" customWidth="1"/>
    <col min="15" max="15" width="21.28515625" style="20" customWidth="1"/>
    <col min="16" max="16" width="21.7109375" style="20" customWidth="1"/>
    <col min="17" max="17" width="19.5703125" style="20" customWidth="1"/>
    <col min="18" max="18" width="21.42578125" style="20" customWidth="1"/>
    <col min="19" max="19" width="23.5703125" style="20" customWidth="1"/>
    <col min="20" max="20" width="19.85546875" style="20" customWidth="1"/>
    <col min="21" max="21" width="15" style="20" customWidth="1"/>
    <col min="22" max="23" width="14.5703125" style="20" customWidth="1"/>
    <col min="24" max="24" width="20.140625" style="20" customWidth="1"/>
    <col min="25" max="25" width="17.5703125" style="72" customWidth="1"/>
    <col min="26" max="26" width="15.5703125" style="20" customWidth="1"/>
    <col min="27" max="27" width="15.5703125" style="71" customWidth="1"/>
    <col min="28" max="28" width="17.42578125" style="20" customWidth="1"/>
    <col min="29" max="31" width="17" style="20" customWidth="1"/>
    <col min="32" max="32" width="20.85546875" style="20" customWidth="1"/>
    <col min="33" max="33" width="16.42578125" style="20" customWidth="1"/>
    <col min="34" max="34" width="13.7109375" style="20" customWidth="1"/>
    <col min="35" max="35" width="14" style="20" customWidth="1"/>
    <col min="36" max="36" width="13.5703125" style="51" customWidth="1"/>
    <col min="37" max="37" width="14.85546875" style="51" customWidth="1"/>
    <col min="38" max="38" width="15.42578125" style="20" customWidth="1"/>
    <col min="39" max="39" width="14.85546875" style="72" customWidth="1"/>
    <col min="40" max="40" width="15" style="20" customWidth="1"/>
    <col min="41" max="41" width="16.28515625" style="71" customWidth="1"/>
    <col min="42" max="42" width="30.42578125" style="71" customWidth="1"/>
    <col min="43" max="43" width="19" style="51" customWidth="1"/>
    <col min="44" max="44" width="16.28515625" style="51" customWidth="1"/>
    <col min="45" max="45" width="11" style="20" customWidth="1"/>
    <col min="46" max="46" width="14.7109375" style="52" customWidth="1"/>
    <col min="47" max="47" width="12.5703125" style="20" customWidth="1"/>
    <col min="48" max="48" width="13.85546875" style="71" customWidth="1"/>
    <col min="49" max="49" width="8.5703125" style="72" customWidth="1"/>
    <col min="50" max="50" width="7.7109375" style="72" customWidth="1"/>
    <col min="51" max="51" width="18.42578125" style="51" customWidth="1"/>
    <col min="52" max="52" width="17.140625" style="20" customWidth="1"/>
    <col min="53" max="16384" width="9.140625" style="20"/>
  </cols>
  <sheetData>
    <row r="1" spans="1:52" ht="63.75" customHeight="1" x14ac:dyDescent="0.25">
      <c r="A1" s="1" t="s">
        <v>0</v>
      </c>
      <c r="B1" s="2" t="s">
        <v>1</v>
      </c>
      <c r="C1" s="5" t="s">
        <v>2</v>
      </c>
      <c r="D1" s="6" t="s">
        <v>3</v>
      </c>
      <c r="E1" s="4" t="s">
        <v>4</v>
      </c>
      <c r="F1" s="3" t="s">
        <v>5</v>
      </c>
      <c r="G1" s="4" t="s">
        <v>6</v>
      </c>
      <c r="H1" s="4" t="s">
        <v>7</v>
      </c>
      <c r="I1" s="7" t="s">
        <v>8</v>
      </c>
      <c r="J1" s="8" t="s">
        <v>9</v>
      </c>
      <c r="K1" s="9" t="s">
        <v>10</v>
      </c>
      <c r="L1" s="9" t="s">
        <v>11</v>
      </c>
      <c r="M1" s="9" t="s">
        <v>12</v>
      </c>
      <c r="N1" s="8" t="s">
        <v>13</v>
      </c>
      <c r="O1" s="8" t="s">
        <v>14</v>
      </c>
      <c r="P1" s="7" t="s">
        <v>15</v>
      </c>
      <c r="Q1" s="7" t="s">
        <v>16</v>
      </c>
      <c r="R1" s="7" t="s">
        <v>17</v>
      </c>
      <c r="S1" s="8" t="s">
        <v>18</v>
      </c>
      <c r="T1" s="7" t="s">
        <v>19</v>
      </c>
      <c r="U1" s="8" t="s">
        <v>20</v>
      </c>
      <c r="V1" s="8" t="s">
        <v>21</v>
      </c>
      <c r="W1" s="2" t="s">
        <v>22</v>
      </c>
      <c r="X1" s="10" t="s">
        <v>23</v>
      </c>
      <c r="Y1" s="11"/>
      <c r="Z1" s="11"/>
      <c r="AA1" s="11"/>
      <c r="AB1" s="11"/>
      <c r="AC1" s="11"/>
      <c r="AD1" s="11"/>
      <c r="AE1" s="11"/>
      <c r="AF1" s="11"/>
      <c r="AG1" s="12"/>
      <c r="AH1" s="13" t="s">
        <v>24</v>
      </c>
      <c r="AI1" s="14"/>
      <c r="AJ1" s="15"/>
      <c r="AK1" s="13" t="s">
        <v>25</v>
      </c>
      <c r="AL1" s="14"/>
      <c r="AM1" s="15"/>
      <c r="AN1" s="9" t="s">
        <v>26</v>
      </c>
      <c r="AO1" s="16" t="s">
        <v>27</v>
      </c>
      <c r="AP1" s="16" t="s">
        <v>28</v>
      </c>
      <c r="AQ1" s="16" t="s">
        <v>29</v>
      </c>
      <c r="AR1" s="16" t="s">
        <v>30</v>
      </c>
      <c r="AS1" s="7" t="s">
        <v>31</v>
      </c>
      <c r="AT1" s="7" t="s">
        <v>32</v>
      </c>
      <c r="AU1" s="8" t="s">
        <v>33</v>
      </c>
      <c r="AV1" s="17" t="s">
        <v>34</v>
      </c>
      <c r="AW1" s="18" t="s">
        <v>35</v>
      </c>
      <c r="AX1" s="19"/>
      <c r="AY1" s="19"/>
      <c r="AZ1" s="16" t="s">
        <v>36</v>
      </c>
    </row>
    <row r="2" spans="1:52" ht="45" customHeight="1" x14ac:dyDescent="0.25">
      <c r="A2" s="21"/>
      <c r="B2" s="22"/>
      <c r="C2" s="25"/>
      <c r="D2" s="26"/>
      <c r="E2" s="24"/>
      <c r="F2" s="23"/>
      <c r="G2" s="24"/>
      <c r="H2" s="24"/>
      <c r="I2" s="27"/>
      <c r="J2" s="28"/>
      <c r="K2" s="29"/>
      <c r="L2" s="29"/>
      <c r="M2" s="29"/>
      <c r="N2" s="28"/>
      <c r="O2" s="28"/>
      <c r="P2" s="27"/>
      <c r="Q2" s="27"/>
      <c r="R2" s="27"/>
      <c r="S2" s="27"/>
      <c r="T2" s="27"/>
      <c r="U2" s="28"/>
      <c r="V2" s="28"/>
      <c r="W2" s="22"/>
      <c r="X2" s="30" t="s">
        <v>37</v>
      </c>
      <c r="Y2" s="30" t="s">
        <v>38</v>
      </c>
      <c r="Z2" s="30" t="s">
        <v>39</v>
      </c>
      <c r="AA2" s="30" t="s">
        <v>40</v>
      </c>
      <c r="AB2" s="30" t="s">
        <v>41</v>
      </c>
      <c r="AC2" s="30" t="s">
        <v>42</v>
      </c>
      <c r="AD2" s="30" t="s">
        <v>43</v>
      </c>
      <c r="AE2" s="30" t="s">
        <v>44</v>
      </c>
      <c r="AF2" s="30" t="s">
        <v>45</v>
      </c>
      <c r="AG2" s="30" t="s">
        <v>46</v>
      </c>
      <c r="AH2" s="31" t="s">
        <v>38</v>
      </c>
      <c r="AI2" s="31" t="s">
        <v>39</v>
      </c>
      <c r="AJ2" s="31" t="s">
        <v>40</v>
      </c>
      <c r="AK2" s="31" t="s">
        <v>38</v>
      </c>
      <c r="AL2" s="31" t="s">
        <v>39</v>
      </c>
      <c r="AM2" s="31" t="s">
        <v>40</v>
      </c>
      <c r="AN2" s="32"/>
      <c r="AO2" s="33"/>
      <c r="AP2" s="33"/>
      <c r="AQ2" s="33"/>
      <c r="AR2" s="33"/>
      <c r="AS2" s="27"/>
      <c r="AT2" s="27"/>
      <c r="AU2" s="28"/>
      <c r="AV2" s="34"/>
      <c r="AW2" s="35" t="s">
        <v>47</v>
      </c>
      <c r="AX2" s="35" t="s">
        <v>48</v>
      </c>
      <c r="AY2" s="35" t="s">
        <v>49</v>
      </c>
      <c r="AZ2" s="33"/>
    </row>
    <row r="3" spans="1:52" ht="49.5" customHeight="1" x14ac:dyDescent="0.25">
      <c r="A3" s="46" t="s">
        <v>305</v>
      </c>
      <c r="B3" s="38">
        <v>45044</v>
      </c>
      <c r="C3" s="39">
        <v>1688</v>
      </c>
      <c r="D3" s="37" t="s">
        <v>306</v>
      </c>
      <c r="E3" s="41" t="s">
        <v>307</v>
      </c>
      <c r="F3" s="38">
        <v>45072</v>
      </c>
      <c r="G3" s="39" t="s">
        <v>308</v>
      </c>
      <c r="H3" s="42" t="s">
        <v>309</v>
      </c>
      <c r="I3" s="42" t="s">
        <v>310</v>
      </c>
      <c r="J3" s="43">
        <v>6205835185.9200001</v>
      </c>
      <c r="K3" s="43" t="s">
        <v>311</v>
      </c>
      <c r="L3" s="43" t="s">
        <v>311</v>
      </c>
      <c r="M3" s="43">
        <v>0</v>
      </c>
      <c r="N3" s="44">
        <v>0</v>
      </c>
      <c r="O3" s="45">
        <v>0</v>
      </c>
      <c r="P3" s="43">
        <v>6205835185.9200001</v>
      </c>
      <c r="Q3" s="45">
        <v>3102917592.96</v>
      </c>
      <c r="R3" s="43">
        <v>3102917592.96</v>
      </c>
      <c r="S3" s="30">
        <v>3102917592.96</v>
      </c>
      <c r="T3" s="30">
        <v>6205835185.9200001</v>
      </c>
      <c r="U3" s="30">
        <v>1137.6600000000001</v>
      </c>
      <c r="V3" s="43">
        <v>1137.6600000000001</v>
      </c>
      <c r="W3" s="43">
        <v>1137.6600000000001</v>
      </c>
      <c r="X3" s="43">
        <v>5454912</v>
      </c>
      <c r="Y3" s="43"/>
      <c r="Z3" s="43"/>
      <c r="AA3" s="43">
        <v>2727456</v>
      </c>
      <c r="AB3" s="43">
        <v>0</v>
      </c>
      <c r="AC3" s="43">
        <v>0</v>
      </c>
      <c r="AD3" s="43">
        <v>0</v>
      </c>
      <c r="AE3" s="43">
        <v>0</v>
      </c>
      <c r="AF3" s="43">
        <v>5454912</v>
      </c>
      <c r="AG3" s="43">
        <v>5454912</v>
      </c>
      <c r="AH3" s="38">
        <v>45107</v>
      </c>
      <c r="AI3" s="38">
        <v>45214</v>
      </c>
      <c r="AJ3" s="38">
        <v>45323</v>
      </c>
      <c r="AK3" s="38">
        <v>45122</v>
      </c>
      <c r="AL3" s="38">
        <v>45229</v>
      </c>
      <c r="AM3" s="48">
        <v>45352</v>
      </c>
      <c r="AN3" s="42"/>
      <c r="AO3" s="42" t="s">
        <v>312</v>
      </c>
      <c r="AP3" s="42" t="s">
        <v>313</v>
      </c>
      <c r="AQ3" s="42" t="s">
        <v>314</v>
      </c>
      <c r="AR3" s="42" t="s">
        <v>315</v>
      </c>
      <c r="AS3" s="50">
        <v>0</v>
      </c>
      <c r="AT3" s="39">
        <v>100</v>
      </c>
      <c r="AU3" s="39" t="s">
        <v>316</v>
      </c>
      <c r="AV3" s="49">
        <v>1</v>
      </c>
      <c r="AW3" s="39" t="s">
        <v>62</v>
      </c>
      <c r="AX3" s="39">
        <v>10</v>
      </c>
      <c r="AY3" s="30">
        <v>620583518.59200001</v>
      </c>
      <c r="AZ3" s="42" t="s">
        <v>63</v>
      </c>
    </row>
    <row r="4" spans="1:52" ht="58.5" customHeight="1" x14ac:dyDescent="0.25">
      <c r="A4" s="46" t="s">
        <v>1453</v>
      </c>
      <c r="B4" s="48">
        <v>45289</v>
      </c>
      <c r="C4" s="42">
        <v>1688</v>
      </c>
      <c r="D4" s="37" t="s">
        <v>434</v>
      </c>
      <c r="E4" s="41" t="s">
        <v>1454</v>
      </c>
      <c r="F4" s="38" t="s">
        <v>434</v>
      </c>
      <c r="G4" s="39" t="s">
        <v>434</v>
      </c>
      <c r="H4" s="42" t="s">
        <v>434</v>
      </c>
      <c r="I4" s="42" t="s">
        <v>1455</v>
      </c>
      <c r="J4" s="56">
        <v>2263398</v>
      </c>
      <c r="K4" s="56">
        <v>2263398</v>
      </c>
      <c r="L4" s="56">
        <v>0</v>
      </c>
      <c r="M4" s="56">
        <v>0</v>
      </c>
      <c r="N4" s="44">
        <v>100</v>
      </c>
      <c r="O4" s="45">
        <v>2263398</v>
      </c>
      <c r="P4" s="43"/>
      <c r="Q4" s="45">
        <v>2263398</v>
      </c>
      <c r="R4" s="43">
        <v>0</v>
      </c>
      <c r="S4" s="30">
        <v>0</v>
      </c>
      <c r="T4" s="30">
        <v>0</v>
      </c>
      <c r="U4" s="30" t="e">
        <v>#DIV/0!</v>
      </c>
      <c r="V4" s="43" t="e">
        <v>#DIV/0!</v>
      </c>
      <c r="W4" s="43" t="e">
        <v>#DIV/0!</v>
      </c>
      <c r="X4" s="43">
        <v>0</v>
      </c>
      <c r="Y4" s="43">
        <v>0</v>
      </c>
      <c r="Z4" s="43">
        <v>0</v>
      </c>
      <c r="AA4" s="43">
        <v>0</v>
      </c>
      <c r="AB4" s="43"/>
      <c r="AC4" s="43" t="e">
        <v>#DIV/0!</v>
      </c>
      <c r="AD4" s="43"/>
      <c r="AE4" s="43" t="e">
        <v>#DIV/0!</v>
      </c>
      <c r="AF4" s="43" t="e">
        <v>#DIV/0!</v>
      </c>
      <c r="AG4" s="43" t="e">
        <v>#DIV/0!</v>
      </c>
      <c r="AH4" s="38">
        <v>45337</v>
      </c>
      <c r="AI4" s="38"/>
      <c r="AJ4" s="38"/>
      <c r="AK4" s="38"/>
      <c r="AL4" s="38"/>
      <c r="AM4" s="48"/>
      <c r="AN4" s="42"/>
      <c r="AO4" s="42"/>
      <c r="AP4" s="42"/>
      <c r="AQ4" s="42"/>
      <c r="AR4" s="42"/>
      <c r="AS4" s="50"/>
      <c r="AT4" s="39"/>
      <c r="AU4" s="39"/>
      <c r="AV4" s="49"/>
      <c r="AW4" s="39"/>
      <c r="AX4" s="39">
        <v>10</v>
      </c>
      <c r="AY4" s="30">
        <v>226339.8</v>
      </c>
      <c r="AZ4" s="42" t="s">
        <v>434</v>
      </c>
    </row>
    <row r="5" spans="1:52" ht="58.5" customHeight="1" x14ac:dyDescent="0.25">
      <c r="A5" s="46" t="s">
        <v>1486</v>
      </c>
      <c r="B5" s="48">
        <v>45289</v>
      </c>
      <c r="C5" s="42">
        <v>1688</v>
      </c>
      <c r="D5" s="37" t="s">
        <v>434</v>
      </c>
      <c r="E5" s="41" t="s">
        <v>1487</v>
      </c>
      <c r="F5" s="38" t="s">
        <v>434</v>
      </c>
      <c r="G5" s="39" t="s">
        <v>434</v>
      </c>
      <c r="H5" s="42" t="s">
        <v>434</v>
      </c>
      <c r="I5" s="42" t="s">
        <v>1488</v>
      </c>
      <c r="J5" s="56">
        <v>18480709.800000001</v>
      </c>
      <c r="K5" s="56">
        <v>18480709.800000001</v>
      </c>
      <c r="L5" s="56">
        <v>0</v>
      </c>
      <c r="M5" s="56">
        <v>0</v>
      </c>
      <c r="N5" s="44">
        <v>100</v>
      </c>
      <c r="O5" s="45">
        <v>18480709.800000001</v>
      </c>
      <c r="P5" s="43"/>
      <c r="Q5" s="45">
        <v>18480709.800000001</v>
      </c>
      <c r="R5" s="43">
        <v>0</v>
      </c>
      <c r="S5" s="30">
        <v>0</v>
      </c>
      <c r="T5" s="30">
        <v>0</v>
      </c>
      <c r="U5" s="30" t="e">
        <v>#DIV/0!</v>
      </c>
      <c r="V5" s="43" t="e">
        <v>#DIV/0!</v>
      </c>
      <c r="W5" s="43" t="e">
        <v>#DIV/0!</v>
      </c>
      <c r="X5" s="43">
        <v>0</v>
      </c>
      <c r="Y5" s="43">
        <v>0</v>
      </c>
      <c r="Z5" s="43">
        <v>0</v>
      </c>
      <c r="AA5" s="43">
        <v>0</v>
      </c>
      <c r="AB5" s="43"/>
      <c r="AC5" s="43" t="e">
        <v>#DIV/0!</v>
      </c>
      <c r="AD5" s="43"/>
      <c r="AE5" s="43" t="e">
        <v>#DIV/0!</v>
      </c>
      <c r="AF5" s="43" t="e">
        <v>#DIV/0!</v>
      </c>
      <c r="AG5" s="43" t="e">
        <v>#DIV/0!</v>
      </c>
      <c r="AH5" s="38">
        <v>45337</v>
      </c>
      <c r="AI5" s="38"/>
      <c r="AJ5" s="38"/>
      <c r="AK5" s="38"/>
      <c r="AL5" s="38"/>
      <c r="AM5" s="48"/>
      <c r="AN5" s="42"/>
      <c r="AO5" s="42"/>
      <c r="AP5" s="42"/>
      <c r="AQ5" s="42"/>
      <c r="AR5" s="42"/>
      <c r="AS5" s="50"/>
      <c r="AT5" s="39"/>
      <c r="AU5" s="39"/>
      <c r="AV5" s="49"/>
      <c r="AW5" s="39"/>
      <c r="AX5" s="39">
        <v>10</v>
      </c>
      <c r="AY5" s="30">
        <v>1848070.98</v>
      </c>
      <c r="AZ5" s="42" t="s">
        <v>434</v>
      </c>
    </row>
    <row r="6" spans="1:52" ht="58.5" customHeight="1" x14ac:dyDescent="0.25">
      <c r="A6" s="46" t="s">
        <v>1489</v>
      </c>
      <c r="B6" s="48">
        <v>45289</v>
      </c>
      <c r="C6" s="42">
        <v>1688</v>
      </c>
      <c r="D6" s="37" t="s">
        <v>434</v>
      </c>
      <c r="E6" s="41" t="s">
        <v>1490</v>
      </c>
      <c r="F6" s="38" t="s">
        <v>434</v>
      </c>
      <c r="G6" s="39" t="s">
        <v>434</v>
      </c>
      <c r="H6" s="42" t="s">
        <v>434</v>
      </c>
      <c r="I6" s="42" t="s">
        <v>1491</v>
      </c>
      <c r="J6" s="56">
        <v>22320340.800000001</v>
      </c>
      <c r="K6" s="56">
        <v>22320340.800000001</v>
      </c>
      <c r="L6" s="56">
        <v>0</v>
      </c>
      <c r="M6" s="56">
        <v>0</v>
      </c>
      <c r="N6" s="44">
        <v>100</v>
      </c>
      <c r="O6" s="45">
        <v>22320340.800000001</v>
      </c>
      <c r="P6" s="43"/>
      <c r="Q6" s="45">
        <v>22320340.800000001</v>
      </c>
      <c r="R6" s="43">
        <v>0</v>
      </c>
      <c r="S6" s="30">
        <v>0</v>
      </c>
      <c r="T6" s="30">
        <v>0</v>
      </c>
      <c r="U6" s="30" t="e">
        <v>#DIV/0!</v>
      </c>
      <c r="V6" s="43" t="e">
        <v>#DIV/0!</v>
      </c>
      <c r="W6" s="43" t="e">
        <v>#DIV/0!</v>
      </c>
      <c r="X6" s="43">
        <v>0</v>
      </c>
      <c r="Y6" s="43">
        <v>0</v>
      </c>
      <c r="Z6" s="43">
        <v>0</v>
      </c>
      <c r="AA6" s="43">
        <v>0</v>
      </c>
      <c r="AB6" s="43"/>
      <c r="AC6" s="43" t="e">
        <v>#DIV/0!</v>
      </c>
      <c r="AD6" s="43"/>
      <c r="AE6" s="43" t="e">
        <v>#DIV/0!</v>
      </c>
      <c r="AF6" s="43" t="e">
        <v>#DIV/0!</v>
      </c>
      <c r="AG6" s="43" t="e">
        <v>#DIV/0!</v>
      </c>
      <c r="AH6" s="38">
        <v>45337</v>
      </c>
      <c r="AI6" s="38"/>
      <c r="AJ6" s="38"/>
      <c r="AK6" s="38"/>
      <c r="AL6" s="38"/>
      <c r="AM6" s="48"/>
      <c r="AN6" s="42"/>
      <c r="AO6" s="42"/>
      <c r="AP6" s="42"/>
      <c r="AQ6" s="42"/>
      <c r="AR6" s="42"/>
      <c r="AS6" s="50"/>
      <c r="AT6" s="39"/>
      <c r="AU6" s="39"/>
      <c r="AV6" s="49"/>
      <c r="AW6" s="39"/>
      <c r="AX6" s="39">
        <v>10</v>
      </c>
      <c r="AY6" s="30">
        <v>2232034.08</v>
      </c>
      <c r="AZ6" s="42" t="s">
        <v>434</v>
      </c>
    </row>
    <row r="7" spans="1:52" ht="58.5" customHeight="1" x14ac:dyDescent="0.25">
      <c r="A7" s="46" t="s">
        <v>1492</v>
      </c>
      <c r="B7" s="48">
        <v>45289</v>
      </c>
      <c r="C7" s="42">
        <v>1688</v>
      </c>
      <c r="D7" s="37" t="s">
        <v>434</v>
      </c>
      <c r="E7" s="41" t="s">
        <v>1493</v>
      </c>
      <c r="F7" s="38" t="s">
        <v>434</v>
      </c>
      <c r="G7" s="39" t="s">
        <v>434</v>
      </c>
      <c r="H7" s="42" t="s">
        <v>434</v>
      </c>
      <c r="I7" s="42" t="s">
        <v>1494</v>
      </c>
      <c r="J7" s="56">
        <v>1681405.5</v>
      </c>
      <c r="K7" s="56">
        <v>1681405.5</v>
      </c>
      <c r="L7" s="56">
        <v>0</v>
      </c>
      <c r="M7" s="56">
        <v>0</v>
      </c>
      <c r="N7" s="44">
        <v>100</v>
      </c>
      <c r="O7" s="45">
        <v>1681405.5</v>
      </c>
      <c r="P7" s="43"/>
      <c r="Q7" s="45">
        <v>1681405.5</v>
      </c>
      <c r="R7" s="43">
        <v>0</v>
      </c>
      <c r="S7" s="30">
        <v>0</v>
      </c>
      <c r="T7" s="30">
        <v>0</v>
      </c>
      <c r="U7" s="30" t="e">
        <v>#DIV/0!</v>
      </c>
      <c r="V7" s="43" t="e">
        <v>#DIV/0!</v>
      </c>
      <c r="W7" s="43" t="e">
        <v>#DIV/0!</v>
      </c>
      <c r="X7" s="43">
        <v>0</v>
      </c>
      <c r="Y7" s="43">
        <v>0</v>
      </c>
      <c r="Z7" s="43">
        <v>0</v>
      </c>
      <c r="AA7" s="43">
        <v>0</v>
      </c>
      <c r="AB7" s="43"/>
      <c r="AC7" s="43" t="e">
        <v>#DIV/0!</v>
      </c>
      <c r="AD7" s="43"/>
      <c r="AE7" s="43" t="e">
        <v>#DIV/0!</v>
      </c>
      <c r="AF7" s="43" t="e">
        <v>#DIV/0!</v>
      </c>
      <c r="AG7" s="43" t="e">
        <v>#DIV/0!</v>
      </c>
      <c r="AH7" s="38">
        <v>45337</v>
      </c>
      <c r="AI7" s="38"/>
      <c r="AJ7" s="38"/>
      <c r="AK7" s="38"/>
      <c r="AL7" s="38"/>
      <c r="AM7" s="48"/>
      <c r="AN7" s="42"/>
      <c r="AO7" s="42"/>
      <c r="AP7" s="42"/>
      <c r="AQ7" s="42"/>
      <c r="AR7" s="42"/>
      <c r="AS7" s="50"/>
      <c r="AT7" s="39"/>
      <c r="AU7" s="39"/>
      <c r="AV7" s="49"/>
      <c r="AW7" s="39"/>
      <c r="AX7" s="39">
        <v>10</v>
      </c>
      <c r="AY7" s="30">
        <v>168140.55</v>
      </c>
      <c r="AZ7" s="42" t="s">
        <v>434</v>
      </c>
    </row>
    <row r="8" spans="1:52" ht="58.5" customHeight="1" x14ac:dyDescent="0.25">
      <c r="A8" s="46" t="s">
        <v>1495</v>
      </c>
      <c r="B8" s="48">
        <v>45289</v>
      </c>
      <c r="C8" s="42">
        <v>1688</v>
      </c>
      <c r="D8" s="37" t="s">
        <v>434</v>
      </c>
      <c r="E8" s="41" t="s">
        <v>1496</v>
      </c>
      <c r="F8" s="38" t="s">
        <v>434</v>
      </c>
      <c r="G8" s="39" t="s">
        <v>434</v>
      </c>
      <c r="H8" s="42" t="s">
        <v>434</v>
      </c>
      <c r="I8" s="42" t="s">
        <v>1497</v>
      </c>
      <c r="J8" s="56">
        <v>1575266</v>
      </c>
      <c r="K8" s="56">
        <v>1575266</v>
      </c>
      <c r="L8" s="56">
        <v>0</v>
      </c>
      <c r="M8" s="56">
        <v>0</v>
      </c>
      <c r="N8" s="44">
        <v>100</v>
      </c>
      <c r="O8" s="45">
        <v>1575266</v>
      </c>
      <c r="P8" s="43"/>
      <c r="Q8" s="45">
        <v>1575266</v>
      </c>
      <c r="R8" s="43">
        <v>0</v>
      </c>
      <c r="S8" s="30">
        <v>0</v>
      </c>
      <c r="T8" s="30">
        <v>0</v>
      </c>
      <c r="U8" s="30" t="e">
        <v>#DIV/0!</v>
      </c>
      <c r="V8" s="43" t="e">
        <v>#DIV/0!</v>
      </c>
      <c r="W8" s="43" t="e">
        <v>#DIV/0!</v>
      </c>
      <c r="X8" s="43">
        <v>0</v>
      </c>
      <c r="Y8" s="43">
        <v>0</v>
      </c>
      <c r="Z8" s="43">
        <v>0</v>
      </c>
      <c r="AA8" s="43">
        <v>0</v>
      </c>
      <c r="AB8" s="43"/>
      <c r="AC8" s="43" t="e">
        <v>#DIV/0!</v>
      </c>
      <c r="AD8" s="43"/>
      <c r="AE8" s="43" t="e">
        <v>#DIV/0!</v>
      </c>
      <c r="AF8" s="43" t="e">
        <v>#DIV/0!</v>
      </c>
      <c r="AG8" s="43" t="e">
        <v>#DIV/0!</v>
      </c>
      <c r="AH8" s="38">
        <v>45337</v>
      </c>
      <c r="AI8" s="38"/>
      <c r="AJ8" s="38"/>
      <c r="AK8" s="38"/>
      <c r="AL8" s="38"/>
      <c r="AM8" s="48"/>
      <c r="AN8" s="42"/>
      <c r="AO8" s="42"/>
      <c r="AP8" s="42"/>
      <c r="AQ8" s="42"/>
      <c r="AR8" s="42"/>
      <c r="AS8" s="50"/>
      <c r="AT8" s="39"/>
      <c r="AU8" s="39"/>
      <c r="AV8" s="49"/>
      <c r="AW8" s="39"/>
      <c r="AX8" s="39">
        <v>10</v>
      </c>
      <c r="AY8" s="30">
        <v>157526.6</v>
      </c>
      <c r="AZ8" s="42" t="s">
        <v>434</v>
      </c>
    </row>
    <row r="9" spans="1:52" ht="58.5" customHeight="1" x14ac:dyDescent="0.25">
      <c r="A9" s="46" t="s">
        <v>1498</v>
      </c>
      <c r="B9" s="48">
        <v>45289</v>
      </c>
      <c r="C9" s="42">
        <v>1688</v>
      </c>
      <c r="D9" s="37" t="s">
        <v>434</v>
      </c>
      <c r="E9" s="41" t="s">
        <v>1499</v>
      </c>
      <c r="F9" s="38" t="s">
        <v>434</v>
      </c>
      <c r="G9" s="39" t="s">
        <v>434</v>
      </c>
      <c r="H9" s="42" t="s">
        <v>434</v>
      </c>
      <c r="I9" s="42" t="s">
        <v>1500</v>
      </c>
      <c r="J9" s="56">
        <v>9131068.6500000004</v>
      </c>
      <c r="K9" s="56">
        <v>9131068.6500000004</v>
      </c>
      <c r="L9" s="56">
        <v>0</v>
      </c>
      <c r="M9" s="56">
        <v>0</v>
      </c>
      <c r="N9" s="44">
        <v>100</v>
      </c>
      <c r="O9" s="45">
        <v>9131068.6500000004</v>
      </c>
      <c r="P9" s="43"/>
      <c r="Q9" s="45">
        <v>9131068.6500000004</v>
      </c>
      <c r="R9" s="43">
        <v>0</v>
      </c>
      <c r="S9" s="30">
        <v>0</v>
      </c>
      <c r="T9" s="30">
        <v>0</v>
      </c>
      <c r="U9" s="30" t="e">
        <v>#DIV/0!</v>
      </c>
      <c r="V9" s="43" t="e">
        <v>#DIV/0!</v>
      </c>
      <c r="W9" s="43" t="e">
        <v>#DIV/0!</v>
      </c>
      <c r="X9" s="43">
        <v>0</v>
      </c>
      <c r="Y9" s="43">
        <v>0</v>
      </c>
      <c r="Z9" s="43">
        <v>0</v>
      </c>
      <c r="AA9" s="43">
        <v>0</v>
      </c>
      <c r="AB9" s="43"/>
      <c r="AC9" s="43" t="e">
        <v>#DIV/0!</v>
      </c>
      <c r="AD9" s="43"/>
      <c r="AE9" s="43" t="e">
        <v>#DIV/0!</v>
      </c>
      <c r="AF9" s="43" t="e">
        <v>#DIV/0!</v>
      </c>
      <c r="AG9" s="43" t="e">
        <v>#DIV/0!</v>
      </c>
      <c r="AH9" s="38">
        <v>45337</v>
      </c>
      <c r="AI9" s="38"/>
      <c r="AJ9" s="38"/>
      <c r="AK9" s="38"/>
      <c r="AL9" s="38"/>
      <c r="AM9" s="48"/>
      <c r="AN9" s="42"/>
      <c r="AO9" s="42"/>
      <c r="AP9" s="42"/>
      <c r="AQ9" s="42"/>
      <c r="AR9" s="42"/>
      <c r="AS9" s="50"/>
      <c r="AT9" s="39"/>
      <c r="AU9" s="39"/>
      <c r="AV9" s="49"/>
      <c r="AW9" s="39"/>
      <c r="AX9" s="39">
        <v>10</v>
      </c>
      <c r="AY9" s="30">
        <v>913106.86499999999</v>
      </c>
      <c r="AZ9" s="42" t="s">
        <v>434</v>
      </c>
    </row>
    <row r="10" spans="1:52" ht="58.5" customHeight="1" x14ac:dyDescent="0.25">
      <c r="A10" s="46" t="s">
        <v>1501</v>
      </c>
      <c r="B10" s="48">
        <v>45289</v>
      </c>
      <c r="C10" s="42">
        <v>1688</v>
      </c>
      <c r="D10" s="37" t="s">
        <v>434</v>
      </c>
      <c r="E10" s="41" t="s">
        <v>1502</v>
      </c>
      <c r="F10" s="38" t="s">
        <v>434</v>
      </c>
      <c r="G10" s="39" t="s">
        <v>434</v>
      </c>
      <c r="H10" s="42" t="s">
        <v>434</v>
      </c>
      <c r="I10" s="42" t="s">
        <v>1503</v>
      </c>
      <c r="J10" s="56">
        <v>5736354</v>
      </c>
      <c r="K10" s="56">
        <v>5736354</v>
      </c>
      <c r="L10" s="56">
        <v>0</v>
      </c>
      <c r="M10" s="56">
        <v>0</v>
      </c>
      <c r="N10" s="44">
        <v>100</v>
      </c>
      <c r="O10" s="45">
        <v>5736354</v>
      </c>
      <c r="P10" s="43"/>
      <c r="Q10" s="45">
        <v>5736354</v>
      </c>
      <c r="R10" s="43">
        <v>0</v>
      </c>
      <c r="S10" s="30">
        <v>0</v>
      </c>
      <c r="T10" s="30">
        <v>0</v>
      </c>
      <c r="U10" s="30" t="e">
        <v>#DIV/0!</v>
      </c>
      <c r="V10" s="43" t="e">
        <v>#DIV/0!</v>
      </c>
      <c r="W10" s="43" t="e">
        <v>#DIV/0!</v>
      </c>
      <c r="X10" s="43">
        <v>0</v>
      </c>
      <c r="Y10" s="43">
        <v>0</v>
      </c>
      <c r="Z10" s="43">
        <v>0</v>
      </c>
      <c r="AA10" s="43">
        <v>0</v>
      </c>
      <c r="AB10" s="43"/>
      <c r="AC10" s="43" t="e">
        <v>#DIV/0!</v>
      </c>
      <c r="AD10" s="43"/>
      <c r="AE10" s="43" t="e">
        <v>#DIV/0!</v>
      </c>
      <c r="AF10" s="43" t="e">
        <v>#DIV/0!</v>
      </c>
      <c r="AG10" s="43" t="e">
        <v>#DIV/0!</v>
      </c>
      <c r="AH10" s="38">
        <v>45337</v>
      </c>
      <c r="AI10" s="38"/>
      <c r="AJ10" s="38"/>
      <c r="AK10" s="38"/>
      <c r="AL10" s="38"/>
      <c r="AM10" s="48"/>
      <c r="AN10" s="42"/>
      <c r="AO10" s="42"/>
      <c r="AP10" s="42"/>
      <c r="AQ10" s="42"/>
      <c r="AR10" s="42"/>
      <c r="AS10" s="50"/>
      <c r="AT10" s="39"/>
      <c r="AU10" s="39"/>
      <c r="AV10" s="49"/>
      <c r="AW10" s="39"/>
      <c r="AX10" s="39">
        <v>10</v>
      </c>
      <c r="AY10" s="30">
        <v>573635.4</v>
      </c>
      <c r="AZ10" s="42" t="s">
        <v>434</v>
      </c>
    </row>
    <row r="11" spans="1:52" ht="58.5" customHeight="1" x14ac:dyDescent="0.25">
      <c r="A11" s="46" t="s">
        <v>1504</v>
      </c>
      <c r="B11" s="48">
        <v>45289</v>
      </c>
      <c r="C11" s="42">
        <v>1688</v>
      </c>
      <c r="D11" s="37" t="s">
        <v>434</v>
      </c>
      <c r="E11" s="41" t="s">
        <v>1505</v>
      </c>
      <c r="F11" s="38" t="s">
        <v>434</v>
      </c>
      <c r="G11" s="39" t="s">
        <v>434</v>
      </c>
      <c r="H11" s="42" t="s">
        <v>434</v>
      </c>
      <c r="I11" s="42" t="s">
        <v>1506</v>
      </c>
      <c r="J11" s="56">
        <v>48510</v>
      </c>
      <c r="K11" s="56">
        <v>48510</v>
      </c>
      <c r="L11" s="56">
        <v>0</v>
      </c>
      <c r="M11" s="56">
        <v>0</v>
      </c>
      <c r="N11" s="44">
        <v>100</v>
      </c>
      <c r="O11" s="45">
        <v>48510</v>
      </c>
      <c r="P11" s="43"/>
      <c r="Q11" s="45">
        <v>48510</v>
      </c>
      <c r="R11" s="43">
        <v>0</v>
      </c>
      <c r="S11" s="30">
        <v>0</v>
      </c>
      <c r="T11" s="30">
        <v>0</v>
      </c>
      <c r="U11" s="30" t="e">
        <v>#DIV/0!</v>
      </c>
      <c r="V11" s="43" t="e">
        <v>#DIV/0!</v>
      </c>
      <c r="W11" s="43" t="e">
        <v>#DIV/0!</v>
      </c>
      <c r="X11" s="43">
        <v>0</v>
      </c>
      <c r="Y11" s="43">
        <v>0</v>
      </c>
      <c r="Z11" s="43">
        <v>0</v>
      </c>
      <c r="AA11" s="43">
        <v>0</v>
      </c>
      <c r="AB11" s="43"/>
      <c r="AC11" s="43" t="e">
        <v>#DIV/0!</v>
      </c>
      <c r="AD11" s="43"/>
      <c r="AE11" s="43" t="e">
        <v>#DIV/0!</v>
      </c>
      <c r="AF11" s="43" t="e">
        <v>#DIV/0!</v>
      </c>
      <c r="AG11" s="43" t="e">
        <v>#DIV/0!</v>
      </c>
      <c r="AH11" s="38">
        <v>45337</v>
      </c>
      <c r="AI11" s="38"/>
      <c r="AJ11" s="38"/>
      <c r="AK11" s="38"/>
      <c r="AL11" s="38"/>
      <c r="AM11" s="48"/>
      <c r="AN11" s="42"/>
      <c r="AO11" s="42"/>
      <c r="AP11" s="42"/>
      <c r="AQ11" s="42"/>
      <c r="AR11" s="42"/>
      <c r="AS11" s="50"/>
      <c r="AT11" s="39"/>
      <c r="AU11" s="39"/>
      <c r="AV11" s="49"/>
      <c r="AW11" s="39"/>
      <c r="AX11" s="39">
        <v>10</v>
      </c>
      <c r="AY11" s="30">
        <v>4851</v>
      </c>
      <c r="AZ11" s="42" t="s">
        <v>434</v>
      </c>
    </row>
    <row r="12" spans="1:52" ht="58.5" customHeight="1" x14ac:dyDescent="0.25">
      <c r="A12" s="46" t="s">
        <v>1507</v>
      </c>
      <c r="B12" s="48">
        <v>45289</v>
      </c>
      <c r="C12" s="42">
        <v>1688</v>
      </c>
      <c r="D12" s="37" t="s">
        <v>434</v>
      </c>
      <c r="E12" s="41" t="s">
        <v>1508</v>
      </c>
      <c r="F12" s="38" t="s">
        <v>434</v>
      </c>
      <c r="G12" s="39" t="s">
        <v>434</v>
      </c>
      <c r="H12" s="42" t="s">
        <v>434</v>
      </c>
      <c r="I12" s="42" t="s">
        <v>1509</v>
      </c>
      <c r="J12" s="56">
        <v>2140185.6000000001</v>
      </c>
      <c r="K12" s="56">
        <v>2140185.6000000001</v>
      </c>
      <c r="L12" s="56">
        <v>0</v>
      </c>
      <c r="M12" s="56">
        <v>0</v>
      </c>
      <c r="N12" s="44">
        <v>100</v>
      </c>
      <c r="O12" s="45">
        <v>2140185.6000000001</v>
      </c>
      <c r="P12" s="43"/>
      <c r="Q12" s="45">
        <v>2140185.6000000001</v>
      </c>
      <c r="R12" s="43">
        <v>0</v>
      </c>
      <c r="S12" s="30">
        <v>0</v>
      </c>
      <c r="T12" s="30">
        <v>0</v>
      </c>
      <c r="U12" s="30" t="e">
        <v>#DIV/0!</v>
      </c>
      <c r="V12" s="43" t="e">
        <v>#DIV/0!</v>
      </c>
      <c r="W12" s="43" t="e">
        <v>#DIV/0!</v>
      </c>
      <c r="X12" s="43">
        <v>0</v>
      </c>
      <c r="Y12" s="43">
        <v>0</v>
      </c>
      <c r="Z12" s="43">
        <v>0</v>
      </c>
      <c r="AA12" s="43">
        <v>0</v>
      </c>
      <c r="AB12" s="43"/>
      <c r="AC12" s="43" t="e">
        <v>#DIV/0!</v>
      </c>
      <c r="AD12" s="43"/>
      <c r="AE12" s="43" t="e">
        <v>#DIV/0!</v>
      </c>
      <c r="AF12" s="43" t="e">
        <v>#DIV/0!</v>
      </c>
      <c r="AG12" s="43" t="e">
        <v>#DIV/0!</v>
      </c>
      <c r="AH12" s="38">
        <v>45337</v>
      </c>
      <c r="AI12" s="38"/>
      <c r="AJ12" s="38"/>
      <c r="AK12" s="38"/>
      <c r="AL12" s="38"/>
      <c r="AM12" s="48"/>
      <c r="AN12" s="42"/>
      <c r="AO12" s="42"/>
      <c r="AP12" s="42"/>
      <c r="AQ12" s="42"/>
      <c r="AR12" s="42"/>
      <c r="AS12" s="50"/>
      <c r="AT12" s="39"/>
      <c r="AU12" s="39"/>
      <c r="AV12" s="49"/>
      <c r="AW12" s="39"/>
      <c r="AX12" s="39">
        <v>10</v>
      </c>
      <c r="AY12" s="30">
        <v>214018.56</v>
      </c>
      <c r="AZ12" s="42" t="s">
        <v>434</v>
      </c>
    </row>
    <row r="13" spans="1:52" ht="58.5" customHeight="1" x14ac:dyDescent="0.25">
      <c r="A13" s="46" t="s">
        <v>1510</v>
      </c>
      <c r="B13" s="48">
        <v>45289</v>
      </c>
      <c r="C13" s="42">
        <v>1688</v>
      </c>
      <c r="D13" s="37" t="s">
        <v>434</v>
      </c>
      <c r="E13" s="41" t="s">
        <v>1511</v>
      </c>
      <c r="F13" s="38" t="s">
        <v>434</v>
      </c>
      <c r="G13" s="39" t="s">
        <v>434</v>
      </c>
      <c r="H13" s="42" t="s">
        <v>434</v>
      </c>
      <c r="I13" s="42" t="s">
        <v>1512</v>
      </c>
      <c r="J13" s="56">
        <v>17084253.760000002</v>
      </c>
      <c r="K13" s="56">
        <v>17084253.760000002</v>
      </c>
      <c r="L13" s="56">
        <v>0</v>
      </c>
      <c r="M13" s="56">
        <v>0</v>
      </c>
      <c r="N13" s="44">
        <v>100</v>
      </c>
      <c r="O13" s="45">
        <v>17084253.760000002</v>
      </c>
      <c r="P13" s="43"/>
      <c r="Q13" s="45">
        <v>17084253.760000002</v>
      </c>
      <c r="R13" s="43">
        <v>0</v>
      </c>
      <c r="S13" s="30">
        <v>0</v>
      </c>
      <c r="T13" s="30">
        <v>0</v>
      </c>
      <c r="U13" s="30" t="e">
        <v>#DIV/0!</v>
      </c>
      <c r="V13" s="43" t="e">
        <v>#DIV/0!</v>
      </c>
      <c r="W13" s="43" t="e">
        <v>#DIV/0!</v>
      </c>
      <c r="X13" s="43">
        <v>0</v>
      </c>
      <c r="Y13" s="43">
        <v>0</v>
      </c>
      <c r="Z13" s="43">
        <v>0</v>
      </c>
      <c r="AA13" s="43">
        <v>0</v>
      </c>
      <c r="AB13" s="43"/>
      <c r="AC13" s="43" t="e">
        <v>#DIV/0!</v>
      </c>
      <c r="AD13" s="43"/>
      <c r="AE13" s="43" t="e">
        <v>#DIV/0!</v>
      </c>
      <c r="AF13" s="43" t="e">
        <v>#DIV/0!</v>
      </c>
      <c r="AG13" s="43" t="e">
        <v>#DIV/0!</v>
      </c>
      <c r="AH13" s="38">
        <v>45337</v>
      </c>
      <c r="AI13" s="38"/>
      <c r="AJ13" s="38"/>
      <c r="AK13" s="38"/>
      <c r="AL13" s="38"/>
      <c r="AM13" s="48"/>
      <c r="AN13" s="42"/>
      <c r="AO13" s="42"/>
      <c r="AP13" s="42"/>
      <c r="AQ13" s="42"/>
      <c r="AR13" s="42"/>
      <c r="AS13" s="50"/>
      <c r="AT13" s="39"/>
      <c r="AU13" s="39"/>
      <c r="AV13" s="49"/>
      <c r="AW13" s="39"/>
      <c r="AX13" s="39">
        <v>10</v>
      </c>
      <c r="AY13" s="30">
        <v>1708425.3760000002</v>
      </c>
      <c r="AZ13" s="42" t="s">
        <v>434</v>
      </c>
    </row>
    <row r="14" spans="1:52" ht="48.75" customHeight="1" x14ac:dyDescent="0.25">
      <c r="A14" s="61" t="s">
        <v>1726</v>
      </c>
      <c r="B14" s="62">
        <v>45316</v>
      </c>
      <c r="C14" s="42">
        <v>1688</v>
      </c>
      <c r="D14" s="37" t="s">
        <v>1727</v>
      </c>
      <c r="E14" s="41" t="s">
        <v>1728</v>
      </c>
      <c r="F14" s="38">
        <v>45336</v>
      </c>
      <c r="G14" s="39" t="s">
        <v>1729</v>
      </c>
      <c r="H14" s="42" t="s">
        <v>205</v>
      </c>
      <c r="I14" s="42" t="s">
        <v>1730</v>
      </c>
      <c r="J14" s="63">
        <v>63865214.5</v>
      </c>
      <c r="K14" s="43">
        <v>0</v>
      </c>
      <c r="L14" s="56">
        <v>0</v>
      </c>
      <c r="M14" s="56">
        <v>0</v>
      </c>
      <c r="N14" s="44">
        <v>0</v>
      </c>
      <c r="O14" s="45">
        <v>0</v>
      </c>
      <c r="P14" s="43">
        <v>63865214.5</v>
      </c>
      <c r="Q14" s="45">
        <v>0</v>
      </c>
      <c r="R14" s="43">
        <v>63865214.5</v>
      </c>
      <c r="S14" s="30">
        <v>63865214.5</v>
      </c>
      <c r="T14" s="30">
        <v>63865214.5</v>
      </c>
      <c r="U14" s="30">
        <v>77.95</v>
      </c>
      <c r="V14" s="43">
        <v>77.95</v>
      </c>
      <c r="W14" s="43">
        <v>779.5</v>
      </c>
      <c r="X14" s="43">
        <v>819310</v>
      </c>
      <c r="Y14" s="43">
        <v>819310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81931</v>
      </c>
      <c r="AG14" s="43">
        <v>81931</v>
      </c>
      <c r="AH14" s="38">
        <v>45366</v>
      </c>
      <c r="AI14" s="38"/>
      <c r="AJ14" s="38"/>
      <c r="AK14" s="38">
        <v>45397</v>
      </c>
      <c r="AL14" s="38"/>
      <c r="AM14" s="48"/>
      <c r="AN14" s="42"/>
      <c r="AO14" s="42" t="s">
        <v>1731</v>
      </c>
      <c r="AP14" s="42" t="s">
        <v>1732</v>
      </c>
      <c r="AQ14" s="42" t="s">
        <v>1733</v>
      </c>
      <c r="AR14" s="42" t="s">
        <v>82</v>
      </c>
      <c r="AS14" s="50">
        <v>100</v>
      </c>
      <c r="AT14" s="39">
        <v>0</v>
      </c>
      <c r="AU14" s="39" t="s">
        <v>316</v>
      </c>
      <c r="AV14" s="49">
        <v>10</v>
      </c>
      <c r="AW14" s="39" t="s">
        <v>62</v>
      </c>
      <c r="AX14" s="39">
        <v>10</v>
      </c>
      <c r="AY14" s="30">
        <v>6386521.4500000002</v>
      </c>
      <c r="AZ14" s="42" t="s">
        <v>405</v>
      </c>
    </row>
    <row r="15" spans="1:52" ht="48.75" customHeight="1" x14ac:dyDescent="0.25">
      <c r="A15" s="61" t="s">
        <v>1734</v>
      </c>
      <c r="B15" s="62">
        <v>45316</v>
      </c>
      <c r="C15" s="42">
        <v>1688</v>
      </c>
      <c r="D15" s="37" t="s">
        <v>1735</v>
      </c>
      <c r="E15" s="41" t="s">
        <v>1736</v>
      </c>
      <c r="F15" s="38">
        <v>45336</v>
      </c>
      <c r="G15" s="39" t="s">
        <v>1737</v>
      </c>
      <c r="H15" s="42" t="s">
        <v>205</v>
      </c>
      <c r="I15" s="42" t="s">
        <v>1738</v>
      </c>
      <c r="J15" s="63">
        <v>7597007</v>
      </c>
      <c r="K15" s="43">
        <v>0</v>
      </c>
      <c r="L15" s="56">
        <v>0</v>
      </c>
      <c r="M15" s="56">
        <v>0</v>
      </c>
      <c r="N15" s="44">
        <v>0</v>
      </c>
      <c r="O15" s="45">
        <v>0</v>
      </c>
      <c r="P15" s="43">
        <v>7597007</v>
      </c>
      <c r="Q15" s="45">
        <v>0</v>
      </c>
      <c r="R15" s="43">
        <v>7597007</v>
      </c>
      <c r="S15" s="30">
        <v>7597007</v>
      </c>
      <c r="T15" s="30">
        <v>7597007</v>
      </c>
      <c r="U15" s="30">
        <v>77.95</v>
      </c>
      <c r="V15" s="43">
        <v>77.95</v>
      </c>
      <c r="W15" s="43">
        <v>779.5</v>
      </c>
      <c r="X15" s="43">
        <v>97460</v>
      </c>
      <c r="Y15" s="43">
        <v>97460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9746</v>
      </c>
      <c r="AG15" s="43">
        <v>9746</v>
      </c>
      <c r="AH15" s="38">
        <v>45366</v>
      </c>
      <c r="AI15" s="38"/>
      <c r="AJ15" s="38"/>
      <c r="AK15" s="38">
        <v>45397</v>
      </c>
      <c r="AL15" s="38"/>
      <c r="AM15" s="48"/>
      <c r="AN15" s="42"/>
      <c r="AO15" s="42" t="s">
        <v>1731</v>
      </c>
      <c r="AP15" s="42" t="s">
        <v>1732</v>
      </c>
      <c r="AQ15" s="42" t="s">
        <v>1733</v>
      </c>
      <c r="AR15" s="42" t="s">
        <v>82</v>
      </c>
      <c r="AS15" s="50">
        <v>100</v>
      </c>
      <c r="AT15" s="39">
        <v>0</v>
      </c>
      <c r="AU15" s="39" t="s">
        <v>316</v>
      </c>
      <c r="AV15" s="49">
        <v>10</v>
      </c>
      <c r="AW15" s="39" t="s">
        <v>221</v>
      </c>
      <c r="AX15" s="39">
        <v>10</v>
      </c>
      <c r="AY15" s="30">
        <v>759700.7</v>
      </c>
      <c r="AZ15" s="42" t="s">
        <v>405</v>
      </c>
    </row>
    <row r="16" spans="1:52" ht="48.75" customHeight="1" x14ac:dyDescent="0.25">
      <c r="A16" s="61" t="s">
        <v>1739</v>
      </c>
      <c r="B16" s="62">
        <v>45316</v>
      </c>
      <c r="C16" s="42">
        <v>1688</v>
      </c>
      <c r="D16" s="37" t="s">
        <v>1740</v>
      </c>
      <c r="E16" s="41" t="s">
        <v>1741</v>
      </c>
      <c r="F16" s="38">
        <v>45336</v>
      </c>
      <c r="G16" s="39" t="s">
        <v>1742</v>
      </c>
      <c r="H16" s="42" t="s">
        <v>205</v>
      </c>
      <c r="I16" s="42" t="s">
        <v>1743</v>
      </c>
      <c r="J16" s="63">
        <v>51128223.299999997</v>
      </c>
      <c r="K16" s="43">
        <v>0</v>
      </c>
      <c r="L16" s="56">
        <v>0</v>
      </c>
      <c r="M16" s="56">
        <v>0</v>
      </c>
      <c r="N16" s="44">
        <v>0</v>
      </c>
      <c r="O16" s="45">
        <v>0</v>
      </c>
      <c r="P16" s="63">
        <v>51128223.299999997</v>
      </c>
      <c r="Q16" s="45">
        <v>0</v>
      </c>
      <c r="R16" s="63">
        <v>51128223.299999997</v>
      </c>
      <c r="S16" s="30">
        <v>51128223.299999997</v>
      </c>
      <c r="T16" s="30">
        <v>51128223.299999997</v>
      </c>
      <c r="U16" s="30">
        <v>86.899999999999991</v>
      </c>
      <c r="V16" s="43">
        <v>86.899999999999991</v>
      </c>
      <c r="W16" s="43">
        <v>868.99999999999989</v>
      </c>
      <c r="X16" s="43">
        <v>588357</v>
      </c>
      <c r="Y16" s="43">
        <v>588357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58835.7</v>
      </c>
      <c r="AG16" s="43">
        <v>58836</v>
      </c>
      <c r="AH16" s="38">
        <v>45366</v>
      </c>
      <c r="AI16" s="38"/>
      <c r="AJ16" s="38"/>
      <c r="AK16" s="38">
        <v>45397</v>
      </c>
      <c r="AL16" s="38"/>
      <c r="AM16" s="48"/>
      <c r="AN16" s="42"/>
      <c r="AO16" s="42" t="s">
        <v>1731</v>
      </c>
      <c r="AP16" s="42" t="s">
        <v>1744</v>
      </c>
      <c r="AQ16" s="42" t="s">
        <v>1733</v>
      </c>
      <c r="AR16" s="42" t="s">
        <v>82</v>
      </c>
      <c r="AS16" s="50">
        <v>100</v>
      </c>
      <c r="AT16" s="39">
        <v>0</v>
      </c>
      <c r="AU16" s="39" t="s">
        <v>316</v>
      </c>
      <c r="AV16" s="49">
        <v>10</v>
      </c>
      <c r="AW16" s="39" t="s">
        <v>62</v>
      </c>
      <c r="AX16" s="39">
        <v>10</v>
      </c>
      <c r="AY16" s="30">
        <v>5112822.33</v>
      </c>
      <c r="AZ16" s="42" t="s">
        <v>405</v>
      </c>
    </row>
    <row r="17" spans="1:52" ht="48.75" customHeight="1" x14ac:dyDescent="0.25">
      <c r="A17" s="61" t="s">
        <v>1748</v>
      </c>
      <c r="B17" s="62">
        <v>45317</v>
      </c>
      <c r="C17" s="42">
        <v>1688</v>
      </c>
      <c r="D17" s="37" t="s">
        <v>1749</v>
      </c>
      <c r="E17" s="41" t="s">
        <v>1750</v>
      </c>
      <c r="F17" s="38">
        <v>45341</v>
      </c>
      <c r="G17" s="39" t="s">
        <v>1751</v>
      </c>
      <c r="H17" s="42" t="s">
        <v>1752</v>
      </c>
      <c r="I17" s="42" t="s">
        <v>1753</v>
      </c>
      <c r="J17" s="63">
        <v>30678726</v>
      </c>
      <c r="K17" s="43">
        <v>0</v>
      </c>
      <c r="L17" s="56">
        <v>0</v>
      </c>
      <c r="M17" s="56">
        <v>0</v>
      </c>
      <c r="N17" s="44">
        <v>0</v>
      </c>
      <c r="O17" s="45">
        <v>0</v>
      </c>
      <c r="P17" s="43">
        <v>30678726</v>
      </c>
      <c r="Q17" s="45">
        <v>0</v>
      </c>
      <c r="R17" s="43">
        <v>30678726</v>
      </c>
      <c r="S17" s="30">
        <v>30678726</v>
      </c>
      <c r="T17" s="30">
        <v>30678726</v>
      </c>
      <c r="U17" s="30">
        <v>15.67</v>
      </c>
      <c r="V17" s="43">
        <v>15.67</v>
      </c>
      <c r="W17" s="43">
        <v>1567</v>
      </c>
      <c r="X17" s="43">
        <v>1957800</v>
      </c>
      <c r="Y17" s="43">
        <v>1957800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19578</v>
      </c>
      <c r="AG17" s="43">
        <v>19578</v>
      </c>
      <c r="AH17" s="38">
        <v>45366</v>
      </c>
      <c r="AI17" s="38"/>
      <c r="AJ17" s="38"/>
      <c r="AK17" s="38">
        <v>45397</v>
      </c>
      <c r="AL17" s="38"/>
      <c r="AM17" s="48"/>
      <c r="AN17" s="42"/>
      <c r="AO17" s="42" t="s">
        <v>1754</v>
      </c>
      <c r="AP17" s="42" t="s">
        <v>1754</v>
      </c>
      <c r="AQ17" s="42" t="s">
        <v>1755</v>
      </c>
      <c r="AR17" s="42" t="s">
        <v>82</v>
      </c>
      <c r="AS17" s="50">
        <v>100</v>
      </c>
      <c r="AT17" s="39">
        <v>0</v>
      </c>
      <c r="AU17" s="39" t="s">
        <v>316</v>
      </c>
      <c r="AV17" s="49">
        <v>100</v>
      </c>
      <c r="AW17" s="39" t="s">
        <v>62</v>
      </c>
      <c r="AX17" s="39">
        <v>10</v>
      </c>
      <c r="AY17" s="30">
        <v>3067872.6</v>
      </c>
      <c r="AZ17" s="42" t="s">
        <v>405</v>
      </c>
    </row>
    <row r="18" spans="1:52" ht="48.75" customHeight="1" x14ac:dyDescent="0.25">
      <c r="A18" s="61" t="s">
        <v>1756</v>
      </c>
      <c r="B18" s="62">
        <v>45317</v>
      </c>
      <c r="C18" s="42">
        <v>1688</v>
      </c>
      <c r="D18" s="37" t="s">
        <v>1757</v>
      </c>
      <c r="E18" s="41" t="s">
        <v>1758</v>
      </c>
      <c r="F18" s="38">
        <v>45341</v>
      </c>
      <c r="G18" s="39" t="s">
        <v>1759</v>
      </c>
      <c r="H18" s="42" t="s">
        <v>1752</v>
      </c>
      <c r="I18" s="42" t="s">
        <v>1500</v>
      </c>
      <c r="J18" s="63">
        <v>48654579.509999998</v>
      </c>
      <c r="K18" s="43">
        <v>0</v>
      </c>
      <c r="L18" s="56">
        <v>0</v>
      </c>
      <c r="M18" s="56">
        <v>0</v>
      </c>
      <c r="N18" s="44">
        <v>0</v>
      </c>
      <c r="O18" s="45">
        <v>0</v>
      </c>
      <c r="P18" s="43">
        <v>48654579.509999998</v>
      </c>
      <c r="Q18" s="45">
        <v>0</v>
      </c>
      <c r="R18" s="43">
        <v>48654579.509999998</v>
      </c>
      <c r="S18" s="30">
        <v>48654579.509999998</v>
      </c>
      <c r="T18" s="30">
        <v>48654579.509999998</v>
      </c>
      <c r="U18" s="30">
        <v>178.76999999999998</v>
      </c>
      <c r="V18" s="43">
        <v>178.76999999999998</v>
      </c>
      <c r="W18" s="43">
        <v>1787.6999999999998</v>
      </c>
      <c r="X18" s="43">
        <v>272163</v>
      </c>
      <c r="Y18" s="43">
        <v>272163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27216.3</v>
      </c>
      <c r="AG18" s="43">
        <v>27217</v>
      </c>
      <c r="AH18" s="38">
        <v>45383</v>
      </c>
      <c r="AI18" s="38"/>
      <c r="AJ18" s="38"/>
      <c r="AK18" s="38">
        <v>45413</v>
      </c>
      <c r="AL18" s="38"/>
      <c r="AM18" s="48"/>
      <c r="AN18" s="42"/>
      <c r="AO18" s="42" t="s">
        <v>1760</v>
      </c>
      <c r="AP18" s="42" t="s">
        <v>1761</v>
      </c>
      <c r="AQ18" s="42" t="s">
        <v>1762</v>
      </c>
      <c r="AR18" s="42" t="s">
        <v>82</v>
      </c>
      <c r="AS18" s="50">
        <v>100</v>
      </c>
      <c r="AT18" s="39">
        <v>0</v>
      </c>
      <c r="AU18" s="39" t="s">
        <v>316</v>
      </c>
      <c r="AV18" s="49">
        <v>10</v>
      </c>
      <c r="AW18" s="39" t="s">
        <v>62</v>
      </c>
      <c r="AX18" s="39">
        <v>10</v>
      </c>
      <c r="AY18" s="30">
        <v>4865457.9509999994</v>
      </c>
      <c r="AZ18" s="42" t="s">
        <v>405</v>
      </c>
    </row>
    <row r="19" spans="1:52" ht="48.75" customHeight="1" x14ac:dyDescent="0.25">
      <c r="A19" s="61" t="s">
        <v>1763</v>
      </c>
      <c r="B19" s="62">
        <v>45317</v>
      </c>
      <c r="C19" s="42">
        <v>1688</v>
      </c>
      <c r="D19" s="37" t="s">
        <v>1764</v>
      </c>
      <c r="E19" s="41" t="s">
        <v>1765</v>
      </c>
      <c r="F19" s="38">
        <v>45341</v>
      </c>
      <c r="G19" s="39" t="s">
        <v>1766</v>
      </c>
      <c r="H19" s="42" t="s">
        <v>1752</v>
      </c>
      <c r="I19" s="42" t="s">
        <v>1455</v>
      </c>
      <c r="J19" s="63">
        <v>9668054</v>
      </c>
      <c r="K19" s="43">
        <v>0</v>
      </c>
      <c r="L19" s="56">
        <v>0</v>
      </c>
      <c r="M19" s="56">
        <v>0</v>
      </c>
      <c r="N19" s="44">
        <v>0</v>
      </c>
      <c r="O19" s="45">
        <v>0</v>
      </c>
      <c r="P19" s="43">
        <v>9668054</v>
      </c>
      <c r="Q19" s="45">
        <v>0</v>
      </c>
      <c r="R19" s="43">
        <v>9668054</v>
      </c>
      <c r="S19" s="30">
        <v>9668054</v>
      </c>
      <c r="T19" s="30">
        <v>9668054</v>
      </c>
      <c r="U19" s="30">
        <v>24.86</v>
      </c>
      <c r="V19" s="43">
        <v>24.86</v>
      </c>
      <c r="W19" s="43">
        <v>1243</v>
      </c>
      <c r="X19" s="43">
        <v>388900</v>
      </c>
      <c r="Y19" s="43">
        <v>210000</v>
      </c>
      <c r="Z19" s="43">
        <v>178900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7778</v>
      </c>
      <c r="AG19" s="43">
        <v>7778</v>
      </c>
      <c r="AH19" s="38">
        <v>45366</v>
      </c>
      <c r="AI19" s="38">
        <v>45504</v>
      </c>
      <c r="AJ19" s="38"/>
      <c r="AK19" s="38">
        <v>45397</v>
      </c>
      <c r="AL19" s="38">
        <v>45536</v>
      </c>
      <c r="AM19" s="48"/>
      <c r="AN19" s="42"/>
      <c r="AO19" s="42" t="s">
        <v>1767</v>
      </c>
      <c r="AP19" s="42" t="s">
        <v>1768</v>
      </c>
      <c r="AQ19" s="42" t="s">
        <v>1769</v>
      </c>
      <c r="AR19" s="42" t="s">
        <v>82</v>
      </c>
      <c r="AS19" s="50">
        <v>100</v>
      </c>
      <c r="AT19" s="39">
        <v>0</v>
      </c>
      <c r="AU19" s="39" t="s">
        <v>316</v>
      </c>
      <c r="AV19" s="49">
        <v>50</v>
      </c>
      <c r="AW19" s="39" t="s">
        <v>221</v>
      </c>
      <c r="AX19" s="39">
        <v>10</v>
      </c>
      <c r="AY19" s="30">
        <v>966805.4</v>
      </c>
      <c r="AZ19" s="42" t="s">
        <v>405</v>
      </c>
    </row>
    <row r="20" spans="1:52" ht="48.75" customHeight="1" x14ac:dyDescent="0.25">
      <c r="A20" s="61" t="s">
        <v>1770</v>
      </c>
      <c r="B20" s="62">
        <v>45317</v>
      </c>
      <c r="C20" s="42">
        <v>1688</v>
      </c>
      <c r="D20" s="37" t="s">
        <v>1771</v>
      </c>
      <c r="E20" s="41" t="s">
        <v>1772</v>
      </c>
      <c r="F20" s="38">
        <v>45341</v>
      </c>
      <c r="G20" s="39" t="s">
        <v>1773</v>
      </c>
      <c r="H20" s="42" t="s">
        <v>1752</v>
      </c>
      <c r="I20" s="42" t="s">
        <v>1774</v>
      </c>
      <c r="J20" s="63">
        <v>395783.6</v>
      </c>
      <c r="K20" s="43">
        <v>0</v>
      </c>
      <c r="L20" s="56">
        <v>0</v>
      </c>
      <c r="M20" s="56">
        <v>0</v>
      </c>
      <c r="N20" s="44">
        <v>0</v>
      </c>
      <c r="O20" s="45">
        <v>0</v>
      </c>
      <c r="P20" s="43">
        <v>395783.6</v>
      </c>
      <c r="Q20" s="45">
        <v>0</v>
      </c>
      <c r="R20" s="43">
        <v>395783.6</v>
      </c>
      <c r="S20" s="30">
        <v>395783.6</v>
      </c>
      <c r="T20" s="30">
        <v>395783.6</v>
      </c>
      <c r="U20" s="30">
        <v>28.24</v>
      </c>
      <c r="V20" s="43">
        <v>28.24</v>
      </c>
      <c r="W20" s="43">
        <v>564.79999999999995</v>
      </c>
      <c r="X20" s="43">
        <v>14015</v>
      </c>
      <c r="Y20" s="43">
        <v>14015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700.75</v>
      </c>
      <c r="AG20" s="43">
        <v>701</v>
      </c>
      <c r="AH20" s="38">
        <v>45437</v>
      </c>
      <c r="AI20" s="38"/>
      <c r="AJ20" s="38"/>
      <c r="AK20" s="38">
        <v>45468</v>
      </c>
      <c r="AL20" s="38"/>
      <c r="AM20" s="48"/>
      <c r="AN20" s="42"/>
      <c r="AO20" s="42" t="s">
        <v>1775</v>
      </c>
      <c r="AP20" s="42" t="s">
        <v>1776</v>
      </c>
      <c r="AQ20" s="42" t="s">
        <v>1777</v>
      </c>
      <c r="AR20" s="42" t="s">
        <v>82</v>
      </c>
      <c r="AS20" s="50">
        <v>100</v>
      </c>
      <c r="AT20" s="39">
        <v>0</v>
      </c>
      <c r="AU20" s="39" t="s">
        <v>316</v>
      </c>
      <c r="AV20" s="49">
        <v>20</v>
      </c>
      <c r="AW20" s="39" t="s">
        <v>221</v>
      </c>
      <c r="AX20" s="39">
        <v>10</v>
      </c>
      <c r="AY20" s="30">
        <v>39578.36</v>
      </c>
      <c r="AZ20" s="42" t="s">
        <v>405</v>
      </c>
    </row>
    <row r="21" spans="1:52" ht="48.75" customHeight="1" x14ac:dyDescent="0.25">
      <c r="A21" s="61" t="s">
        <v>1778</v>
      </c>
      <c r="B21" s="62">
        <v>45317</v>
      </c>
      <c r="C21" s="42">
        <v>1688</v>
      </c>
      <c r="D21" s="37" t="s">
        <v>1779</v>
      </c>
      <c r="E21" s="41" t="s">
        <v>1780</v>
      </c>
      <c r="F21" s="38">
        <v>45341</v>
      </c>
      <c r="G21" s="39" t="s">
        <v>1781</v>
      </c>
      <c r="H21" s="42" t="s">
        <v>1752</v>
      </c>
      <c r="I21" s="42" t="s">
        <v>1491</v>
      </c>
      <c r="J21" s="63">
        <v>58226215.799999997</v>
      </c>
      <c r="K21" s="43">
        <v>0</v>
      </c>
      <c r="L21" s="56">
        <v>0</v>
      </c>
      <c r="M21" s="56">
        <v>0</v>
      </c>
      <c r="N21" s="44">
        <v>0</v>
      </c>
      <c r="O21" s="45">
        <v>0</v>
      </c>
      <c r="P21" s="43">
        <v>58226215.799999997</v>
      </c>
      <c r="Q21" s="45">
        <v>0</v>
      </c>
      <c r="R21" s="43">
        <v>58226215.799999997</v>
      </c>
      <c r="S21" s="30">
        <v>58226215.799999997</v>
      </c>
      <c r="T21" s="30">
        <v>58226215.799999997</v>
      </c>
      <c r="U21" s="30">
        <v>233.10999999999999</v>
      </c>
      <c r="V21" s="43">
        <v>233.10999999999999</v>
      </c>
      <c r="W21" s="43">
        <v>2331.1</v>
      </c>
      <c r="X21" s="43">
        <v>249780</v>
      </c>
      <c r="Y21" s="43">
        <v>249780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24978</v>
      </c>
      <c r="AG21" s="43">
        <v>24978</v>
      </c>
      <c r="AH21" s="38">
        <v>45621</v>
      </c>
      <c r="AI21" s="38"/>
      <c r="AJ21" s="38"/>
      <c r="AK21" s="38">
        <v>45649</v>
      </c>
      <c r="AL21" s="38"/>
      <c r="AM21" s="48"/>
      <c r="AN21" s="42"/>
      <c r="AO21" s="42" t="s">
        <v>1782</v>
      </c>
      <c r="AP21" s="42" t="s">
        <v>1783</v>
      </c>
      <c r="AQ21" s="42" t="s">
        <v>1784</v>
      </c>
      <c r="AR21" s="42" t="s">
        <v>82</v>
      </c>
      <c r="AS21" s="50">
        <v>100</v>
      </c>
      <c r="AT21" s="39">
        <v>0</v>
      </c>
      <c r="AU21" s="39" t="s">
        <v>316</v>
      </c>
      <c r="AV21" s="49">
        <v>10</v>
      </c>
      <c r="AW21" s="39" t="s">
        <v>62</v>
      </c>
      <c r="AX21" s="39">
        <v>10</v>
      </c>
      <c r="AY21" s="30">
        <v>5822621.5800000001</v>
      </c>
      <c r="AZ21" s="42" t="s">
        <v>405</v>
      </c>
    </row>
    <row r="22" spans="1:52" ht="48.75" customHeight="1" x14ac:dyDescent="0.25">
      <c r="A22" s="61" t="s">
        <v>1785</v>
      </c>
      <c r="B22" s="62">
        <v>45317</v>
      </c>
      <c r="C22" s="42">
        <v>1688</v>
      </c>
      <c r="D22" s="37" t="s">
        <v>1786</v>
      </c>
      <c r="E22" s="41" t="s">
        <v>1787</v>
      </c>
      <c r="F22" s="38">
        <v>45341</v>
      </c>
      <c r="G22" s="39" t="s">
        <v>1788</v>
      </c>
      <c r="H22" s="42" t="s">
        <v>1752</v>
      </c>
      <c r="I22" s="42" t="s">
        <v>1509</v>
      </c>
      <c r="J22" s="63">
        <v>14520564.800000001</v>
      </c>
      <c r="K22" s="43">
        <v>0</v>
      </c>
      <c r="L22" s="56">
        <v>0</v>
      </c>
      <c r="M22" s="56">
        <v>0</v>
      </c>
      <c r="N22" s="44">
        <v>0</v>
      </c>
      <c r="O22" s="45">
        <v>0</v>
      </c>
      <c r="P22" s="43">
        <v>14520564.800000001</v>
      </c>
      <c r="Q22" s="45">
        <v>0</v>
      </c>
      <c r="R22" s="43">
        <v>14520564.800000001</v>
      </c>
      <c r="S22" s="30">
        <v>14520564.800000001</v>
      </c>
      <c r="T22" s="30">
        <v>14520564.800000001</v>
      </c>
      <c r="U22" s="30">
        <v>68.39</v>
      </c>
      <c r="V22" s="43">
        <v>68.39</v>
      </c>
      <c r="W22" s="43">
        <v>1367.8</v>
      </c>
      <c r="X22" s="43">
        <v>212320</v>
      </c>
      <c r="Y22" s="43">
        <v>212320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10616</v>
      </c>
      <c r="AG22" s="43">
        <v>10616</v>
      </c>
      <c r="AH22" s="38">
        <v>45366</v>
      </c>
      <c r="AI22" s="38"/>
      <c r="AJ22" s="38"/>
      <c r="AK22" s="38">
        <v>45397</v>
      </c>
      <c r="AL22" s="38"/>
      <c r="AM22" s="48"/>
      <c r="AN22" s="42"/>
      <c r="AO22" s="42" t="s">
        <v>1789</v>
      </c>
      <c r="AP22" s="42" t="s">
        <v>1790</v>
      </c>
      <c r="AQ22" s="42" t="s">
        <v>1791</v>
      </c>
      <c r="AR22" s="42" t="s">
        <v>82</v>
      </c>
      <c r="AS22" s="50">
        <v>100</v>
      </c>
      <c r="AT22" s="39">
        <v>0</v>
      </c>
      <c r="AU22" s="39" t="s">
        <v>316</v>
      </c>
      <c r="AV22" s="49">
        <v>20</v>
      </c>
      <c r="AW22" s="39" t="s">
        <v>62</v>
      </c>
      <c r="AX22" s="39">
        <v>10</v>
      </c>
      <c r="AY22" s="30">
        <v>1452056.48</v>
      </c>
      <c r="AZ22" s="42" t="s">
        <v>405</v>
      </c>
    </row>
    <row r="23" spans="1:52" ht="48.75" customHeight="1" x14ac:dyDescent="0.25">
      <c r="A23" s="61" t="s">
        <v>1792</v>
      </c>
      <c r="B23" s="62">
        <v>45320</v>
      </c>
      <c r="C23" s="42">
        <v>1688</v>
      </c>
      <c r="D23" s="37"/>
      <c r="E23" s="41" t="s">
        <v>1793</v>
      </c>
      <c r="F23" s="38">
        <v>45343</v>
      </c>
      <c r="G23" s="39" t="s">
        <v>1794</v>
      </c>
      <c r="H23" s="42" t="s">
        <v>1795</v>
      </c>
      <c r="I23" s="42" t="s">
        <v>1796</v>
      </c>
      <c r="J23" s="63">
        <v>15481314</v>
      </c>
      <c r="K23" s="43">
        <v>0</v>
      </c>
      <c r="L23" s="56">
        <v>0</v>
      </c>
      <c r="M23" s="56">
        <v>0</v>
      </c>
      <c r="N23" s="44">
        <v>0</v>
      </c>
      <c r="O23" s="45">
        <v>0</v>
      </c>
      <c r="P23" s="63">
        <v>15481314</v>
      </c>
      <c r="Q23" s="45">
        <v>0</v>
      </c>
      <c r="R23" s="63">
        <v>15481314</v>
      </c>
      <c r="S23" s="30">
        <v>15481314</v>
      </c>
      <c r="T23" s="30">
        <v>15481314</v>
      </c>
      <c r="U23" s="30">
        <v>15.01</v>
      </c>
      <c r="V23" s="43">
        <v>15.01</v>
      </c>
      <c r="W23" s="43">
        <v>1501</v>
      </c>
      <c r="X23" s="43">
        <v>1031400</v>
      </c>
      <c r="Y23" s="43">
        <v>200000</v>
      </c>
      <c r="Z23" s="43">
        <v>831400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10314</v>
      </c>
      <c r="AG23" s="43">
        <v>10314</v>
      </c>
      <c r="AH23" s="38">
        <v>45366</v>
      </c>
      <c r="AI23" s="38">
        <v>45412</v>
      </c>
      <c r="AJ23" s="38"/>
      <c r="AK23" s="38">
        <v>45397</v>
      </c>
      <c r="AL23" s="38">
        <v>45444</v>
      </c>
      <c r="AM23" s="48"/>
      <c r="AN23" s="42"/>
      <c r="AO23" s="42" t="s">
        <v>1797</v>
      </c>
      <c r="AP23" s="42" t="s">
        <v>1798</v>
      </c>
      <c r="AQ23" s="42" t="s">
        <v>1799</v>
      </c>
      <c r="AR23" s="42" t="s">
        <v>82</v>
      </c>
      <c r="AS23" s="50">
        <v>100</v>
      </c>
      <c r="AT23" s="39">
        <v>0</v>
      </c>
      <c r="AU23" s="39" t="s">
        <v>316</v>
      </c>
      <c r="AV23" s="49">
        <v>100</v>
      </c>
      <c r="AW23" s="39" t="s">
        <v>62</v>
      </c>
      <c r="AX23" s="39">
        <v>10</v>
      </c>
      <c r="AY23" s="30">
        <v>1548131.4</v>
      </c>
      <c r="AZ23" s="42" t="s">
        <v>405</v>
      </c>
    </row>
    <row r="24" spans="1:52" ht="48.75" customHeight="1" x14ac:dyDescent="0.25">
      <c r="A24" s="61" t="s">
        <v>1807</v>
      </c>
      <c r="B24" s="62">
        <v>45320</v>
      </c>
      <c r="C24" s="42">
        <v>1688</v>
      </c>
      <c r="D24" s="37"/>
      <c r="E24" s="41" t="s">
        <v>1808</v>
      </c>
      <c r="F24" s="38">
        <v>45342</v>
      </c>
      <c r="G24" s="39" t="s">
        <v>1809</v>
      </c>
      <c r="H24" s="42" t="s">
        <v>1752</v>
      </c>
      <c r="I24" s="42" t="s">
        <v>1494</v>
      </c>
      <c r="J24" s="63">
        <v>14220438.699999999</v>
      </c>
      <c r="K24" s="43">
        <v>0</v>
      </c>
      <c r="L24" s="56">
        <v>0</v>
      </c>
      <c r="M24" s="56">
        <v>0</v>
      </c>
      <c r="N24" s="44">
        <v>0</v>
      </c>
      <c r="O24" s="45">
        <v>0</v>
      </c>
      <c r="P24" s="43">
        <v>14220438.699999999</v>
      </c>
      <c r="Q24" s="45">
        <v>0</v>
      </c>
      <c r="R24" s="43">
        <v>14220438.699999999</v>
      </c>
      <c r="S24" s="30">
        <v>14220438.699999999</v>
      </c>
      <c r="T24" s="30">
        <v>14220438.699999999</v>
      </c>
      <c r="U24" s="30">
        <v>36.79</v>
      </c>
      <c r="V24" s="43">
        <v>36.79</v>
      </c>
      <c r="W24" s="43">
        <v>735.8</v>
      </c>
      <c r="X24" s="43">
        <v>386530</v>
      </c>
      <c r="Y24" s="43">
        <v>386530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19326.5</v>
      </c>
      <c r="AG24" s="43">
        <v>19327</v>
      </c>
      <c r="AH24" s="38">
        <v>45366</v>
      </c>
      <c r="AI24" s="38"/>
      <c r="AJ24" s="38"/>
      <c r="AK24" s="38">
        <v>45397</v>
      </c>
      <c r="AL24" s="38"/>
      <c r="AM24" s="48"/>
      <c r="AN24" s="42"/>
      <c r="AO24" s="42" t="s">
        <v>1810</v>
      </c>
      <c r="AP24" s="42" t="s">
        <v>1811</v>
      </c>
      <c r="AQ24" s="42" t="s">
        <v>1812</v>
      </c>
      <c r="AR24" s="42" t="s">
        <v>82</v>
      </c>
      <c r="AS24" s="50">
        <v>100</v>
      </c>
      <c r="AT24" s="39">
        <v>0</v>
      </c>
      <c r="AU24" s="39" t="s">
        <v>316</v>
      </c>
      <c r="AV24" s="49">
        <v>20</v>
      </c>
      <c r="AW24" s="39" t="s">
        <v>62</v>
      </c>
      <c r="AX24" s="39">
        <v>10</v>
      </c>
      <c r="AY24" s="30">
        <v>1422043.87</v>
      </c>
      <c r="AZ24" s="42" t="s">
        <v>405</v>
      </c>
    </row>
    <row r="25" spans="1:52" ht="48.75" customHeight="1" x14ac:dyDescent="0.25">
      <c r="A25" s="61" t="s">
        <v>1818</v>
      </c>
      <c r="B25" s="62">
        <v>45320</v>
      </c>
      <c r="C25" s="42">
        <v>1688</v>
      </c>
      <c r="D25" s="37"/>
      <c r="E25" s="41" t="s">
        <v>1819</v>
      </c>
      <c r="F25" s="38">
        <v>45342</v>
      </c>
      <c r="G25" s="39" t="s">
        <v>1820</v>
      </c>
      <c r="H25" s="42" t="s">
        <v>1752</v>
      </c>
      <c r="I25" s="42" t="s">
        <v>1497</v>
      </c>
      <c r="J25" s="63">
        <v>5451924.5</v>
      </c>
      <c r="K25" s="43">
        <v>0</v>
      </c>
      <c r="L25" s="56">
        <v>0</v>
      </c>
      <c r="M25" s="56">
        <v>0</v>
      </c>
      <c r="N25" s="44">
        <v>0</v>
      </c>
      <c r="O25" s="45">
        <v>0</v>
      </c>
      <c r="P25" s="43">
        <v>5451924.5</v>
      </c>
      <c r="Q25" s="45">
        <v>0</v>
      </c>
      <c r="R25" s="43">
        <v>5451924.5</v>
      </c>
      <c r="S25" s="30">
        <v>5451924.5</v>
      </c>
      <c r="T25" s="30">
        <v>5451924.5</v>
      </c>
      <c r="U25" s="30">
        <v>187.03</v>
      </c>
      <c r="V25" s="43">
        <v>187.03</v>
      </c>
      <c r="W25" s="43">
        <v>1870.3</v>
      </c>
      <c r="X25" s="43">
        <v>29150</v>
      </c>
      <c r="Y25" s="43">
        <v>29150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2915</v>
      </c>
      <c r="AG25" s="43">
        <v>2915</v>
      </c>
      <c r="AH25" s="38">
        <v>45621</v>
      </c>
      <c r="AI25" s="38"/>
      <c r="AJ25" s="38"/>
      <c r="AK25" s="38">
        <v>45649</v>
      </c>
      <c r="AL25" s="38"/>
      <c r="AM25" s="48"/>
      <c r="AN25" s="42"/>
      <c r="AO25" s="42" t="s">
        <v>1821</v>
      </c>
      <c r="AP25" s="42" t="s">
        <v>1783</v>
      </c>
      <c r="AQ25" s="42" t="s">
        <v>1822</v>
      </c>
      <c r="AR25" s="42" t="s">
        <v>82</v>
      </c>
      <c r="AS25" s="50">
        <v>100</v>
      </c>
      <c r="AT25" s="39">
        <v>0</v>
      </c>
      <c r="AU25" s="39" t="s">
        <v>316</v>
      </c>
      <c r="AV25" s="49">
        <v>10</v>
      </c>
      <c r="AW25" s="39" t="s">
        <v>221</v>
      </c>
      <c r="AX25" s="39">
        <v>10</v>
      </c>
      <c r="AY25" s="30">
        <v>545192.44999999995</v>
      </c>
      <c r="AZ25" s="42" t="s">
        <v>405</v>
      </c>
    </row>
    <row r="26" spans="1:52" ht="48.75" customHeight="1" x14ac:dyDescent="0.25">
      <c r="A26" s="61" t="s">
        <v>1823</v>
      </c>
      <c r="B26" s="62">
        <v>45320</v>
      </c>
      <c r="C26" s="42">
        <v>1688</v>
      </c>
      <c r="D26" s="37"/>
      <c r="E26" s="41" t="s">
        <v>1824</v>
      </c>
      <c r="F26" s="38">
        <v>45343</v>
      </c>
      <c r="G26" s="39" t="s">
        <v>1825</v>
      </c>
      <c r="H26" s="42" t="s">
        <v>1826</v>
      </c>
      <c r="I26" s="42" t="s">
        <v>1827</v>
      </c>
      <c r="J26" s="63">
        <v>23115840</v>
      </c>
      <c r="K26" s="43">
        <v>0</v>
      </c>
      <c r="L26" s="56">
        <v>0</v>
      </c>
      <c r="M26" s="56">
        <v>0</v>
      </c>
      <c r="N26" s="44">
        <v>0</v>
      </c>
      <c r="O26" s="45">
        <v>0</v>
      </c>
      <c r="P26" s="63">
        <v>23115840</v>
      </c>
      <c r="Q26" s="45">
        <v>0</v>
      </c>
      <c r="R26" s="63">
        <v>23115840</v>
      </c>
      <c r="S26" s="30">
        <v>23115840</v>
      </c>
      <c r="T26" s="30">
        <v>23115840</v>
      </c>
      <c r="U26" s="30">
        <v>176</v>
      </c>
      <c r="V26" s="43">
        <v>176</v>
      </c>
      <c r="W26" s="43">
        <v>880</v>
      </c>
      <c r="X26" s="43">
        <v>131340</v>
      </c>
      <c r="Y26" s="43">
        <v>131340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26268</v>
      </c>
      <c r="AG26" s="43">
        <v>26268</v>
      </c>
      <c r="AH26" s="38">
        <v>45413</v>
      </c>
      <c r="AI26" s="38"/>
      <c r="AJ26" s="38"/>
      <c r="AK26" s="38">
        <v>45444</v>
      </c>
      <c r="AL26" s="38"/>
      <c r="AM26" s="48"/>
      <c r="AN26" s="42"/>
      <c r="AO26" s="42" t="s">
        <v>1828</v>
      </c>
      <c r="AP26" s="42" t="s">
        <v>1829</v>
      </c>
      <c r="AQ26" s="42" t="s">
        <v>1830</v>
      </c>
      <c r="AR26" s="42" t="s">
        <v>82</v>
      </c>
      <c r="AS26" s="50">
        <v>100</v>
      </c>
      <c r="AT26" s="39">
        <v>0</v>
      </c>
      <c r="AU26" s="39" t="s">
        <v>316</v>
      </c>
      <c r="AV26" s="49">
        <v>5</v>
      </c>
      <c r="AW26" s="39" t="s">
        <v>62</v>
      </c>
      <c r="AX26" s="39">
        <v>10</v>
      </c>
      <c r="AY26" s="30">
        <v>2311584</v>
      </c>
      <c r="AZ26" s="42" t="s">
        <v>405</v>
      </c>
    </row>
    <row r="27" spans="1:52" ht="48.75" customHeight="1" x14ac:dyDescent="0.25">
      <c r="A27" s="61" t="s">
        <v>1834</v>
      </c>
      <c r="B27" s="62">
        <v>45320</v>
      </c>
      <c r="C27" s="42">
        <v>1688</v>
      </c>
      <c r="D27" s="37"/>
      <c r="E27" s="41" t="s">
        <v>1835</v>
      </c>
      <c r="F27" s="38">
        <v>45342</v>
      </c>
      <c r="G27" s="39" t="s">
        <v>1836</v>
      </c>
      <c r="H27" s="42" t="s">
        <v>1752</v>
      </c>
      <c r="I27" s="42" t="s">
        <v>1512</v>
      </c>
      <c r="J27" s="63">
        <v>156002068.31999999</v>
      </c>
      <c r="K27" s="43">
        <v>0</v>
      </c>
      <c r="L27" s="56">
        <v>0</v>
      </c>
      <c r="M27" s="56">
        <v>0</v>
      </c>
      <c r="N27" s="44">
        <v>0</v>
      </c>
      <c r="O27" s="45">
        <v>0</v>
      </c>
      <c r="P27" s="43">
        <v>156002068.31999999</v>
      </c>
      <c r="Q27" s="45">
        <v>0</v>
      </c>
      <c r="R27" s="43">
        <v>156002068.31999999</v>
      </c>
      <c r="S27" s="30">
        <v>156002068.31999999</v>
      </c>
      <c r="T27" s="30">
        <v>156002068.31999999</v>
      </c>
      <c r="U27" s="30" t="s">
        <v>1837</v>
      </c>
      <c r="V27" s="43">
        <v>39.629999999999995</v>
      </c>
      <c r="W27" s="43">
        <v>792.59999999999991</v>
      </c>
      <c r="X27" s="43">
        <v>3936464</v>
      </c>
      <c r="Y27" s="43">
        <v>3936464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3">
        <v>196823.2</v>
      </c>
      <c r="AG27" s="43">
        <v>196824</v>
      </c>
      <c r="AH27" s="38">
        <v>45366</v>
      </c>
      <c r="AI27" s="38"/>
      <c r="AJ27" s="38"/>
      <c r="AK27" s="38">
        <v>45397</v>
      </c>
      <c r="AL27" s="38"/>
      <c r="AM27" s="48"/>
      <c r="AN27" s="42"/>
      <c r="AO27" s="42" t="s">
        <v>1838</v>
      </c>
      <c r="AP27" s="42" t="s">
        <v>1839</v>
      </c>
      <c r="AQ27" s="42" t="s">
        <v>1840</v>
      </c>
      <c r="AR27" s="42" t="s">
        <v>82</v>
      </c>
      <c r="AS27" s="50">
        <v>100</v>
      </c>
      <c r="AT27" s="39">
        <v>0</v>
      </c>
      <c r="AU27" s="39" t="s">
        <v>316</v>
      </c>
      <c r="AV27" s="49">
        <v>20</v>
      </c>
      <c r="AW27" s="39" t="s">
        <v>62</v>
      </c>
      <c r="AX27" s="39">
        <v>10</v>
      </c>
      <c r="AY27" s="30">
        <v>15600206.831999999</v>
      </c>
      <c r="AZ27" s="42" t="s">
        <v>405</v>
      </c>
    </row>
    <row r="28" spans="1:52" ht="48" customHeight="1" x14ac:dyDescent="0.25">
      <c r="A28" s="61" t="s">
        <v>1850</v>
      </c>
      <c r="B28" s="62">
        <v>45322</v>
      </c>
      <c r="C28" s="42">
        <v>1688</v>
      </c>
      <c r="D28" s="39" t="s">
        <v>434</v>
      </c>
      <c r="E28" s="41" t="s">
        <v>1851</v>
      </c>
      <c r="F28" s="39" t="s">
        <v>434</v>
      </c>
      <c r="G28" s="39" t="s">
        <v>434</v>
      </c>
      <c r="H28" s="39" t="s">
        <v>434</v>
      </c>
      <c r="I28" s="64" t="s">
        <v>1852</v>
      </c>
      <c r="J28" s="63">
        <v>27006669.719999999</v>
      </c>
      <c r="K28" s="43">
        <v>0</v>
      </c>
      <c r="L28" s="56">
        <v>0</v>
      </c>
      <c r="M28" s="56">
        <v>0</v>
      </c>
      <c r="N28" s="44">
        <v>100</v>
      </c>
      <c r="O28" s="45">
        <v>27006669.719999999</v>
      </c>
      <c r="P28" s="43"/>
      <c r="Q28" s="45">
        <v>27006669.719999999</v>
      </c>
      <c r="R28" s="43">
        <v>0</v>
      </c>
      <c r="S28" s="30">
        <v>0</v>
      </c>
      <c r="T28" s="30">
        <v>0</v>
      </c>
      <c r="U28" s="30" t="s">
        <v>1853</v>
      </c>
      <c r="V28" s="43">
        <v>0</v>
      </c>
      <c r="W28" s="43">
        <v>0</v>
      </c>
      <c r="X28" s="43">
        <v>414467</v>
      </c>
      <c r="Y28" s="43">
        <v>414467</v>
      </c>
      <c r="Z28" s="43">
        <v>0</v>
      </c>
      <c r="AA28" s="43">
        <v>0</v>
      </c>
      <c r="AB28" s="43"/>
      <c r="AC28" s="43">
        <v>0</v>
      </c>
      <c r="AD28" s="43"/>
      <c r="AE28" s="43">
        <v>0</v>
      </c>
      <c r="AF28" s="43" t="e">
        <v>#DIV/0!</v>
      </c>
      <c r="AG28" s="43" t="e">
        <v>#DIV/0!</v>
      </c>
      <c r="AH28" s="38">
        <v>45621</v>
      </c>
      <c r="AI28" s="38"/>
      <c r="AJ28" s="38"/>
      <c r="AK28" s="38"/>
      <c r="AL28" s="38"/>
      <c r="AM28" s="48"/>
      <c r="AN28" s="42"/>
      <c r="AO28" s="42"/>
      <c r="AP28" s="42"/>
      <c r="AQ28" s="42"/>
      <c r="AR28" s="42"/>
      <c r="AS28" s="50"/>
      <c r="AT28" s="39"/>
      <c r="AU28" s="39"/>
      <c r="AV28" s="49"/>
      <c r="AW28" s="39"/>
      <c r="AX28" s="39">
        <v>10</v>
      </c>
      <c r="AY28" s="30">
        <v>2700666.9720000001</v>
      </c>
      <c r="AZ28" s="42" t="s">
        <v>434</v>
      </c>
    </row>
    <row r="29" spans="1:52" ht="48" customHeight="1" x14ac:dyDescent="0.25">
      <c r="A29" s="61" t="s">
        <v>1854</v>
      </c>
      <c r="B29" s="62">
        <v>45322</v>
      </c>
      <c r="C29" s="42">
        <v>1688</v>
      </c>
      <c r="D29" s="39" t="s">
        <v>434</v>
      </c>
      <c r="E29" s="41" t="s">
        <v>1855</v>
      </c>
      <c r="F29" s="39" t="s">
        <v>434</v>
      </c>
      <c r="G29" s="39" t="s">
        <v>434</v>
      </c>
      <c r="H29" s="39" t="s">
        <v>434</v>
      </c>
      <c r="I29" s="64" t="s">
        <v>1856</v>
      </c>
      <c r="J29" s="63">
        <v>182095170.19999999</v>
      </c>
      <c r="K29" s="43">
        <v>0</v>
      </c>
      <c r="L29" s="56">
        <v>0</v>
      </c>
      <c r="M29" s="56">
        <v>0</v>
      </c>
      <c r="N29" s="44">
        <v>100</v>
      </c>
      <c r="O29" s="45">
        <v>182095170.19999999</v>
      </c>
      <c r="P29" s="43"/>
      <c r="Q29" s="45">
        <v>182095170.19999999</v>
      </c>
      <c r="R29" s="43">
        <v>0</v>
      </c>
      <c r="S29" s="30">
        <v>0</v>
      </c>
      <c r="T29" s="30">
        <v>0</v>
      </c>
      <c r="U29" s="30">
        <v>429.49</v>
      </c>
      <c r="V29" s="43">
        <v>0</v>
      </c>
      <c r="W29" s="43">
        <v>0</v>
      </c>
      <c r="X29" s="43">
        <v>423980</v>
      </c>
      <c r="Y29" s="43">
        <v>423980</v>
      </c>
      <c r="Z29" s="43">
        <v>0</v>
      </c>
      <c r="AA29" s="43">
        <v>0</v>
      </c>
      <c r="AB29" s="43"/>
      <c r="AC29" s="43">
        <v>0</v>
      </c>
      <c r="AD29" s="43"/>
      <c r="AE29" s="43">
        <v>0</v>
      </c>
      <c r="AF29" s="43" t="e">
        <v>#DIV/0!</v>
      </c>
      <c r="AG29" s="43" t="e">
        <v>#DIV/0!</v>
      </c>
      <c r="AH29" s="38">
        <v>45383</v>
      </c>
      <c r="AI29" s="38"/>
      <c r="AJ29" s="38"/>
      <c r="AK29" s="38"/>
      <c r="AL29" s="38"/>
      <c r="AM29" s="48"/>
      <c r="AN29" s="42"/>
      <c r="AO29" s="42"/>
      <c r="AP29" s="42"/>
      <c r="AQ29" s="42"/>
      <c r="AR29" s="42"/>
      <c r="AS29" s="50"/>
      <c r="AT29" s="39"/>
      <c r="AU29" s="39"/>
      <c r="AV29" s="49"/>
      <c r="AW29" s="39"/>
      <c r="AX29" s="39">
        <v>10</v>
      </c>
      <c r="AY29" s="30">
        <v>18209517.02</v>
      </c>
      <c r="AZ29" s="42" t="s">
        <v>434</v>
      </c>
    </row>
    <row r="30" spans="1:52" ht="48" customHeight="1" x14ac:dyDescent="0.25">
      <c r="A30" s="61" t="s">
        <v>1857</v>
      </c>
      <c r="B30" s="62">
        <v>45322</v>
      </c>
      <c r="C30" s="42">
        <v>1688</v>
      </c>
      <c r="D30" s="39" t="s">
        <v>434</v>
      </c>
      <c r="E30" s="41" t="s">
        <v>1858</v>
      </c>
      <c r="F30" s="39" t="s">
        <v>434</v>
      </c>
      <c r="G30" s="39" t="s">
        <v>434</v>
      </c>
      <c r="H30" s="39" t="s">
        <v>434</v>
      </c>
      <c r="I30" s="64" t="s">
        <v>1859</v>
      </c>
      <c r="J30" s="63">
        <v>1446902272.8</v>
      </c>
      <c r="K30" s="43">
        <v>0</v>
      </c>
      <c r="L30" s="56">
        <v>0</v>
      </c>
      <c r="M30" s="56">
        <v>0</v>
      </c>
      <c r="N30" s="44">
        <v>100</v>
      </c>
      <c r="O30" s="45">
        <v>1446902272.8</v>
      </c>
      <c r="P30" s="43"/>
      <c r="Q30" s="45">
        <v>1446902272.8</v>
      </c>
      <c r="R30" s="43">
        <v>0</v>
      </c>
      <c r="S30" s="30">
        <v>0</v>
      </c>
      <c r="T30" s="30">
        <v>0</v>
      </c>
      <c r="U30" s="30">
        <v>1406.07</v>
      </c>
      <c r="V30" s="43">
        <v>0</v>
      </c>
      <c r="W30" s="43">
        <v>0</v>
      </c>
      <c r="X30" s="43">
        <v>1029040</v>
      </c>
      <c r="Y30" s="43">
        <v>1029040</v>
      </c>
      <c r="Z30" s="43">
        <v>0</v>
      </c>
      <c r="AA30" s="43">
        <v>0</v>
      </c>
      <c r="AB30" s="43"/>
      <c r="AC30" s="43">
        <v>0</v>
      </c>
      <c r="AD30" s="43"/>
      <c r="AE30" s="43">
        <v>0</v>
      </c>
      <c r="AF30" s="43" t="e">
        <v>#DIV/0!</v>
      </c>
      <c r="AG30" s="43" t="e">
        <v>#DIV/0!</v>
      </c>
      <c r="AH30" s="38">
        <v>45383</v>
      </c>
      <c r="AI30" s="38"/>
      <c r="AJ30" s="38"/>
      <c r="AK30" s="38"/>
      <c r="AL30" s="38"/>
      <c r="AM30" s="48"/>
      <c r="AN30" s="42"/>
      <c r="AO30" s="42"/>
      <c r="AP30" s="42"/>
      <c r="AQ30" s="42"/>
      <c r="AR30" s="42"/>
      <c r="AS30" s="50"/>
      <c r="AT30" s="39"/>
      <c r="AU30" s="39"/>
      <c r="AV30" s="49"/>
      <c r="AW30" s="39"/>
      <c r="AX30" s="39">
        <v>10</v>
      </c>
      <c r="AY30" s="30">
        <v>144690227.28</v>
      </c>
      <c r="AZ30" s="42" t="s">
        <v>434</v>
      </c>
    </row>
    <row r="31" spans="1:52" ht="48" customHeight="1" x14ac:dyDescent="0.25">
      <c r="A31" s="61" t="s">
        <v>1860</v>
      </c>
      <c r="B31" s="62">
        <v>45322</v>
      </c>
      <c r="C31" s="42">
        <v>1688</v>
      </c>
      <c r="D31" s="39" t="s">
        <v>434</v>
      </c>
      <c r="E31" s="41" t="s">
        <v>1861</v>
      </c>
      <c r="F31" s="39" t="s">
        <v>434</v>
      </c>
      <c r="G31" s="39" t="s">
        <v>434</v>
      </c>
      <c r="H31" s="39" t="s">
        <v>434</v>
      </c>
      <c r="I31" s="36" t="s">
        <v>1862</v>
      </c>
      <c r="J31" s="63">
        <v>3496393.9</v>
      </c>
      <c r="K31" s="43">
        <v>0</v>
      </c>
      <c r="L31" s="56">
        <v>0</v>
      </c>
      <c r="M31" s="56">
        <v>0</v>
      </c>
      <c r="N31" s="44">
        <v>100</v>
      </c>
      <c r="O31" s="45">
        <v>3496393.9</v>
      </c>
      <c r="P31" s="43"/>
      <c r="Q31" s="45">
        <v>3496393.9</v>
      </c>
      <c r="R31" s="43">
        <v>0</v>
      </c>
      <c r="S31" s="30">
        <v>0</v>
      </c>
      <c r="T31" s="30">
        <v>0</v>
      </c>
      <c r="U31" s="30">
        <v>127.1</v>
      </c>
      <c r="V31" s="43">
        <v>0</v>
      </c>
      <c r="W31" s="43">
        <v>0</v>
      </c>
      <c r="X31" s="43">
        <v>27509</v>
      </c>
      <c r="Y31" s="43">
        <v>27509</v>
      </c>
      <c r="Z31" s="43">
        <v>0</v>
      </c>
      <c r="AA31" s="43">
        <v>0</v>
      </c>
      <c r="AB31" s="43"/>
      <c r="AC31" s="43">
        <v>0</v>
      </c>
      <c r="AD31" s="43"/>
      <c r="AE31" s="43">
        <v>0</v>
      </c>
      <c r="AF31" s="43" t="e">
        <v>#DIV/0!</v>
      </c>
      <c r="AG31" s="43" t="e">
        <v>#DIV/0!</v>
      </c>
      <c r="AH31" s="38">
        <v>45383</v>
      </c>
      <c r="AI31" s="38"/>
      <c r="AJ31" s="38"/>
      <c r="AK31" s="38"/>
      <c r="AL31" s="38"/>
      <c r="AM31" s="48"/>
      <c r="AN31" s="42"/>
      <c r="AO31" s="42"/>
      <c r="AP31" s="42"/>
      <c r="AQ31" s="42"/>
      <c r="AR31" s="42"/>
      <c r="AS31" s="50"/>
      <c r="AT31" s="39"/>
      <c r="AU31" s="39"/>
      <c r="AV31" s="49"/>
      <c r="AW31" s="39"/>
      <c r="AX31" s="39">
        <v>10</v>
      </c>
      <c r="AY31" s="30">
        <v>349639.39</v>
      </c>
      <c r="AZ31" s="42" t="s">
        <v>434</v>
      </c>
    </row>
    <row r="32" spans="1:52" ht="48" customHeight="1" x14ac:dyDescent="0.25">
      <c r="A32" s="61" t="s">
        <v>1863</v>
      </c>
      <c r="B32" s="62">
        <v>45322</v>
      </c>
      <c r="C32" s="42">
        <v>1688</v>
      </c>
      <c r="D32" s="37"/>
      <c r="E32" s="41" t="s">
        <v>1864</v>
      </c>
      <c r="F32" s="38"/>
      <c r="G32" s="39"/>
      <c r="H32" s="42"/>
      <c r="I32" s="36" t="s">
        <v>1865</v>
      </c>
      <c r="J32" s="63">
        <v>311730449.25</v>
      </c>
      <c r="K32" s="43">
        <v>0</v>
      </c>
      <c r="L32" s="56">
        <v>0</v>
      </c>
      <c r="M32" s="56">
        <v>0</v>
      </c>
      <c r="N32" s="44">
        <v>100</v>
      </c>
      <c r="O32" s="45">
        <v>311730449.25</v>
      </c>
      <c r="P32" s="43"/>
      <c r="Q32" s="45">
        <v>311730449.25</v>
      </c>
      <c r="R32" s="43">
        <v>0</v>
      </c>
      <c r="S32" s="30">
        <v>0</v>
      </c>
      <c r="T32" s="30">
        <v>0</v>
      </c>
      <c r="U32" s="30">
        <v>49.15</v>
      </c>
      <c r="V32" s="43">
        <v>0</v>
      </c>
      <c r="W32" s="43">
        <v>0</v>
      </c>
      <c r="X32" s="43">
        <v>634695</v>
      </c>
      <c r="Y32" s="43">
        <v>634695</v>
      </c>
      <c r="Z32" s="43">
        <v>0</v>
      </c>
      <c r="AA32" s="43">
        <v>0</v>
      </c>
      <c r="AB32" s="43"/>
      <c r="AC32" s="43">
        <v>0</v>
      </c>
      <c r="AD32" s="43"/>
      <c r="AE32" s="43">
        <v>0</v>
      </c>
      <c r="AF32" s="43" t="e">
        <v>#DIV/0!</v>
      </c>
      <c r="AG32" s="43" t="e">
        <v>#DIV/0!</v>
      </c>
      <c r="AH32" s="38">
        <v>45641</v>
      </c>
      <c r="AI32" s="38"/>
      <c r="AJ32" s="38"/>
      <c r="AK32" s="38"/>
      <c r="AL32" s="38"/>
      <c r="AM32" s="48"/>
      <c r="AN32" s="42"/>
      <c r="AO32" s="42"/>
      <c r="AP32" s="42"/>
      <c r="AQ32" s="42"/>
      <c r="AR32" s="42"/>
      <c r="AS32" s="50"/>
      <c r="AT32" s="39"/>
      <c r="AU32" s="39"/>
      <c r="AV32" s="49"/>
      <c r="AW32" s="39"/>
      <c r="AX32" s="39">
        <v>10</v>
      </c>
      <c r="AY32" s="30">
        <v>31173044.925000001</v>
      </c>
      <c r="AZ32" s="42"/>
    </row>
    <row r="33" spans="1:52" ht="39" customHeight="1" x14ac:dyDescent="0.25">
      <c r="A33" s="61" t="s">
        <v>1941</v>
      </c>
      <c r="B33" s="62">
        <v>45327</v>
      </c>
      <c r="C33" s="42">
        <v>1688</v>
      </c>
      <c r="D33" s="37"/>
      <c r="E33" s="41" t="s">
        <v>1942</v>
      </c>
      <c r="F33" s="38"/>
      <c r="G33" s="39"/>
      <c r="H33" s="42"/>
      <c r="I33" s="64" t="s">
        <v>1943</v>
      </c>
      <c r="J33" s="63">
        <v>514258.4</v>
      </c>
      <c r="K33" s="43">
        <v>0</v>
      </c>
      <c r="L33" s="56">
        <v>0</v>
      </c>
      <c r="M33" s="56">
        <v>0</v>
      </c>
      <c r="N33" s="44">
        <v>100</v>
      </c>
      <c r="O33" s="45">
        <v>514258.4</v>
      </c>
      <c r="P33" s="43"/>
      <c r="Q33" s="45">
        <v>514258.4</v>
      </c>
      <c r="R33" s="43">
        <v>0</v>
      </c>
      <c r="S33" s="30">
        <v>0</v>
      </c>
      <c r="T33" s="30">
        <v>0</v>
      </c>
      <c r="U33" s="30" t="e">
        <v>#DIV/0!</v>
      </c>
      <c r="V33" s="43" t="e">
        <v>#DIV/0!</v>
      </c>
      <c r="W33" s="43" t="e">
        <v>#DIV/0!</v>
      </c>
      <c r="X33" s="43">
        <v>0</v>
      </c>
      <c r="Y33" s="43">
        <v>0</v>
      </c>
      <c r="Z33" s="43">
        <v>0</v>
      </c>
      <c r="AA33" s="43">
        <v>0</v>
      </c>
      <c r="AB33" s="43"/>
      <c r="AC33" s="43" t="e">
        <v>#DIV/0!</v>
      </c>
      <c r="AD33" s="43"/>
      <c r="AE33" s="43" t="e">
        <v>#DIV/0!</v>
      </c>
      <c r="AF33" s="43" t="e">
        <v>#DIV/0!</v>
      </c>
      <c r="AG33" s="43" t="e">
        <v>#DIV/0!</v>
      </c>
      <c r="AH33" s="38">
        <v>45383</v>
      </c>
      <c r="AI33" s="38"/>
      <c r="AJ33" s="38"/>
      <c r="AK33" s="38"/>
      <c r="AL33" s="38"/>
      <c r="AM33" s="48"/>
      <c r="AN33" s="42"/>
      <c r="AO33" s="42"/>
      <c r="AP33" s="42"/>
      <c r="AQ33" s="42"/>
      <c r="AR33" s="42"/>
      <c r="AS33" s="50"/>
      <c r="AT33" s="39"/>
      <c r="AU33" s="39"/>
      <c r="AV33" s="49"/>
      <c r="AW33" s="39"/>
      <c r="AX33" s="39">
        <v>10</v>
      </c>
      <c r="AY33" s="30">
        <v>51425.84</v>
      </c>
      <c r="AZ33" s="42"/>
    </row>
    <row r="34" spans="1:52" ht="15.75" customHeight="1" x14ac:dyDescent="0.25">
      <c r="A34" s="46"/>
      <c r="B34" s="38"/>
      <c r="C34" s="39"/>
      <c r="D34" s="37"/>
      <c r="E34" s="42"/>
      <c r="F34" s="38"/>
      <c r="G34" s="39"/>
      <c r="H34" s="42"/>
      <c r="I34" s="42"/>
      <c r="J34" s="43">
        <v>0</v>
      </c>
      <c r="K34" s="43">
        <v>0</v>
      </c>
      <c r="L34" s="56">
        <v>0</v>
      </c>
      <c r="M34" s="56">
        <v>0</v>
      </c>
      <c r="N34" s="44" t="e">
        <f t="shared" ref="N3:N66" si="0">((J34-P34)/J34)*100</f>
        <v>#DIV/0!</v>
      </c>
      <c r="O34" s="45">
        <f t="shared" ref="O3:O66" si="1">J34-P34</f>
        <v>0</v>
      </c>
      <c r="P34" s="43"/>
      <c r="Q34" s="45">
        <f t="shared" ref="Q3:Q66" si="2">J34-R34</f>
        <v>0</v>
      </c>
      <c r="R34" s="43">
        <v>0</v>
      </c>
      <c r="S34" s="30">
        <f t="shared" ref="S3:T40" si="3">R34</f>
        <v>0</v>
      </c>
      <c r="T34" s="30">
        <f t="shared" si="3"/>
        <v>0</v>
      </c>
      <c r="U34" s="30" t="e">
        <f>T34/X34</f>
        <v>#DIV/0!</v>
      </c>
      <c r="V34" s="43" t="e">
        <f>T34/X34</f>
        <v>#DIV/0!</v>
      </c>
      <c r="W34" s="43" t="e">
        <f t="shared" ref="W3:W66" si="4">V34*AV34</f>
        <v>#DIV/0!</v>
      </c>
      <c r="X34" s="43">
        <f t="shared" ref="X3:X66" si="5">Y34+Z34+AA34</f>
        <v>0</v>
      </c>
      <c r="Y34" s="43">
        <v>0</v>
      </c>
      <c r="Z34" s="43">
        <v>0</v>
      </c>
      <c r="AA34" s="43">
        <v>0</v>
      </c>
      <c r="AB34" s="43"/>
      <c r="AC34" s="43" t="e">
        <f t="shared" ref="AC3:AC66" si="6">AB34*V34</f>
        <v>#DIV/0!</v>
      </c>
      <c r="AD34" s="43"/>
      <c r="AE34" s="43" t="e">
        <f t="shared" ref="AE3:AE66" si="7">AD34*V34</f>
        <v>#DIV/0!</v>
      </c>
      <c r="AF34" s="43" t="e">
        <f t="shared" ref="AF3:AF66" si="8">X34/AV34</f>
        <v>#DIV/0!</v>
      </c>
      <c r="AG34" s="43" t="e">
        <f t="shared" ref="AG3:AG66" si="9">_xlfn.CEILING.MATH(AF34)</f>
        <v>#DIV/0!</v>
      </c>
      <c r="AH34" s="38"/>
      <c r="AI34" s="38"/>
      <c r="AJ34" s="38"/>
      <c r="AK34" s="38"/>
      <c r="AL34" s="38"/>
      <c r="AM34" s="48"/>
      <c r="AN34" s="42"/>
      <c r="AO34" s="42"/>
      <c r="AP34" s="42"/>
      <c r="AQ34" s="42"/>
      <c r="AR34" s="42"/>
      <c r="AS34" s="50"/>
      <c r="AT34" s="39"/>
      <c r="AU34" s="39"/>
      <c r="AV34" s="49"/>
      <c r="AW34" s="39"/>
      <c r="AX34" s="39">
        <v>10</v>
      </c>
      <c r="AY34" s="30">
        <f>(J34*10)/100</f>
        <v>0</v>
      </c>
      <c r="AZ34" s="42"/>
    </row>
    <row r="35" spans="1:52" ht="15.75" customHeight="1" x14ac:dyDescent="0.25">
      <c r="A35" s="46"/>
      <c r="B35" s="38"/>
      <c r="C35" s="39"/>
      <c r="D35" s="37"/>
      <c r="E35" s="42"/>
      <c r="F35" s="38"/>
      <c r="G35" s="39"/>
      <c r="H35" s="42"/>
      <c r="I35" s="42"/>
      <c r="J35" s="43">
        <v>0</v>
      </c>
      <c r="K35" s="43">
        <v>0</v>
      </c>
      <c r="L35" s="56">
        <v>0</v>
      </c>
      <c r="M35" s="56">
        <v>0</v>
      </c>
      <c r="N35" s="44" t="e">
        <f t="shared" si="0"/>
        <v>#DIV/0!</v>
      </c>
      <c r="O35" s="45">
        <f t="shared" si="1"/>
        <v>0</v>
      </c>
      <c r="P35" s="43"/>
      <c r="Q35" s="45">
        <f t="shared" si="2"/>
        <v>0</v>
      </c>
      <c r="R35" s="43">
        <v>0</v>
      </c>
      <c r="S35" s="30">
        <f t="shared" si="3"/>
        <v>0</v>
      </c>
      <c r="T35" s="30">
        <f t="shared" si="3"/>
        <v>0</v>
      </c>
      <c r="U35" s="30" t="e">
        <f>T35/X35</f>
        <v>#DIV/0!</v>
      </c>
      <c r="V35" s="43" t="e">
        <f>T35/X35</f>
        <v>#DIV/0!</v>
      </c>
      <c r="W35" s="43" t="e">
        <f t="shared" si="4"/>
        <v>#DIV/0!</v>
      </c>
      <c r="X35" s="43">
        <f t="shared" si="5"/>
        <v>0</v>
      </c>
      <c r="Y35" s="43">
        <v>0</v>
      </c>
      <c r="Z35" s="43">
        <v>0</v>
      </c>
      <c r="AA35" s="43">
        <v>0</v>
      </c>
      <c r="AB35" s="43"/>
      <c r="AC35" s="43" t="e">
        <f t="shared" si="6"/>
        <v>#DIV/0!</v>
      </c>
      <c r="AD35" s="43"/>
      <c r="AE35" s="43" t="e">
        <f t="shared" si="7"/>
        <v>#DIV/0!</v>
      </c>
      <c r="AF35" s="43" t="e">
        <f t="shared" si="8"/>
        <v>#DIV/0!</v>
      </c>
      <c r="AG35" s="43" t="e">
        <f t="shared" si="9"/>
        <v>#DIV/0!</v>
      </c>
      <c r="AH35" s="38"/>
      <c r="AI35" s="38"/>
      <c r="AJ35" s="38"/>
      <c r="AK35" s="38"/>
      <c r="AL35" s="38"/>
      <c r="AM35" s="48"/>
      <c r="AN35" s="42"/>
      <c r="AO35" s="42"/>
      <c r="AP35" s="42"/>
      <c r="AQ35" s="42"/>
      <c r="AR35" s="42"/>
      <c r="AS35" s="50"/>
      <c r="AT35" s="39"/>
      <c r="AU35" s="39"/>
      <c r="AV35" s="49"/>
      <c r="AW35" s="39"/>
      <c r="AX35" s="39">
        <v>10</v>
      </c>
      <c r="AY35" s="30">
        <f>(J35*10)/100</f>
        <v>0</v>
      </c>
      <c r="AZ35" s="42"/>
    </row>
    <row r="36" spans="1:52" ht="15.75" customHeight="1" x14ac:dyDescent="0.25">
      <c r="A36" s="46"/>
      <c r="B36" s="38"/>
      <c r="C36" s="39"/>
      <c r="D36" s="37"/>
      <c r="E36" s="42"/>
      <c r="F36" s="38"/>
      <c r="G36" s="39"/>
      <c r="H36" s="42"/>
      <c r="I36" s="42"/>
      <c r="J36" s="43">
        <v>0</v>
      </c>
      <c r="K36" s="43">
        <v>0</v>
      </c>
      <c r="L36" s="56">
        <v>0</v>
      </c>
      <c r="M36" s="56">
        <v>0</v>
      </c>
      <c r="N36" s="44" t="e">
        <f t="shared" si="0"/>
        <v>#DIV/0!</v>
      </c>
      <c r="O36" s="45">
        <f t="shared" si="1"/>
        <v>0</v>
      </c>
      <c r="P36" s="43"/>
      <c r="Q36" s="45">
        <f t="shared" si="2"/>
        <v>0</v>
      </c>
      <c r="R36" s="43">
        <v>0</v>
      </c>
      <c r="S36" s="30">
        <f t="shared" si="3"/>
        <v>0</v>
      </c>
      <c r="T36" s="30">
        <f t="shared" si="3"/>
        <v>0</v>
      </c>
      <c r="U36" s="30" t="e">
        <f>T36/X36</f>
        <v>#DIV/0!</v>
      </c>
      <c r="V36" s="43" t="e">
        <f>T36/X36</f>
        <v>#DIV/0!</v>
      </c>
      <c r="W36" s="43" t="e">
        <f t="shared" si="4"/>
        <v>#DIV/0!</v>
      </c>
      <c r="X36" s="43">
        <f t="shared" si="5"/>
        <v>0</v>
      </c>
      <c r="Y36" s="43">
        <v>0</v>
      </c>
      <c r="Z36" s="43">
        <v>0</v>
      </c>
      <c r="AA36" s="43">
        <v>0</v>
      </c>
      <c r="AB36" s="43"/>
      <c r="AC36" s="43" t="e">
        <f t="shared" si="6"/>
        <v>#DIV/0!</v>
      </c>
      <c r="AD36" s="43"/>
      <c r="AE36" s="43" t="e">
        <f t="shared" si="7"/>
        <v>#DIV/0!</v>
      </c>
      <c r="AF36" s="43" t="e">
        <f t="shared" si="8"/>
        <v>#DIV/0!</v>
      </c>
      <c r="AG36" s="43" t="e">
        <f t="shared" si="9"/>
        <v>#DIV/0!</v>
      </c>
      <c r="AH36" s="38"/>
      <c r="AI36" s="38"/>
      <c r="AJ36" s="38"/>
      <c r="AK36" s="38"/>
      <c r="AL36" s="38"/>
      <c r="AM36" s="48"/>
      <c r="AN36" s="42"/>
      <c r="AO36" s="42"/>
      <c r="AP36" s="42"/>
      <c r="AQ36" s="42"/>
      <c r="AR36" s="42"/>
      <c r="AS36" s="50"/>
      <c r="AT36" s="39"/>
      <c r="AU36" s="39"/>
      <c r="AV36" s="49"/>
      <c r="AW36" s="39"/>
      <c r="AX36" s="39">
        <v>10</v>
      </c>
      <c r="AY36" s="30">
        <f>(J36*10)/100</f>
        <v>0</v>
      </c>
      <c r="AZ36" s="42"/>
    </row>
    <row r="37" spans="1:52" ht="15.75" customHeight="1" x14ac:dyDescent="0.25">
      <c r="A37" s="46"/>
      <c r="B37" s="38"/>
      <c r="C37" s="39"/>
      <c r="D37" s="37"/>
      <c r="E37" s="42"/>
      <c r="F37" s="38"/>
      <c r="G37" s="39"/>
      <c r="H37" s="42"/>
      <c r="I37" s="42"/>
      <c r="J37" s="43">
        <v>0</v>
      </c>
      <c r="K37" s="43">
        <v>0</v>
      </c>
      <c r="L37" s="56">
        <v>0</v>
      </c>
      <c r="M37" s="56">
        <v>0</v>
      </c>
      <c r="N37" s="44" t="e">
        <f t="shared" si="0"/>
        <v>#DIV/0!</v>
      </c>
      <c r="O37" s="45">
        <f t="shared" si="1"/>
        <v>0</v>
      </c>
      <c r="P37" s="43"/>
      <c r="Q37" s="45">
        <f t="shared" si="2"/>
        <v>0</v>
      </c>
      <c r="R37" s="43">
        <v>0</v>
      </c>
      <c r="S37" s="30">
        <f t="shared" si="3"/>
        <v>0</v>
      </c>
      <c r="T37" s="30">
        <f t="shared" si="3"/>
        <v>0</v>
      </c>
      <c r="U37" s="30" t="e">
        <f>T37/X37</f>
        <v>#DIV/0!</v>
      </c>
      <c r="V37" s="43" t="e">
        <f>T37/X37</f>
        <v>#DIV/0!</v>
      </c>
      <c r="W37" s="43" t="e">
        <f t="shared" si="4"/>
        <v>#DIV/0!</v>
      </c>
      <c r="X37" s="43">
        <f t="shared" si="5"/>
        <v>0</v>
      </c>
      <c r="Y37" s="43">
        <v>0</v>
      </c>
      <c r="Z37" s="43">
        <v>0</v>
      </c>
      <c r="AA37" s="43">
        <v>0</v>
      </c>
      <c r="AB37" s="43"/>
      <c r="AC37" s="43" t="e">
        <f t="shared" si="6"/>
        <v>#DIV/0!</v>
      </c>
      <c r="AD37" s="43"/>
      <c r="AE37" s="43" t="e">
        <f t="shared" si="7"/>
        <v>#DIV/0!</v>
      </c>
      <c r="AF37" s="43" t="e">
        <f t="shared" si="8"/>
        <v>#DIV/0!</v>
      </c>
      <c r="AG37" s="43" t="e">
        <f t="shared" si="9"/>
        <v>#DIV/0!</v>
      </c>
      <c r="AH37" s="38"/>
      <c r="AI37" s="38"/>
      <c r="AJ37" s="38"/>
      <c r="AK37" s="38"/>
      <c r="AL37" s="38"/>
      <c r="AM37" s="48"/>
      <c r="AN37" s="42"/>
      <c r="AO37" s="42"/>
      <c r="AP37" s="42"/>
      <c r="AQ37" s="42"/>
      <c r="AR37" s="42"/>
      <c r="AS37" s="50"/>
      <c r="AT37" s="39"/>
      <c r="AU37" s="39"/>
      <c r="AV37" s="49"/>
      <c r="AW37" s="39"/>
      <c r="AX37" s="39">
        <v>10</v>
      </c>
      <c r="AY37" s="30">
        <f>(J37*10)/100</f>
        <v>0</v>
      </c>
      <c r="AZ37" s="42"/>
    </row>
    <row r="38" spans="1:52" ht="15.75" customHeight="1" x14ac:dyDescent="0.25">
      <c r="A38" s="46"/>
      <c r="B38" s="38"/>
      <c r="C38" s="39"/>
      <c r="D38" s="37"/>
      <c r="E38" s="42"/>
      <c r="F38" s="38"/>
      <c r="G38" s="39"/>
      <c r="H38" s="42"/>
      <c r="I38" s="42"/>
      <c r="J38" s="43">
        <v>0</v>
      </c>
      <c r="K38" s="43">
        <v>0</v>
      </c>
      <c r="L38" s="56">
        <v>0</v>
      </c>
      <c r="M38" s="56">
        <v>0</v>
      </c>
      <c r="N38" s="44" t="e">
        <f t="shared" si="0"/>
        <v>#DIV/0!</v>
      </c>
      <c r="O38" s="45">
        <f t="shared" si="1"/>
        <v>0</v>
      </c>
      <c r="P38" s="43"/>
      <c r="Q38" s="45">
        <f t="shared" si="2"/>
        <v>0</v>
      </c>
      <c r="R38" s="43">
        <v>0</v>
      </c>
      <c r="S38" s="30">
        <f t="shared" si="3"/>
        <v>0</v>
      </c>
      <c r="T38" s="30">
        <f t="shared" si="3"/>
        <v>0</v>
      </c>
      <c r="U38" s="30" t="e">
        <f>T38/X38</f>
        <v>#DIV/0!</v>
      </c>
      <c r="V38" s="43" t="e">
        <f>T38/X38</f>
        <v>#DIV/0!</v>
      </c>
      <c r="W38" s="43" t="e">
        <f t="shared" si="4"/>
        <v>#DIV/0!</v>
      </c>
      <c r="X38" s="43">
        <f t="shared" si="5"/>
        <v>0</v>
      </c>
      <c r="Y38" s="43">
        <v>0</v>
      </c>
      <c r="Z38" s="43">
        <v>0</v>
      </c>
      <c r="AA38" s="43">
        <v>0</v>
      </c>
      <c r="AB38" s="43"/>
      <c r="AC38" s="43" t="e">
        <f t="shared" si="6"/>
        <v>#DIV/0!</v>
      </c>
      <c r="AD38" s="43"/>
      <c r="AE38" s="43" t="e">
        <f t="shared" si="7"/>
        <v>#DIV/0!</v>
      </c>
      <c r="AF38" s="43" t="e">
        <f t="shared" si="8"/>
        <v>#DIV/0!</v>
      </c>
      <c r="AG38" s="43" t="e">
        <f t="shared" si="9"/>
        <v>#DIV/0!</v>
      </c>
      <c r="AH38" s="38"/>
      <c r="AI38" s="38"/>
      <c r="AJ38" s="38"/>
      <c r="AK38" s="38"/>
      <c r="AL38" s="38"/>
      <c r="AM38" s="48"/>
      <c r="AN38" s="42"/>
      <c r="AO38" s="42"/>
      <c r="AP38" s="42"/>
      <c r="AQ38" s="42"/>
      <c r="AR38" s="42"/>
      <c r="AS38" s="50"/>
      <c r="AT38" s="39"/>
      <c r="AU38" s="39"/>
      <c r="AV38" s="49"/>
      <c r="AW38" s="39"/>
      <c r="AX38" s="39">
        <v>10</v>
      </c>
      <c r="AY38" s="30">
        <f>(J38*10)/100</f>
        <v>0</v>
      </c>
      <c r="AZ38" s="42"/>
    </row>
    <row r="39" spans="1:52" ht="15.75" customHeight="1" x14ac:dyDescent="0.25">
      <c r="A39" s="46"/>
      <c r="B39" s="38"/>
      <c r="C39" s="39"/>
      <c r="D39" s="37"/>
      <c r="E39" s="42"/>
      <c r="F39" s="38"/>
      <c r="G39" s="39"/>
      <c r="H39" s="42"/>
      <c r="I39" s="42"/>
      <c r="J39" s="43">
        <v>0</v>
      </c>
      <c r="K39" s="43">
        <v>0</v>
      </c>
      <c r="L39" s="56">
        <v>0</v>
      </c>
      <c r="M39" s="56">
        <v>0</v>
      </c>
      <c r="N39" s="44" t="e">
        <f t="shared" si="0"/>
        <v>#DIV/0!</v>
      </c>
      <c r="O39" s="45">
        <f t="shared" si="1"/>
        <v>0</v>
      </c>
      <c r="P39" s="43"/>
      <c r="Q39" s="45">
        <f t="shared" si="2"/>
        <v>0</v>
      </c>
      <c r="R39" s="43">
        <v>0</v>
      </c>
      <c r="S39" s="30">
        <f t="shared" si="3"/>
        <v>0</v>
      </c>
      <c r="T39" s="30">
        <f t="shared" si="3"/>
        <v>0</v>
      </c>
      <c r="U39" s="30" t="e">
        <f>T39/X39</f>
        <v>#DIV/0!</v>
      </c>
      <c r="V39" s="43" t="e">
        <f>T39/X39</f>
        <v>#DIV/0!</v>
      </c>
      <c r="W39" s="43" t="e">
        <f t="shared" si="4"/>
        <v>#DIV/0!</v>
      </c>
      <c r="X39" s="43">
        <f t="shared" si="5"/>
        <v>0</v>
      </c>
      <c r="Y39" s="43">
        <v>0</v>
      </c>
      <c r="Z39" s="43">
        <v>0</v>
      </c>
      <c r="AA39" s="43">
        <v>0</v>
      </c>
      <c r="AB39" s="43"/>
      <c r="AC39" s="43" t="e">
        <f t="shared" si="6"/>
        <v>#DIV/0!</v>
      </c>
      <c r="AD39" s="43"/>
      <c r="AE39" s="43" t="e">
        <f t="shared" si="7"/>
        <v>#DIV/0!</v>
      </c>
      <c r="AF39" s="43" t="e">
        <f t="shared" si="8"/>
        <v>#DIV/0!</v>
      </c>
      <c r="AG39" s="43" t="e">
        <f t="shared" si="9"/>
        <v>#DIV/0!</v>
      </c>
      <c r="AH39" s="38"/>
      <c r="AI39" s="38"/>
      <c r="AJ39" s="38"/>
      <c r="AK39" s="38"/>
      <c r="AL39" s="38"/>
      <c r="AM39" s="48"/>
      <c r="AN39" s="42"/>
      <c r="AO39" s="42"/>
      <c r="AP39" s="42"/>
      <c r="AQ39" s="42"/>
      <c r="AR39" s="42"/>
      <c r="AS39" s="50"/>
      <c r="AT39" s="39"/>
      <c r="AU39" s="39"/>
      <c r="AV39" s="49"/>
      <c r="AW39" s="39"/>
      <c r="AX39" s="39">
        <v>10</v>
      </c>
      <c r="AY39" s="30">
        <f>(J39*10)/100</f>
        <v>0</v>
      </c>
      <c r="AZ39" s="42"/>
    </row>
    <row r="40" spans="1:52" ht="15.75" customHeight="1" x14ac:dyDescent="0.25">
      <c r="A40" s="46"/>
      <c r="B40" s="38"/>
      <c r="C40" s="39"/>
      <c r="D40" s="37"/>
      <c r="E40" s="42"/>
      <c r="F40" s="38"/>
      <c r="G40" s="39"/>
      <c r="H40" s="42"/>
      <c r="I40" s="42"/>
      <c r="J40" s="43">
        <v>0</v>
      </c>
      <c r="K40" s="43">
        <v>0</v>
      </c>
      <c r="L40" s="56">
        <v>0</v>
      </c>
      <c r="M40" s="56">
        <v>0</v>
      </c>
      <c r="N40" s="44" t="e">
        <f t="shared" si="0"/>
        <v>#DIV/0!</v>
      </c>
      <c r="O40" s="45">
        <f t="shared" si="1"/>
        <v>0</v>
      </c>
      <c r="P40" s="43"/>
      <c r="Q40" s="45">
        <f t="shared" si="2"/>
        <v>0</v>
      </c>
      <c r="R40" s="43">
        <v>0</v>
      </c>
      <c r="S40" s="30">
        <f t="shared" si="3"/>
        <v>0</v>
      </c>
      <c r="T40" s="30">
        <f t="shared" si="3"/>
        <v>0</v>
      </c>
      <c r="U40" s="30" t="e">
        <f>T40/X40</f>
        <v>#DIV/0!</v>
      </c>
      <c r="V40" s="43" t="e">
        <f>T40/X40</f>
        <v>#DIV/0!</v>
      </c>
      <c r="W40" s="43" t="e">
        <f t="shared" si="4"/>
        <v>#DIV/0!</v>
      </c>
      <c r="X40" s="43">
        <f t="shared" si="5"/>
        <v>0</v>
      </c>
      <c r="Y40" s="43">
        <v>0</v>
      </c>
      <c r="Z40" s="43">
        <v>0</v>
      </c>
      <c r="AA40" s="43">
        <v>0</v>
      </c>
      <c r="AB40" s="43"/>
      <c r="AC40" s="43" t="e">
        <f t="shared" si="6"/>
        <v>#DIV/0!</v>
      </c>
      <c r="AD40" s="43"/>
      <c r="AE40" s="43" t="e">
        <f t="shared" si="7"/>
        <v>#DIV/0!</v>
      </c>
      <c r="AF40" s="43" t="e">
        <f t="shared" si="8"/>
        <v>#DIV/0!</v>
      </c>
      <c r="AG40" s="43" t="e">
        <f t="shared" si="9"/>
        <v>#DIV/0!</v>
      </c>
      <c r="AH40" s="38"/>
      <c r="AI40" s="38"/>
      <c r="AJ40" s="38"/>
      <c r="AK40" s="38"/>
      <c r="AL40" s="38"/>
      <c r="AM40" s="48"/>
      <c r="AN40" s="42"/>
      <c r="AO40" s="42"/>
      <c r="AP40" s="42"/>
      <c r="AQ40" s="42"/>
      <c r="AR40" s="42"/>
      <c r="AS40" s="50"/>
      <c r="AT40" s="39"/>
      <c r="AU40" s="39"/>
      <c r="AV40" s="49"/>
      <c r="AW40" s="39"/>
      <c r="AX40" s="39">
        <v>10</v>
      </c>
      <c r="AY40" s="30">
        <f>(J40*10)/100</f>
        <v>0</v>
      </c>
      <c r="AZ40" s="42"/>
    </row>
    <row r="41" spans="1:52" ht="15.75" customHeight="1" x14ac:dyDescent="0.25">
      <c r="A41" s="46"/>
      <c r="B41" s="38"/>
      <c r="C41" s="39"/>
      <c r="D41" s="37"/>
      <c r="E41" s="42"/>
      <c r="F41" s="38"/>
      <c r="G41" s="39"/>
      <c r="H41" s="42"/>
      <c r="I41" s="42"/>
      <c r="J41" s="43">
        <v>0</v>
      </c>
      <c r="K41" s="43">
        <v>0</v>
      </c>
      <c r="L41" s="56">
        <v>0</v>
      </c>
      <c r="M41" s="56">
        <v>0</v>
      </c>
      <c r="N41" s="44" t="e">
        <f t="shared" si="0"/>
        <v>#DIV/0!</v>
      </c>
      <c r="O41" s="45">
        <f t="shared" si="1"/>
        <v>0</v>
      </c>
      <c r="P41" s="43"/>
      <c r="Q41" s="45">
        <f t="shared" si="2"/>
        <v>0</v>
      </c>
      <c r="R41" s="43">
        <v>0</v>
      </c>
      <c r="S41" s="30">
        <f t="shared" ref="S41:T95" si="10">R41</f>
        <v>0</v>
      </c>
      <c r="T41" s="30">
        <f t="shared" si="10"/>
        <v>0</v>
      </c>
      <c r="U41" s="30" t="e">
        <f>T41/X41</f>
        <v>#DIV/0!</v>
      </c>
      <c r="V41" s="43" t="e">
        <f>T41/X41</f>
        <v>#DIV/0!</v>
      </c>
      <c r="W41" s="43" t="e">
        <f t="shared" si="4"/>
        <v>#DIV/0!</v>
      </c>
      <c r="X41" s="43">
        <f t="shared" si="5"/>
        <v>0</v>
      </c>
      <c r="Y41" s="43">
        <v>0</v>
      </c>
      <c r="Z41" s="43">
        <v>0</v>
      </c>
      <c r="AA41" s="43">
        <v>0</v>
      </c>
      <c r="AB41" s="43"/>
      <c r="AC41" s="43" t="e">
        <f t="shared" si="6"/>
        <v>#DIV/0!</v>
      </c>
      <c r="AD41" s="43"/>
      <c r="AE41" s="43" t="e">
        <f t="shared" si="7"/>
        <v>#DIV/0!</v>
      </c>
      <c r="AF41" s="43" t="e">
        <f t="shared" si="8"/>
        <v>#DIV/0!</v>
      </c>
      <c r="AG41" s="43" t="e">
        <f t="shared" si="9"/>
        <v>#DIV/0!</v>
      </c>
      <c r="AH41" s="38"/>
      <c r="AI41" s="38"/>
      <c r="AJ41" s="38"/>
      <c r="AK41" s="38"/>
      <c r="AL41" s="38"/>
      <c r="AM41" s="48"/>
      <c r="AN41" s="42"/>
      <c r="AO41" s="42"/>
      <c r="AP41" s="42"/>
      <c r="AQ41" s="42"/>
      <c r="AR41" s="42"/>
      <c r="AS41" s="50"/>
      <c r="AT41" s="39"/>
      <c r="AU41" s="39"/>
      <c r="AV41" s="49"/>
      <c r="AW41" s="39"/>
      <c r="AX41" s="39">
        <v>10</v>
      </c>
      <c r="AY41" s="30">
        <f>(J41*10)/100</f>
        <v>0</v>
      </c>
      <c r="AZ41" s="42"/>
    </row>
    <row r="42" spans="1:52" ht="15.75" customHeight="1" x14ac:dyDescent="0.25">
      <c r="A42" s="46"/>
      <c r="B42" s="38"/>
      <c r="C42" s="39"/>
      <c r="D42" s="37"/>
      <c r="E42" s="42"/>
      <c r="F42" s="38"/>
      <c r="G42" s="39"/>
      <c r="H42" s="42"/>
      <c r="I42" s="42"/>
      <c r="J42" s="43">
        <v>0</v>
      </c>
      <c r="K42" s="43">
        <v>0</v>
      </c>
      <c r="L42" s="56">
        <v>0</v>
      </c>
      <c r="M42" s="56">
        <v>0</v>
      </c>
      <c r="N42" s="44" t="e">
        <f t="shared" si="0"/>
        <v>#DIV/0!</v>
      </c>
      <c r="O42" s="45">
        <f t="shared" si="1"/>
        <v>0</v>
      </c>
      <c r="P42" s="43"/>
      <c r="Q42" s="45">
        <f t="shared" si="2"/>
        <v>0</v>
      </c>
      <c r="R42" s="43">
        <v>0</v>
      </c>
      <c r="S42" s="30">
        <f t="shared" si="10"/>
        <v>0</v>
      </c>
      <c r="T42" s="30">
        <f t="shared" si="10"/>
        <v>0</v>
      </c>
      <c r="U42" s="30" t="e">
        <f>T42/X42</f>
        <v>#DIV/0!</v>
      </c>
      <c r="V42" s="43" t="e">
        <f>T42/X42</f>
        <v>#DIV/0!</v>
      </c>
      <c r="W42" s="43" t="e">
        <f t="shared" si="4"/>
        <v>#DIV/0!</v>
      </c>
      <c r="X42" s="43">
        <f t="shared" si="5"/>
        <v>0</v>
      </c>
      <c r="Y42" s="43">
        <v>0</v>
      </c>
      <c r="Z42" s="43">
        <v>0</v>
      </c>
      <c r="AA42" s="43">
        <v>0</v>
      </c>
      <c r="AB42" s="43"/>
      <c r="AC42" s="43" t="e">
        <f t="shared" si="6"/>
        <v>#DIV/0!</v>
      </c>
      <c r="AD42" s="43"/>
      <c r="AE42" s="43" t="e">
        <f t="shared" si="7"/>
        <v>#DIV/0!</v>
      </c>
      <c r="AF42" s="43" t="e">
        <f t="shared" si="8"/>
        <v>#DIV/0!</v>
      </c>
      <c r="AG42" s="43" t="e">
        <f t="shared" si="9"/>
        <v>#DIV/0!</v>
      </c>
      <c r="AH42" s="38"/>
      <c r="AI42" s="38"/>
      <c r="AJ42" s="38"/>
      <c r="AK42" s="38"/>
      <c r="AL42" s="38"/>
      <c r="AM42" s="48"/>
      <c r="AN42" s="42"/>
      <c r="AO42" s="42"/>
      <c r="AP42" s="42"/>
      <c r="AQ42" s="42"/>
      <c r="AR42" s="42"/>
      <c r="AS42" s="50"/>
      <c r="AT42" s="39"/>
      <c r="AU42" s="39"/>
      <c r="AV42" s="49"/>
      <c r="AW42" s="39"/>
      <c r="AX42" s="39">
        <v>10</v>
      </c>
      <c r="AY42" s="30">
        <f>(J42*10)/100</f>
        <v>0</v>
      </c>
      <c r="AZ42" s="42"/>
    </row>
    <row r="43" spans="1:52" ht="15.75" customHeight="1" x14ac:dyDescent="0.25">
      <c r="A43" s="46"/>
      <c r="B43" s="38"/>
      <c r="C43" s="39"/>
      <c r="D43" s="37"/>
      <c r="E43" s="42"/>
      <c r="F43" s="38"/>
      <c r="G43" s="39"/>
      <c r="H43" s="42"/>
      <c r="I43" s="42"/>
      <c r="J43" s="43">
        <v>0</v>
      </c>
      <c r="K43" s="43">
        <v>0</v>
      </c>
      <c r="L43" s="56">
        <v>0</v>
      </c>
      <c r="M43" s="56">
        <v>0</v>
      </c>
      <c r="N43" s="44" t="e">
        <f t="shared" si="0"/>
        <v>#DIV/0!</v>
      </c>
      <c r="O43" s="45">
        <f t="shared" si="1"/>
        <v>0</v>
      </c>
      <c r="P43" s="43"/>
      <c r="Q43" s="45">
        <f t="shared" si="2"/>
        <v>0</v>
      </c>
      <c r="R43" s="43">
        <v>0</v>
      </c>
      <c r="S43" s="30">
        <f t="shared" si="10"/>
        <v>0</v>
      </c>
      <c r="T43" s="30">
        <f t="shared" si="10"/>
        <v>0</v>
      </c>
      <c r="U43" s="30" t="e">
        <f>T43/X43</f>
        <v>#DIV/0!</v>
      </c>
      <c r="V43" s="43" t="e">
        <f>T43/X43</f>
        <v>#DIV/0!</v>
      </c>
      <c r="W43" s="43" t="e">
        <f t="shared" si="4"/>
        <v>#DIV/0!</v>
      </c>
      <c r="X43" s="43">
        <f t="shared" si="5"/>
        <v>0</v>
      </c>
      <c r="Y43" s="43">
        <v>0</v>
      </c>
      <c r="Z43" s="43">
        <v>0</v>
      </c>
      <c r="AA43" s="43">
        <v>0</v>
      </c>
      <c r="AB43" s="43"/>
      <c r="AC43" s="43" t="e">
        <f t="shared" si="6"/>
        <v>#DIV/0!</v>
      </c>
      <c r="AD43" s="43"/>
      <c r="AE43" s="43" t="e">
        <f t="shared" si="7"/>
        <v>#DIV/0!</v>
      </c>
      <c r="AF43" s="43" t="e">
        <f t="shared" si="8"/>
        <v>#DIV/0!</v>
      </c>
      <c r="AG43" s="43" t="e">
        <f t="shared" si="9"/>
        <v>#DIV/0!</v>
      </c>
      <c r="AH43" s="38"/>
      <c r="AI43" s="38"/>
      <c r="AJ43" s="38"/>
      <c r="AK43" s="38"/>
      <c r="AL43" s="38"/>
      <c r="AM43" s="48"/>
      <c r="AN43" s="42"/>
      <c r="AO43" s="42"/>
      <c r="AP43" s="42"/>
      <c r="AQ43" s="42"/>
      <c r="AR43" s="42"/>
      <c r="AS43" s="50"/>
      <c r="AT43" s="39"/>
      <c r="AU43" s="39"/>
      <c r="AV43" s="49"/>
      <c r="AW43" s="39"/>
      <c r="AX43" s="39">
        <v>10</v>
      </c>
      <c r="AY43" s="30">
        <f>(J43*10)/100</f>
        <v>0</v>
      </c>
      <c r="AZ43" s="42"/>
    </row>
    <row r="44" spans="1:52" ht="15.75" customHeight="1" x14ac:dyDescent="0.25">
      <c r="A44" s="46"/>
      <c r="B44" s="38"/>
      <c r="C44" s="39"/>
      <c r="D44" s="37"/>
      <c r="E44" s="42"/>
      <c r="F44" s="38"/>
      <c r="G44" s="39"/>
      <c r="H44" s="42"/>
      <c r="I44" s="42"/>
      <c r="J44" s="43">
        <v>0</v>
      </c>
      <c r="K44" s="43">
        <v>0</v>
      </c>
      <c r="L44" s="56">
        <v>0</v>
      </c>
      <c r="M44" s="56">
        <v>0</v>
      </c>
      <c r="N44" s="44" t="e">
        <f t="shared" si="0"/>
        <v>#DIV/0!</v>
      </c>
      <c r="O44" s="45">
        <f t="shared" si="1"/>
        <v>0</v>
      </c>
      <c r="P44" s="43"/>
      <c r="Q44" s="45">
        <f t="shared" si="2"/>
        <v>0</v>
      </c>
      <c r="R44" s="43">
        <v>0</v>
      </c>
      <c r="S44" s="30">
        <f t="shared" si="10"/>
        <v>0</v>
      </c>
      <c r="T44" s="30">
        <f t="shared" si="10"/>
        <v>0</v>
      </c>
      <c r="U44" s="30" t="e">
        <f>T44/X44</f>
        <v>#DIV/0!</v>
      </c>
      <c r="V44" s="43" t="e">
        <f>T44/X44</f>
        <v>#DIV/0!</v>
      </c>
      <c r="W44" s="43" t="e">
        <f t="shared" si="4"/>
        <v>#DIV/0!</v>
      </c>
      <c r="X44" s="43">
        <f t="shared" si="5"/>
        <v>0</v>
      </c>
      <c r="Y44" s="43">
        <v>0</v>
      </c>
      <c r="Z44" s="43">
        <v>0</v>
      </c>
      <c r="AA44" s="43">
        <v>0</v>
      </c>
      <c r="AB44" s="43"/>
      <c r="AC44" s="43" t="e">
        <f t="shared" si="6"/>
        <v>#DIV/0!</v>
      </c>
      <c r="AD44" s="43"/>
      <c r="AE44" s="43" t="e">
        <f t="shared" si="7"/>
        <v>#DIV/0!</v>
      </c>
      <c r="AF44" s="43" t="e">
        <f t="shared" si="8"/>
        <v>#DIV/0!</v>
      </c>
      <c r="AG44" s="43" t="e">
        <f t="shared" si="9"/>
        <v>#DIV/0!</v>
      </c>
      <c r="AH44" s="38"/>
      <c r="AI44" s="38"/>
      <c r="AJ44" s="38"/>
      <c r="AK44" s="38"/>
      <c r="AL44" s="38"/>
      <c r="AM44" s="48"/>
      <c r="AN44" s="42"/>
      <c r="AO44" s="42"/>
      <c r="AP44" s="42"/>
      <c r="AQ44" s="42"/>
      <c r="AR44" s="42"/>
      <c r="AS44" s="50"/>
      <c r="AT44" s="39"/>
      <c r="AU44" s="39"/>
      <c r="AV44" s="49"/>
      <c r="AW44" s="39"/>
      <c r="AX44" s="39">
        <v>10</v>
      </c>
      <c r="AY44" s="30">
        <f>(J44*10)/100</f>
        <v>0</v>
      </c>
      <c r="AZ44" s="42"/>
    </row>
    <row r="45" spans="1:52" ht="15.75" customHeight="1" x14ac:dyDescent="0.25">
      <c r="A45" s="46"/>
      <c r="B45" s="38"/>
      <c r="C45" s="39"/>
      <c r="D45" s="37"/>
      <c r="E45" s="42"/>
      <c r="F45" s="38"/>
      <c r="G45" s="39"/>
      <c r="H45" s="42"/>
      <c r="I45" s="42"/>
      <c r="J45" s="43">
        <v>0</v>
      </c>
      <c r="K45" s="43">
        <v>0</v>
      </c>
      <c r="L45" s="56">
        <v>0</v>
      </c>
      <c r="M45" s="56">
        <v>0</v>
      </c>
      <c r="N45" s="44" t="e">
        <f t="shared" si="0"/>
        <v>#DIV/0!</v>
      </c>
      <c r="O45" s="45">
        <f t="shared" si="1"/>
        <v>0</v>
      </c>
      <c r="P45" s="43"/>
      <c r="Q45" s="45">
        <f t="shared" si="2"/>
        <v>0</v>
      </c>
      <c r="R45" s="43">
        <v>0</v>
      </c>
      <c r="S45" s="30">
        <f t="shared" si="10"/>
        <v>0</v>
      </c>
      <c r="T45" s="30">
        <f t="shared" si="10"/>
        <v>0</v>
      </c>
      <c r="U45" s="30" t="e">
        <f>T45/X45</f>
        <v>#DIV/0!</v>
      </c>
      <c r="V45" s="43" t="e">
        <f>T45/X45</f>
        <v>#DIV/0!</v>
      </c>
      <c r="W45" s="43" t="e">
        <f t="shared" si="4"/>
        <v>#DIV/0!</v>
      </c>
      <c r="X45" s="43">
        <f t="shared" si="5"/>
        <v>0</v>
      </c>
      <c r="Y45" s="43">
        <v>0</v>
      </c>
      <c r="Z45" s="43">
        <v>0</v>
      </c>
      <c r="AA45" s="43">
        <v>0</v>
      </c>
      <c r="AB45" s="43"/>
      <c r="AC45" s="43" t="e">
        <f t="shared" si="6"/>
        <v>#DIV/0!</v>
      </c>
      <c r="AD45" s="43"/>
      <c r="AE45" s="43" t="e">
        <f t="shared" si="7"/>
        <v>#DIV/0!</v>
      </c>
      <c r="AF45" s="43" t="e">
        <f t="shared" si="8"/>
        <v>#DIV/0!</v>
      </c>
      <c r="AG45" s="43" t="e">
        <f t="shared" si="9"/>
        <v>#DIV/0!</v>
      </c>
      <c r="AH45" s="38"/>
      <c r="AI45" s="38"/>
      <c r="AJ45" s="38"/>
      <c r="AK45" s="38"/>
      <c r="AL45" s="38"/>
      <c r="AM45" s="48"/>
      <c r="AN45" s="42"/>
      <c r="AO45" s="42"/>
      <c r="AP45" s="42"/>
      <c r="AQ45" s="42"/>
      <c r="AR45" s="42"/>
      <c r="AS45" s="50"/>
      <c r="AT45" s="39"/>
      <c r="AU45" s="39"/>
      <c r="AV45" s="49"/>
      <c r="AW45" s="39"/>
      <c r="AX45" s="39">
        <v>10</v>
      </c>
      <c r="AY45" s="30">
        <f>(J45*10)/100</f>
        <v>0</v>
      </c>
      <c r="AZ45" s="42"/>
    </row>
    <row r="46" spans="1:52" ht="15.75" customHeight="1" x14ac:dyDescent="0.25">
      <c r="A46" s="46"/>
      <c r="B46" s="38"/>
      <c r="C46" s="39"/>
      <c r="D46" s="37"/>
      <c r="E46" s="42"/>
      <c r="F46" s="38"/>
      <c r="G46" s="39"/>
      <c r="H46" s="42"/>
      <c r="I46" s="42"/>
      <c r="J46" s="43">
        <v>0</v>
      </c>
      <c r="K46" s="43">
        <v>0</v>
      </c>
      <c r="L46" s="56">
        <v>0</v>
      </c>
      <c r="M46" s="56">
        <v>0</v>
      </c>
      <c r="N46" s="44" t="e">
        <f t="shared" si="0"/>
        <v>#DIV/0!</v>
      </c>
      <c r="O46" s="45">
        <f t="shared" si="1"/>
        <v>0</v>
      </c>
      <c r="P46" s="43"/>
      <c r="Q46" s="45">
        <f t="shared" si="2"/>
        <v>0</v>
      </c>
      <c r="R46" s="43">
        <v>0</v>
      </c>
      <c r="S46" s="30">
        <f t="shared" si="10"/>
        <v>0</v>
      </c>
      <c r="T46" s="30">
        <f t="shared" si="10"/>
        <v>0</v>
      </c>
      <c r="U46" s="30" t="e">
        <f>T46/X46</f>
        <v>#DIV/0!</v>
      </c>
      <c r="V46" s="43" t="e">
        <f>T46/X46</f>
        <v>#DIV/0!</v>
      </c>
      <c r="W46" s="43" t="e">
        <f t="shared" si="4"/>
        <v>#DIV/0!</v>
      </c>
      <c r="X46" s="43">
        <f t="shared" si="5"/>
        <v>0</v>
      </c>
      <c r="Y46" s="43">
        <v>0</v>
      </c>
      <c r="Z46" s="43">
        <v>0</v>
      </c>
      <c r="AA46" s="43">
        <v>0</v>
      </c>
      <c r="AB46" s="43"/>
      <c r="AC46" s="43" t="e">
        <f t="shared" si="6"/>
        <v>#DIV/0!</v>
      </c>
      <c r="AD46" s="43"/>
      <c r="AE46" s="43" t="e">
        <f t="shared" si="7"/>
        <v>#DIV/0!</v>
      </c>
      <c r="AF46" s="43" t="e">
        <f t="shared" si="8"/>
        <v>#DIV/0!</v>
      </c>
      <c r="AG46" s="43" t="e">
        <f t="shared" si="9"/>
        <v>#DIV/0!</v>
      </c>
      <c r="AH46" s="38"/>
      <c r="AI46" s="38"/>
      <c r="AJ46" s="38"/>
      <c r="AK46" s="38"/>
      <c r="AL46" s="38"/>
      <c r="AM46" s="48"/>
      <c r="AN46" s="42"/>
      <c r="AO46" s="42"/>
      <c r="AP46" s="42"/>
      <c r="AQ46" s="42"/>
      <c r="AR46" s="42"/>
      <c r="AS46" s="50"/>
      <c r="AT46" s="39"/>
      <c r="AU46" s="39"/>
      <c r="AV46" s="49"/>
      <c r="AW46" s="39"/>
      <c r="AX46" s="39">
        <v>10</v>
      </c>
      <c r="AY46" s="30">
        <f>(J46*10)/100</f>
        <v>0</v>
      </c>
      <c r="AZ46" s="42"/>
    </row>
    <row r="47" spans="1:52" ht="15.75" customHeight="1" x14ac:dyDescent="0.25">
      <c r="A47" s="46"/>
      <c r="B47" s="38"/>
      <c r="C47" s="39"/>
      <c r="D47" s="37"/>
      <c r="E47" s="42"/>
      <c r="F47" s="38"/>
      <c r="G47" s="39"/>
      <c r="H47" s="42"/>
      <c r="I47" s="42"/>
      <c r="J47" s="43">
        <v>0</v>
      </c>
      <c r="K47" s="43">
        <v>0</v>
      </c>
      <c r="L47" s="56">
        <v>0</v>
      </c>
      <c r="M47" s="56">
        <v>0</v>
      </c>
      <c r="N47" s="44" t="e">
        <f t="shared" si="0"/>
        <v>#DIV/0!</v>
      </c>
      <c r="O47" s="45">
        <f t="shared" si="1"/>
        <v>0</v>
      </c>
      <c r="P47" s="43"/>
      <c r="Q47" s="45">
        <f t="shared" si="2"/>
        <v>0</v>
      </c>
      <c r="R47" s="43">
        <v>0</v>
      </c>
      <c r="S47" s="30">
        <f t="shared" si="10"/>
        <v>0</v>
      </c>
      <c r="T47" s="30">
        <f t="shared" si="10"/>
        <v>0</v>
      </c>
      <c r="U47" s="30" t="e">
        <f>T47/X47</f>
        <v>#DIV/0!</v>
      </c>
      <c r="V47" s="43" t="e">
        <f>T47/X47</f>
        <v>#DIV/0!</v>
      </c>
      <c r="W47" s="43" t="e">
        <f t="shared" si="4"/>
        <v>#DIV/0!</v>
      </c>
      <c r="X47" s="43">
        <f t="shared" si="5"/>
        <v>0</v>
      </c>
      <c r="Y47" s="43">
        <v>0</v>
      </c>
      <c r="Z47" s="43">
        <v>0</v>
      </c>
      <c r="AA47" s="43">
        <v>0</v>
      </c>
      <c r="AB47" s="43"/>
      <c r="AC47" s="43" t="e">
        <f t="shared" si="6"/>
        <v>#DIV/0!</v>
      </c>
      <c r="AD47" s="43"/>
      <c r="AE47" s="43" t="e">
        <f t="shared" si="7"/>
        <v>#DIV/0!</v>
      </c>
      <c r="AF47" s="43" t="e">
        <f t="shared" si="8"/>
        <v>#DIV/0!</v>
      </c>
      <c r="AG47" s="43" t="e">
        <f t="shared" si="9"/>
        <v>#DIV/0!</v>
      </c>
      <c r="AH47" s="38"/>
      <c r="AI47" s="38"/>
      <c r="AJ47" s="38"/>
      <c r="AK47" s="38"/>
      <c r="AL47" s="38"/>
      <c r="AM47" s="48"/>
      <c r="AN47" s="42"/>
      <c r="AO47" s="42"/>
      <c r="AP47" s="42"/>
      <c r="AQ47" s="42"/>
      <c r="AR47" s="42"/>
      <c r="AS47" s="50"/>
      <c r="AT47" s="39"/>
      <c r="AU47" s="39"/>
      <c r="AV47" s="49"/>
      <c r="AW47" s="39"/>
      <c r="AX47" s="39">
        <v>10</v>
      </c>
      <c r="AY47" s="30">
        <f>(J47*10)/100</f>
        <v>0</v>
      </c>
      <c r="AZ47" s="42"/>
    </row>
    <row r="48" spans="1:52" ht="15.75" customHeight="1" x14ac:dyDescent="0.25">
      <c r="A48" s="46"/>
      <c r="B48" s="38"/>
      <c r="C48" s="39"/>
      <c r="D48" s="37"/>
      <c r="E48" s="42"/>
      <c r="F48" s="38"/>
      <c r="G48" s="39"/>
      <c r="H48" s="42"/>
      <c r="I48" s="42"/>
      <c r="J48" s="43">
        <v>0</v>
      </c>
      <c r="K48" s="43">
        <v>0</v>
      </c>
      <c r="L48" s="56">
        <v>0</v>
      </c>
      <c r="M48" s="56">
        <v>0</v>
      </c>
      <c r="N48" s="44" t="e">
        <f t="shared" si="0"/>
        <v>#DIV/0!</v>
      </c>
      <c r="O48" s="45">
        <f t="shared" si="1"/>
        <v>0</v>
      </c>
      <c r="P48" s="43"/>
      <c r="Q48" s="45">
        <f t="shared" si="2"/>
        <v>0</v>
      </c>
      <c r="R48" s="43">
        <v>0</v>
      </c>
      <c r="S48" s="30">
        <f t="shared" si="10"/>
        <v>0</v>
      </c>
      <c r="T48" s="30">
        <f t="shared" si="10"/>
        <v>0</v>
      </c>
      <c r="U48" s="30" t="e">
        <f>T48/X48</f>
        <v>#DIV/0!</v>
      </c>
      <c r="V48" s="43" t="e">
        <f>T48/X48</f>
        <v>#DIV/0!</v>
      </c>
      <c r="W48" s="43" t="e">
        <f t="shared" si="4"/>
        <v>#DIV/0!</v>
      </c>
      <c r="X48" s="43">
        <f t="shared" si="5"/>
        <v>0</v>
      </c>
      <c r="Y48" s="43">
        <v>0</v>
      </c>
      <c r="Z48" s="43">
        <v>0</v>
      </c>
      <c r="AA48" s="43">
        <v>0</v>
      </c>
      <c r="AB48" s="43"/>
      <c r="AC48" s="43" t="e">
        <f t="shared" si="6"/>
        <v>#DIV/0!</v>
      </c>
      <c r="AD48" s="43"/>
      <c r="AE48" s="43" t="e">
        <f t="shared" si="7"/>
        <v>#DIV/0!</v>
      </c>
      <c r="AF48" s="43" t="e">
        <f t="shared" si="8"/>
        <v>#DIV/0!</v>
      </c>
      <c r="AG48" s="43" t="e">
        <f t="shared" si="9"/>
        <v>#DIV/0!</v>
      </c>
      <c r="AH48" s="38"/>
      <c r="AI48" s="38"/>
      <c r="AJ48" s="38"/>
      <c r="AK48" s="38"/>
      <c r="AL48" s="38"/>
      <c r="AM48" s="48"/>
      <c r="AN48" s="42"/>
      <c r="AO48" s="42"/>
      <c r="AP48" s="42"/>
      <c r="AQ48" s="42"/>
      <c r="AR48" s="42"/>
      <c r="AS48" s="50"/>
      <c r="AT48" s="39"/>
      <c r="AU48" s="39"/>
      <c r="AV48" s="49"/>
      <c r="AW48" s="39"/>
      <c r="AX48" s="39">
        <v>10</v>
      </c>
      <c r="AY48" s="30">
        <f>(J48*10)/100</f>
        <v>0</v>
      </c>
      <c r="AZ48" s="42"/>
    </row>
    <row r="49" spans="1:52" ht="15.75" customHeight="1" x14ac:dyDescent="0.25">
      <c r="A49" s="46"/>
      <c r="B49" s="38"/>
      <c r="C49" s="39"/>
      <c r="D49" s="37"/>
      <c r="E49" s="42"/>
      <c r="F49" s="38"/>
      <c r="G49" s="39"/>
      <c r="H49" s="42"/>
      <c r="I49" s="42"/>
      <c r="J49" s="43">
        <v>0</v>
      </c>
      <c r="K49" s="43">
        <v>0</v>
      </c>
      <c r="L49" s="56">
        <v>0</v>
      </c>
      <c r="M49" s="56">
        <v>0</v>
      </c>
      <c r="N49" s="44" t="e">
        <f t="shared" si="0"/>
        <v>#DIV/0!</v>
      </c>
      <c r="O49" s="45">
        <f t="shared" si="1"/>
        <v>0</v>
      </c>
      <c r="P49" s="43"/>
      <c r="Q49" s="45">
        <f t="shared" si="2"/>
        <v>0</v>
      </c>
      <c r="R49" s="43">
        <v>0</v>
      </c>
      <c r="S49" s="30">
        <f t="shared" si="10"/>
        <v>0</v>
      </c>
      <c r="T49" s="30">
        <f t="shared" si="10"/>
        <v>0</v>
      </c>
      <c r="U49" s="30" t="e">
        <f>T49/X49</f>
        <v>#DIV/0!</v>
      </c>
      <c r="V49" s="43" t="e">
        <f>T49/X49</f>
        <v>#DIV/0!</v>
      </c>
      <c r="W49" s="43" t="e">
        <f t="shared" si="4"/>
        <v>#DIV/0!</v>
      </c>
      <c r="X49" s="43">
        <f t="shared" si="5"/>
        <v>0</v>
      </c>
      <c r="Y49" s="43">
        <v>0</v>
      </c>
      <c r="Z49" s="43">
        <v>0</v>
      </c>
      <c r="AA49" s="43">
        <v>0</v>
      </c>
      <c r="AB49" s="43"/>
      <c r="AC49" s="43" t="e">
        <f t="shared" si="6"/>
        <v>#DIV/0!</v>
      </c>
      <c r="AD49" s="43"/>
      <c r="AE49" s="43" t="e">
        <f t="shared" si="7"/>
        <v>#DIV/0!</v>
      </c>
      <c r="AF49" s="43" t="e">
        <f t="shared" si="8"/>
        <v>#DIV/0!</v>
      </c>
      <c r="AG49" s="43" t="e">
        <f t="shared" si="9"/>
        <v>#DIV/0!</v>
      </c>
      <c r="AH49" s="38"/>
      <c r="AI49" s="38"/>
      <c r="AJ49" s="38"/>
      <c r="AK49" s="38"/>
      <c r="AL49" s="38"/>
      <c r="AM49" s="48"/>
      <c r="AN49" s="42"/>
      <c r="AO49" s="42"/>
      <c r="AP49" s="42"/>
      <c r="AQ49" s="42"/>
      <c r="AR49" s="42"/>
      <c r="AS49" s="50"/>
      <c r="AT49" s="39"/>
      <c r="AU49" s="39"/>
      <c r="AV49" s="49"/>
      <c r="AW49" s="39"/>
      <c r="AX49" s="39">
        <v>10</v>
      </c>
      <c r="AY49" s="30">
        <f>(J49*10)/100</f>
        <v>0</v>
      </c>
      <c r="AZ49" s="42"/>
    </row>
    <row r="50" spans="1:52" ht="15.75" customHeight="1" x14ac:dyDescent="0.25">
      <c r="A50" s="46"/>
      <c r="B50" s="38"/>
      <c r="C50" s="39"/>
      <c r="D50" s="37"/>
      <c r="E50" s="42"/>
      <c r="F50" s="38"/>
      <c r="G50" s="39"/>
      <c r="H50" s="42"/>
      <c r="I50" s="42"/>
      <c r="J50" s="43">
        <v>0</v>
      </c>
      <c r="K50" s="43">
        <v>0</v>
      </c>
      <c r="L50" s="56">
        <v>0</v>
      </c>
      <c r="M50" s="56">
        <v>0</v>
      </c>
      <c r="N50" s="44" t="e">
        <f t="shared" si="0"/>
        <v>#DIV/0!</v>
      </c>
      <c r="O50" s="45">
        <f t="shared" si="1"/>
        <v>0</v>
      </c>
      <c r="P50" s="43"/>
      <c r="Q50" s="45">
        <f t="shared" si="2"/>
        <v>0</v>
      </c>
      <c r="R50" s="43">
        <v>0</v>
      </c>
      <c r="S50" s="30">
        <f t="shared" si="10"/>
        <v>0</v>
      </c>
      <c r="T50" s="30">
        <f t="shared" si="10"/>
        <v>0</v>
      </c>
      <c r="U50" s="30" t="e">
        <f>T50/X50</f>
        <v>#DIV/0!</v>
      </c>
      <c r="V50" s="43" t="e">
        <f>T50/X50</f>
        <v>#DIV/0!</v>
      </c>
      <c r="W50" s="43" t="e">
        <f t="shared" si="4"/>
        <v>#DIV/0!</v>
      </c>
      <c r="X50" s="43">
        <f t="shared" si="5"/>
        <v>0</v>
      </c>
      <c r="Y50" s="43">
        <v>0</v>
      </c>
      <c r="Z50" s="43">
        <v>0</v>
      </c>
      <c r="AA50" s="43">
        <v>0</v>
      </c>
      <c r="AB50" s="43"/>
      <c r="AC50" s="43" t="e">
        <f t="shared" si="6"/>
        <v>#DIV/0!</v>
      </c>
      <c r="AD50" s="43"/>
      <c r="AE50" s="43" t="e">
        <f t="shared" si="7"/>
        <v>#DIV/0!</v>
      </c>
      <c r="AF50" s="43" t="e">
        <f t="shared" si="8"/>
        <v>#DIV/0!</v>
      </c>
      <c r="AG50" s="43" t="e">
        <f t="shared" si="9"/>
        <v>#DIV/0!</v>
      </c>
      <c r="AH50" s="38"/>
      <c r="AI50" s="38"/>
      <c r="AJ50" s="38"/>
      <c r="AK50" s="38"/>
      <c r="AL50" s="38"/>
      <c r="AM50" s="48"/>
      <c r="AN50" s="42"/>
      <c r="AO50" s="42"/>
      <c r="AP50" s="42"/>
      <c r="AQ50" s="42"/>
      <c r="AR50" s="42"/>
      <c r="AS50" s="50"/>
      <c r="AT50" s="39"/>
      <c r="AU50" s="39"/>
      <c r="AV50" s="49"/>
      <c r="AW50" s="39"/>
      <c r="AX50" s="39">
        <v>10</v>
      </c>
      <c r="AY50" s="30">
        <f>(J50*10)/100</f>
        <v>0</v>
      </c>
      <c r="AZ50" s="42"/>
    </row>
    <row r="51" spans="1:52" ht="15.75" customHeight="1" x14ac:dyDescent="0.25">
      <c r="A51" s="46"/>
      <c r="B51" s="38"/>
      <c r="C51" s="39"/>
      <c r="D51" s="37"/>
      <c r="E51" s="42"/>
      <c r="F51" s="38"/>
      <c r="G51" s="39"/>
      <c r="H51" s="42"/>
      <c r="I51" s="42"/>
      <c r="J51" s="43">
        <v>0</v>
      </c>
      <c r="K51" s="43">
        <v>0</v>
      </c>
      <c r="L51" s="56">
        <v>0</v>
      </c>
      <c r="M51" s="56">
        <v>0</v>
      </c>
      <c r="N51" s="44" t="e">
        <f t="shared" si="0"/>
        <v>#DIV/0!</v>
      </c>
      <c r="O51" s="45">
        <f t="shared" si="1"/>
        <v>0</v>
      </c>
      <c r="P51" s="43"/>
      <c r="Q51" s="45">
        <f t="shared" si="2"/>
        <v>0</v>
      </c>
      <c r="R51" s="43">
        <v>0</v>
      </c>
      <c r="S51" s="30">
        <f t="shared" si="10"/>
        <v>0</v>
      </c>
      <c r="T51" s="30">
        <f t="shared" si="10"/>
        <v>0</v>
      </c>
      <c r="U51" s="30" t="e">
        <f>T51/X51</f>
        <v>#DIV/0!</v>
      </c>
      <c r="V51" s="43" t="e">
        <f>T51/X51</f>
        <v>#DIV/0!</v>
      </c>
      <c r="W51" s="43" t="e">
        <f t="shared" si="4"/>
        <v>#DIV/0!</v>
      </c>
      <c r="X51" s="43">
        <f t="shared" si="5"/>
        <v>0</v>
      </c>
      <c r="Y51" s="43">
        <v>0</v>
      </c>
      <c r="Z51" s="43">
        <v>0</v>
      </c>
      <c r="AA51" s="43">
        <v>0</v>
      </c>
      <c r="AB51" s="43"/>
      <c r="AC51" s="43" t="e">
        <f t="shared" si="6"/>
        <v>#DIV/0!</v>
      </c>
      <c r="AD51" s="43"/>
      <c r="AE51" s="43" t="e">
        <f t="shared" si="7"/>
        <v>#DIV/0!</v>
      </c>
      <c r="AF51" s="43" t="e">
        <f t="shared" si="8"/>
        <v>#DIV/0!</v>
      </c>
      <c r="AG51" s="43" t="e">
        <f t="shared" si="9"/>
        <v>#DIV/0!</v>
      </c>
      <c r="AH51" s="38"/>
      <c r="AI51" s="38"/>
      <c r="AJ51" s="38"/>
      <c r="AK51" s="38"/>
      <c r="AL51" s="38"/>
      <c r="AM51" s="48"/>
      <c r="AN51" s="42"/>
      <c r="AO51" s="42"/>
      <c r="AP51" s="42"/>
      <c r="AQ51" s="42"/>
      <c r="AR51" s="42"/>
      <c r="AS51" s="50"/>
      <c r="AT51" s="39"/>
      <c r="AU51" s="39"/>
      <c r="AV51" s="49"/>
      <c r="AW51" s="39"/>
      <c r="AX51" s="39">
        <v>10</v>
      </c>
      <c r="AY51" s="30">
        <f>(J51*10)/100</f>
        <v>0</v>
      </c>
      <c r="AZ51" s="42"/>
    </row>
    <row r="52" spans="1:52" ht="15.75" customHeight="1" x14ac:dyDescent="0.25">
      <c r="A52" s="46"/>
      <c r="B52" s="38"/>
      <c r="C52" s="39"/>
      <c r="D52" s="37"/>
      <c r="E52" s="42"/>
      <c r="F52" s="38"/>
      <c r="G52" s="39"/>
      <c r="H52" s="42"/>
      <c r="I52" s="42"/>
      <c r="J52" s="43">
        <v>0</v>
      </c>
      <c r="K52" s="43">
        <v>0</v>
      </c>
      <c r="L52" s="56">
        <v>0</v>
      </c>
      <c r="M52" s="56">
        <v>0</v>
      </c>
      <c r="N52" s="44" t="e">
        <f t="shared" si="0"/>
        <v>#DIV/0!</v>
      </c>
      <c r="O52" s="45">
        <f t="shared" si="1"/>
        <v>0</v>
      </c>
      <c r="P52" s="43"/>
      <c r="Q52" s="45">
        <f t="shared" si="2"/>
        <v>0</v>
      </c>
      <c r="R52" s="43">
        <v>0</v>
      </c>
      <c r="S52" s="30">
        <f t="shared" si="10"/>
        <v>0</v>
      </c>
      <c r="T52" s="30">
        <f t="shared" si="10"/>
        <v>0</v>
      </c>
      <c r="U52" s="30" t="e">
        <f>T52/X52</f>
        <v>#DIV/0!</v>
      </c>
      <c r="V52" s="43" t="e">
        <f>T52/X52</f>
        <v>#DIV/0!</v>
      </c>
      <c r="W52" s="43" t="e">
        <f t="shared" si="4"/>
        <v>#DIV/0!</v>
      </c>
      <c r="X52" s="43">
        <f t="shared" si="5"/>
        <v>0</v>
      </c>
      <c r="Y52" s="43">
        <v>0</v>
      </c>
      <c r="Z52" s="43">
        <v>0</v>
      </c>
      <c r="AA52" s="43">
        <v>0</v>
      </c>
      <c r="AB52" s="43"/>
      <c r="AC52" s="43" t="e">
        <f t="shared" si="6"/>
        <v>#DIV/0!</v>
      </c>
      <c r="AD52" s="43"/>
      <c r="AE52" s="43" t="e">
        <f t="shared" si="7"/>
        <v>#DIV/0!</v>
      </c>
      <c r="AF52" s="43" t="e">
        <f t="shared" si="8"/>
        <v>#DIV/0!</v>
      </c>
      <c r="AG52" s="43" t="e">
        <f t="shared" si="9"/>
        <v>#DIV/0!</v>
      </c>
      <c r="AH52" s="38"/>
      <c r="AI52" s="38"/>
      <c r="AJ52" s="38"/>
      <c r="AK52" s="38"/>
      <c r="AL52" s="38"/>
      <c r="AM52" s="48"/>
      <c r="AN52" s="42"/>
      <c r="AO52" s="42"/>
      <c r="AP52" s="42"/>
      <c r="AQ52" s="42"/>
      <c r="AR52" s="42"/>
      <c r="AS52" s="50"/>
      <c r="AT52" s="39"/>
      <c r="AU52" s="39"/>
      <c r="AV52" s="49"/>
      <c r="AW52" s="39"/>
      <c r="AX52" s="39">
        <v>10</v>
      </c>
      <c r="AY52" s="30">
        <f>(J52*10)/100</f>
        <v>0</v>
      </c>
      <c r="AZ52" s="42"/>
    </row>
    <row r="53" spans="1:52" ht="15.75" customHeight="1" x14ac:dyDescent="0.25">
      <c r="A53" s="46"/>
      <c r="B53" s="38"/>
      <c r="C53" s="39"/>
      <c r="D53" s="37"/>
      <c r="E53" s="42"/>
      <c r="F53" s="38"/>
      <c r="G53" s="39"/>
      <c r="H53" s="42"/>
      <c r="I53" s="42"/>
      <c r="J53" s="43">
        <v>0</v>
      </c>
      <c r="K53" s="43">
        <v>0</v>
      </c>
      <c r="L53" s="56">
        <v>0</v>
      </c>
      <c r="M53" s="56">
        <v>0</v>
      </c>
      <c r="N53" s="44" t="e">
        <f t="shared" si="0"/>
        <v>#DIV/0!</v>
      </c>
      <c r="O53" s="45">
        <f t="shared" si="1"/>
        <v>0</v>
      </c>
      <c r="P53" s="43"/>
      <c r="Q53" s="45">
        <f t="shared" si="2"/>
        <v>0</v>
      </c>
      <c r="R53" s="43">
        <v>0</v>
      </c>
      <c r="S53" s="30">
        <f t="shared" si="10"/>
        <v>0</v>
      </c>
      <c r="T53" s="30">
        <f t="shared" si="10"/>
        <v>0</v>
      </c>
      <c r="U53" s="30" t="e">
        <f>T53/X53</f>
        <v>#DIV/0!</v>
      </c>
      <c r="V53" s="43" t="e">
        <f>T53/X53</f>
        <v>#DIV/0!</v>
      </c>
      <c r="W53" s="43" t="e">
        <f t="shared" si="4"/>
        <v>#DIV/0!</v>
      </c>
      <c r="X53" s="43">
        <f t="shared" si="5"/>
        <v>0</v>
      </c>
      <c r="Y53" s="43">
        <v>0</v>
      </c>
      <c r="Z53" s="43">
        <v>0</v>
      </c>
      <c r="AA53" s="43">
        <v>0</v>
      </c>
      <c r="AB53" s="43"/>
      <c r="AC53" s="43" t="e">
        <f t="shared" si="6"/>
        <v>#DIV/0!</v>
      </c>
      <c r="AD53" s="43"/>
      <c r="AE53" s="43" t="e">
        <f t="shared" si="7"/>
        <v>#DIV/0!</v>
      </c>
      <c r="AF53" s="43" t="e">
        <f t="shared" si="8"/>
        <v>#DIV/0!</v>
      </c>
      <c r="AG53" s="43" t="e">
        <f t="shared" si="9"/>
        <v>#DIV/0!</v>
      </c>
      <c r="AH53" s="38"/>
      <c r="AI53" s="38"/>
      <c r="AJ53" s="38"/>
      <c r="AK53" s="38"/>
      <c r="AL53" s="38"/>
      <c r="AM53" s="48"/>
      <c r="AN53" s="42"/>
      <c r="AO53" s="42"/>
      <c r="AP53" s="42"/>
      <c r="AQ53" s="42"/>
      <c r="AR53" s="42"/>
      <c r="AS53" s="50"/>
      <c r="AT53" s="39"/>
      <c r="AU53" s="39"/>
      <c r="AV53" s="49"/>
      <c r="AW53" s="39"/>
      <c r="AX53" s="39">
        <v>10</v>
      </c>
      <c r="AY53" s="30">
        <f>(J53*10)/100</f>
        <v>0</v>
      </c>
      <c r="AZ53" s="42"/>
    </row>
    <row r="54" spans="1:52" ht="15.75" customHeight="1" x14ac:dyDescent="0.25">
      <c r="A54" s="46"/>
      <c r="B54" s="38"/>
      <c r="C54" s="39"/>
      <c r="D54" s="37"/>
      <c r="E54" s="42"/>
      <c r="F54" s="38"/>
      <c r="G54" s="39"/>
      <c r="H54" s="42"/>
      <c r="I54" s="42"/>
      <c r="J54" s="43">
        <v>0</v>
      </c>
      <c r="K54" s="43">
        <v>0</v>
      </c>
      <c r="L54" s="56">
        <v>0</v>
      </c>
      <c r="M54" s="56">
        <v>0</v>
      </c>
      <c r="N54" s="44" t="e">
        <f t="shared" si="0"/>
        <v>#DIV/0!</v>
      </c>
      <c r="O54" s="45">
        <f t="shared" si="1"/>
        <v>0</v>
      </c>
      <c r="P54" s="43"/>
      <c r="Q54" s="45">
        <f t="shared" si="2"/>
        <v>0</v>
      </c>
      <c r="R54" s="43">
        <v>0</v>
      </c>
      <c r="S54" s="30">
        <f t="shared" si="10"/>
        <v>0</v>
      </c>
      <c r="T54" s="30">
        <f t="shared" si="10"/>
        <v>0</v>
      </c>
      <c r="U54" s="30" t="e">
        <f>T54/X54</f>
        <v>#DIV/0!</v>
      </c>
      <c r="V54" s="43" t="e">
        <f>T54/X54</f>
        <v>#DIV/0!</v>
      </c>
      <c r="W54" s="43" t="e">
        <f t="shared" si="4"/>
        <v>#DIV/0!</v>
      </c>
      <c r="X54" s="43">
        <f t="shared" si="5"/>
        <v>0</v>
      </c>
      <c r="Y54" s="43">
        <v>0</v>
      </c>
      <c r="Z54" s="43">
        <v>0</v>
      </c>
      <c r="AA54" s="43">
        <v>0</v>
      </c>
      <c r="AB54" s="43"/>
      <c r="AC54" s="43" t="e">
        <f t="shared" si="6"/>
        <v>#DIV/0!</v>
      </c>
      <c r="AD54" s="43"/>
      <c r="AE54" s="43" t="e">
        <f t="shared" si="7"/>
        <v>#DIV/0!</v>
      </c>
      <c r="AF54" s="43" t="e">
        <f t="shared" si="8"/>
        <v>#DIV/0!</v>
      </c>
      <c r="AG54" s="43" t="e">
        <f t="shared" si="9"/>
        <v>#DIV/0!</v>
      </c>
      <c r="AH54" s="38"/>
      <c r="AI54" s="38"/>
      <c r="AJ54" s="38"/>
      <c r="AK54" s="38"/>
      <c r="AL54" s="38"/>
      <c r="AM54" s="48"/>
      <c r="AN54" s="42"/>
      <c r="AO54" s="42"/>
      <c r="AP54" s="42"/>
      <c r="AQ54" s="42"/>
      <c r="AR54" s="42"/>
      <c r="AS54" s="50"/>
      <c r="AT54" s="39"/>
      <c r="AU54" s="39"/>
      <c r="AV54" s="49"/>
      <c r="AW54" s="39"/>
      <c r="AX54" s="39">
        <v>10</v>
      </c>
      <c r="AY54" s="30">
        <f>(J54*10)/100</f>
        <v>0</v>
      </c>
      <c r="AZ54" s="42"/>
    </row>
    <row r="55" spans="1:52" ht="15.75" customHeight="1" x14ac:dyDescent="0.25">
      <c r="A55" s="46"/>
      <c r="B55" s="38"/>
      <c r="C55" s="39"/>
      <c r="D55" s="37"/>
      <c r="E55" s="42"/>
      <c r="F55" s="38"/>
      <c r="G55" s="39"/>
      <c r="H55" s="42"/>
      <c r="I55" s="42"/>
      <c r="J55" s="43">
        <v>0</v>
      </c>
      <c r="K55" s="43">
        <v>0</v>
      </c>
      <c r="L55" s="56">
        <v>0</v>
      </c>
      <c r="M55" s="56">
        <v>0</v>
      </c>
      <c r="N55" s="44" t="e">
        <f t="shared" si="0"/>
        <v>#DIV/0!</v>
      </c>
      <c r="O55" s="45">
        <f t="shared" si="1"/>
        <v>0</v>
      </c>
      <c r="P55" s="43"/>
      <c r="Q55" s="45">
        <f t="shared" si="2"/>
        <v>0</v>
      </c>
      <c r="R55" s="43">
        <v>0</v>
      </c>
      <c r="S55" s="30">
        <f t="shared" si="10"/>
        <v>0</v>
      </c>
      <c r="T55" s="30">
        <f t="shared" si="10"/>
        <v>0</v>
      </c>
      <c r="U55" s="30" t="e">
        <f>T55/X55</f>
        <v>#DIV/0!</v>
      </c>
      <c r="V55" s="43" t="e">
        <f>T55/X55</f>
        <v>#DIV/0!</v>
      </c>
      <c r="W55" s="43" t="e">
        <f t="shared" si="4"/>
        <v>#DIV/0!</v>
      </c>
      <c r="X55" s="43">
        <f t="shared" si="5"/>
        <v>0</v>
      </c>
      <c r="Y55" s="43">
        <v>0</v>
      </c>
      <c r="Z55" s="43">
        <v>0</v>
      </c>
      <c r="AA55" s="43">
        <v>0</v>
      </c>
      <c r="AB55" s="43"/>
      <c r="AC55" s="43" t="e">
        <f t="shared" si="6"/>
        <v>#DIV/0!</v>
      </c>
      <c r="AD55" s="43"/>
      <c r="AE55" s="43" t="e">
        <f t="shared" si="7"/>
        <v>#DIV/0!</v>
      </c>
      <c r="AF55" s="43" t="e">
        <f t="shared" si="8"/>
        <v>#DIV/0!</v>
      </c>
      <c r="AG55" s="43" t="e">
        <f t="shared" si="9"/>
        <v>#DIV/0!</v>
      </c>
      <c r="AH55" s="38"/>
      <c r="AI55" s="38"/>
      <c r="AJ55" s="38"/>
      <c r="AK55" s="38"/>
      <c r="AL55" s="38"/>
      <c r="AM55" s="48"/>
      <c r="AN55" s="42"/>
      <c r="AO55" s="42"/>
      <c r="AP55" s="42"/>
      <c r="AQ55" s="42"/>
      <c r="AR55" s="42"/>
      <c r="AS55" s="50"/>
      <c r="AT55" s="39"/>
      <c r="AU55" s="39"/>
      <c r="AV55" s="49"/>
      <c r="AW55" s="39"/>
      <c r="AX55" s="39">
        <v>10</v>
      </c>
      <c r="AY55" s="30">
        <f>(J55*10)/100</f>
        <v>0</v>
      </c>
      <c r="AZ55" s="42"/>
    </row>
    <row r="56" spans="1:52" ht="15.75" customHeight="1" x14ac:dyDescent="0.25">
      <c r="A56" s="46"/>
      <c r="B56" s="38"/>
      <c r="C56" s="39"/>
      <c r="D56" s="37"/>
      <c r="E56" s="42"/>
      <c r="F56" s="38"/>
      <c r="G56" s="39"/>
      <c r="H56" s="42"/>
      <c r="I56" s="42"/>
      <c r="J56" s="43">
        <v>0</v>
      </c>
      <c r="K56" s="43">
        <v>0</v>
      </c>
      <c r="L56" s="56">
        <v>0</v>
      </c>
      <c r="M56" s="56">
        <v>0</v>
      </c>
      <c r="N56" s="44" t="e">
        <f t="shared" si="0"/>
        <v>#DIV/0!</v>
      </c>
      <c r="O56" s="45">
        <f t="shared" si="1"/>
        <v>0</v>
      </c>
      <c r="P56" s="43"/>
      <c r="Q56" s="45">
        <f t="shared" si="2"/>
        <v>0</v>
      </c>
      <c r="R56" s="43">
        <v>0</v>
      </c>
      <c r="S56" s="30">
        <f t="shared" si="10"/>
        <v>0</v>
      </c>
      <c r="T56" s="30">
        <f t="shared" si="10"/>
        <v>0</v>
      </c>
      <c r="U56" s="30" t="e">
        <f>T56/X56</f>
        <v>#DIV/0!</v>
      </c>
      <c r="V56" s="43" t="e">
        <f>T56/X56</f>
        <v>#DIV/0!</v>
      </c>
      <c r="W56" s="43" t="e">
        <f t="shared" si="4"/>
        <v>#DIV/0!</v>
      </c>
      <c r="X56" s="43">
        <f t="shared" si="5"/>
        <v>0</v>
      </c>
      <c r="Y56" s="43">
        <v>0</v>
      </c>
      <c r="Z56" s="43">
        <v>0</v>
      </c>
      <c r="AA56" s="43">
        <v>0</v>
      </c>
      <c r="AB56" s="43"/>
      <c r="AC56" s="43" t="e">
        <f t="shared" si="6"/>
        <v>#DIV/0!</v>
      </c>
      <c r="AD56" s="43"/>
      <c r="AE56" s="43" t="e">
        <f t="shared" si="7"/>
        <v>#DIV/0!</v>
      </c>
      <c r="AF56" s="43" t="e">
        <f t="shared" si="8"/>
        <v>#DIV/0!</v>
      </c>
      <c r="AG56" s="43" t="e">
        <f t="shared" si="9"/>
        <v>#DIV/0!</v>
      </c>
      <c r="AH56" s="38"/>
      <c r="AI56" s="38"/>
      <c r="AJ56" s="38"/>
      <c r="AK56" s="38"/>
      <c r="AL56" s="38"/>
      <c r="AM56" s="48"/>
      <c r="AN56" s="42"/>
      <c r="AO56" s="42"/>
      <c r="AP56" s="42"/>
      <c r="AQ56" s="42"/>
      <c r="AR56" s="42"/>
      <c r="AS56" s="50"/>
      <c r="AT56" s="39"/>
      <c r="AU56" s="39"/>
      <c r="AV56" s="49"/>
      <c r="AW56" s="39"/>
      <c r="AX56" s="39">
        <v>10</v>
      </c>
      <c r="AY56" s="30">
        <f>(J56*10)/100</f>
        <v>0</v>
      </c>
      <c r="AZ56" s="42"/>
    </row>
    <row r="57" spans="1:52" ht="15.75" customHeight="1" x14ac:dyDescent="0.25">
      <c r="A57" s="46"/>
      <c r="B57" s="38"/>
      <c r="C57" s="39"/>
      <c r="D57" s="37"/>
      <c r="E57" s="42"/>
      <c r="F57" s="38"/>
      <c r="G57" s="39"/>
      <c r="H57" s="42"/>
      <c r="I57" s="42"/>
      <c r="J57" s="43">
        <v>0</v>
      </c>
      <c r="K57" s="43">
        <v>0</v>
      </c>
      <c r="L57" s="56">
        <v>0</v>
      </c>
      <c r="M57" s="56">
        <v>0</v>
      </c>
      <c r="N57" s="44" t="e">
        <f t="shared" si="0"/>
        <v>#DIV/0!</v>
      </c>
      <c r="O57" s="45">
        <f t="shared" si="1"/>
        <v>0</v>
      </c>
      <c r="P57" s="43"/>
      <c r="Q57" s="45">
        <f t="shared" si="2"/>
        <v>0</v>
      </c>
      <c r="R57" s="43">
        <v>0</v>
      </c>
      <c r="S57" s="30">
        <f t="shared" si="10"/>
        <v>0</v>
      </c>
      <c r="T57" s="30">
        <f t="shared" si="10"/>
        <v>0</v>
      </c>
      <c r="U57" s="30" t="e">
        <f>T57/X57</f>
        <v>#DIV/0!</v>
      </c>
      <c r="V57" s="43" t="e">
        <f>T57/X57</f>
        <v>#DIV/0!</v>
      </c>
      <c r="W57" s="43" t="e">
        <f t="shared" si="4"/>
        <v>#DIV/0!</v>
      </c>
      <c r="X57" s="43">
        <f t="shared" si="5"/>
        <v>0</v>
      </c>
      <c r="Y57" s="43">
        <v>0</v>
      </c>
      <c r="Z57" s="43">
        <v>0</v>
      </c>
      <c r="AA57" s="43">
        <v>0</v>
      </c>
      <c r="AB57" s="43"/>
      <c r="AC57" s="43" t="e">
        <f t="shared" si="6"/>
        <v>#DIV/0!</v>
      </c>
      <c r="AD57" s="43"/>
      <c r="AE57" s="43" t="e">
        <f t="shared" si="7"/>
        <v>#DIV/0!</v>
      </c>
      <c r="AF57" s="43" t="e">
        <f t="shared" si="8"/>
        <v>#DIV/0!</v>
      </c>
      <c r="AG57" s="43" t="e">
        <f t="shared" si="9"/>
        <v>#DIV/0!</v>
      </c>
      <c r="AH57" s="38"/>
      <c r="AI57" s="38"/>
      <c r="AJ57" s="38"/>
      <c r="AK57" s="38"/>
      <c r="AL57" s="38"/>
      <c r="AM57" s="48"/>
      <c r="AN57" s="42"/>
      <c r="AO57" s="42"/>
      <c r="AP57" s="42"/>
      <c r="AQ57" s="42"/>
      <c r="AR57" s="42"/>
      <c r="AS57" s="50"/>
      <c r="AT57" s="39"/>
      <c r="AU57" s="39"/>
      <c r="AV57" s="49"/>
      <c r="AW57" s="39"/>
      <c r="AX57" s="39">
        <v>10</v>
      </c>
      <c r="AY57" s="30">
        <f>(J57*10)/100</f>
        <v>0</v>
      </c>
      <c r="AZ57" s="42"/>
    </row>
    <row r="58" spans="1:52" ht="15.75" customHeight="1" x14ac:dyDescent="0.25">
      <c r="A58" s="46"/>
      <c r="B58" s="38"/>
      <c r="C58" s="39"/>
      <c r="D58" s="37"/>
      <c r="E58" s="42"/>
      <c r="F58" s="38"/>
      <c r="G58" s="39"/>
      <c r="H58" s="42"/>
      <c r="I58" s="42"/>
      <c r="J58" s="43">
        <v>0</v>
      </c>
      <c r="K58" s="43">
        <v>0</v>
      </c>
      <c r="L58" s="56">
        <v>0</v>
      </c>
      <c r="M58" s="56">
        <v>0</v>
      </c>
      <c r="N58" s="44" t="e">
        <f t="shared" si="0"/>
        <v>#DIV/0!</v>
      </c>
      <c r="O58" s="45">
        <f t="shared" si="1"/>
        <v>0</v>
      </c>
      <c r="P58" s="43"/>
      <c r="Q58" s="45">
        <f t="shared" si="2"/>
        <v>0</v>
      </c>
      <c r="R58" s="43">
        <v>0</v>
      </c>
      <c r="S58" s="30">
        <f t="shared" si="10"/>
        <v>0</v>
      </c>
      <c r="T58" s="30">
        <f t="shared" si="10"/>
        <v>0</v>
      </c>
      <c r="U58" s="30" t="e">
        <f>T58/X58</f>
        <v>#DIV/0!</v>
      </c>
      <c r="V58" s="43" t="e">
        <f>T58/X58</f>
        <v>#DIV/0!</v>
      </c>
      <c r="W58" s="43" t="e">
        <f t="shared" si="4"/>
        <v>#DIV/0!</v>
      </c>
      <c r="X58" s="43">
        <f t="shared" si="5"/>
        <v>0</v>
      </c>
      <c r="Y58" s="43">
        <v>0</v>
      </c>
      <c r="Z58" s="43">
        <v>0</v>
      </c>
      <c r="AA58" s="43">
        <v>0</v>
      </c>
      <c r="AB58" s="43"/>
      <c r="AC58" s="43" t="e">
        <f t="shared" si="6"/>
        <v>#DIV/0!</v>
      </c>
      <c r="AD58" s="43"/>
      <c r="AE58" s="43" t="e">
        <f t="shared" si="7"/>
        <v>#DIV/0!</v>
      </c>
      <c r="AF58" s="43" t="e">
        <f t="shared" si="8"/>
        <v>#DIV/0!</v>
      </c>
      <c r="AG58" s="43" t="e">
        <f t="shared" si="9"/>
        <v>#DIV/0!</v>
      </c>
      <c r="AH58" s="38"/>
      <c r="AI58" s="38"/>
      <c r="AJ58" s="38"/>
      <c r="AK58" s="38"/>
      <c r="AL58" s="38"/>
      <c r="AM58" s="48"/>
      <c r="AN58" s="42"/>
      <c r="AO58" s="42"/>
      <c r="AP58" s="42"/>
      <c r="AQ58" s="42"/>
      <c r="AR58" s="42"/>
      <c r="AS58" s="50"/>
      <c r="AT58" s="39"/>
      <c r="AU58" s="39"/>
      <c r="AV58" s="49"/>
      <c r="AW58" s="39"/>
      <c r="AX58" s="39">
        <v>10</v>
      </c>
      <c r="AY58" s="30">
        <f>(J58*10)/100</f>
        <v>0</v>
      </c>
      <c r="AZ58" s="42"/>
    </row>
    <row r="59" spans="1:52" ht="15.75" customHeight="1" x14ac:dyDescent="0.25">
      <c r="A59" s="46"/>
      <c r="B59" s="38"/>
      <c r="C59" s="39"/>
      <c r="D59" s="37"/>
      <c r="E59" s="42"/>
      <c r="F59" s="38"/>
      <c r="G59" s="39"/>
      <c r="H59" s="42"/>
      <c r="I59" s="42"/>
      <c r="J59" s="43">
        <v>0</v>
      </c>
      <c r="K59" s="43">
        <v>0</v>
      </c>
      <c r="L59" s="56">
        <v>0</v>
      </c>
      <c r="M59" s="56">
        <v>0</v>
      </c>
      <c r="N59" s="44" t="e">
        <f t="shared" si="0"/>
        <v>#DIV/0!</v>
      </c>
      <c r="O59" s="45">
        <f t="shared" si="1"/>
        <v>0</v>
      </c>
      <c r="P59" s="43"/>
      <c r="Q59" s="45">
        <f t="shared" si="2"/>
        <v>0</v>
      </c>
      <c r="R59" s="43">
        <v>0</v>
      </c>
      <c r="S59" s="30">
        <f t="shared" si="10"/>
        <v>0</v>
      </c>
      <c r="T59" s="30">
        <f t="shared" si="10"/>
        <v>0</v>
      </c>
      <c r="U59" s="30" t="e">
        <f>T59/X59</f>
        <v>#DIV/0!</v>
      </c>
      <c r="V59" s="43" t="e">
        <f>T59/X59</f>
        <v>#DIV/0!</v>
      </c>
      <c r="W59" s="43" t="e">
        <f t="shared" si="4"/>
        <v>#DIV/0!</v>
      </c>
      <c r="X59" s="43">
        <f t="shared" si="5"/>
        <v>0</v>
      </c>
      <c r="Y59" s="43">
        <v>0</v>
      </c>
      <c r="Z59" s="43">
        <v>0</v>
      </c>
      <c r="AA59" s="43">
        <v>0</v>
      </c>
      <c r="AB59" s="43"/>
      <c r="AC59" s="43" t="e">
        <f t="shared" si="6"/>
        <v>#DIV/0!</v>
      </c>
      <c r="AD59" s="43"/>
      <c r="AE59" s="43" t="e">
        <f t="shared" si="7"/>
        <v>#DIV/0!</v>
      </c>
      <c r="AF59" s="43" t="e">
        <f t="shared" si="8"/>
        <v>#DIV/0!</v>
      </c>
      <c r="AG59" s="43" t="e">
        <f t="shared" si="9"/>
        <v>#DIV/0!</v>
      </c>
      <c r="AH59" s="38"/>
      <c r="AI59" s="38"/>
      <c r="AJ59" s="38"/>
      <c r="AK59" s="38"/>
      <c r="AL59" s="38"/>
      <c r="AM59" s="48"/>
      <c r="AN59" s="42"/>
      <c r="AO59" s="42"/>
      <c r="AP59" s="42"/>
      <c r="AQ59" s="42"/>
      <c r="AR59" s="42"/>
      <c r="AS59" s="50"/>
      <c r="AT59" s="39"/>
      <c r="AU59" s="39"/>
      <c r="AV59" s="49"/>
      <c r="AW59" s="39"/>
      <c r="AX59" s="39">
        <v>10</v>
      </c>
      <c r="AY59" s="30">
        <f>(J59*10)/100</f>
        <v>0</v>
      </c>
      <c r="AZ59" s="42"/>
    </row>
    <row r="60" spans="1:52" ht="15.75" customHeight="1" x14ac:dyDescent="0.25">
      <c r="A60" s="46"/>
      <c r="B60" s="38"/>
      <c r="C60" s="39"/>
      <c r="D60" s="37"/>
      <c r="E60" s="42"/>
      <c r="F60" s="38"/>
      <c r="G60" s="39"/>
      <c r="H60" s="42"/>
      <c r="I60" s="42"/>
      <c r="J60" s="43">
        <v>0</v>
      </c>
      <c r="K60" s="43">
        <v>0</v>
      </c>
      <c r="L60" s="56">
        <v>0</v>
      </c>
      <c r="M60" s="56">
        <v>0</v>
      </c>
      <c r="N60" s="44" t="e">
        <f t="shared" si="0"/>
        <v>#DIV/0!</v>
      </c>
      <c r="O60" s="45">
        <f t="shared" si="1"/>
        <v>0</v>
      </c>
      <c r="P60" s="43"/>
      <c r="Q60" s="45">
        <f t="shared" si="2"/>
        <v>0</v>
      </c>
      <c r="R60" s="43">
        <v>0</v>
      </c>
      <c r="S60" s="30">
        <f t="shared" si="10"/>
        <v>0</v>
      </c>
      <c r="T60" s="30">
        <f t="shared" si="10"/>
        <v>0</v>
      </c>
      <c r="U60" s="30" t="e">
        <f>T60/X60</f>
        <v>#DIV/0!</v>
      </c>
      <c r="V60" s="43" t="e">
        <f>T60/X60</f>
        <v>#DIV/0!</v>
      </c>
      <c r="W60" s="43" t="e">
        <f t="shared" si="4"/>
        <v>#DIV/0!</v>
      </c>
      <c r="X60" s="43">
        <f t="shared" si="5"/>
        <v>0</v>
      </c>
      <c r="Y60" s="43">
        <v>0</v>
      </c>
      <c r="Z60" s="43">
        <v>0</v>
      </c>
      <c r="AA60" s="43">
        <v>0</v>
      </c>
      <c r="AB60" s="43"/>
      <c r="AC60" s="43" t="e">
        <f t="shared" si="6"/>
        <v>#DIV/0!</v>
      </c>
      <c r="AD60" s="43"/>
      <c r="AE60" s="43" t="e">
        <f t="shared" si="7"/>
        <v>#DIV/0!</v>
      </c>
      <c r="AF60" s="43" t="e">
        <f t="shared" si="8"/>
        <v>#DIV/0!</v>
      </c>
      <c r="AG60" s="43" t="e">
        <f t="shared" si="9"/>
        <v>#DIV/0!</v>
      </c>
      <c r="AH60" s="38"/>
      <c r="AI60" s="38"/>
      <c r="AJ60" s="38"/>
      <c r="AK60" s="38"/>
      <c r="AL60" s="38"/>
      <c r="AM60" s="48"/>
      <c r="AN60" s="42"/>
      <c r="AO60" s="42"/>
      <c r="AP60" s="42"/>
      <c r="AQ60" s="42"/>
      <c r="AR60" s="42"/>
      <c r="AS60" s="50"/>
      <c r="AT60" s="39"/>
      <c r="AU60" s="39"/>
      <c r="AV60" s="49"/>
      <c r="AW60" s="39"/>
      <c r="AX60" s="39">
        <v>10</v>
      </c>
      <c r="AY60" s="30">
        <f>(J60*10)/100</f>
        <v>0</v>
      </c>
      <c r="AZ60" s="42"/>
    </row>
    <row r="61" spans="1:52" ht="15.75" customHeight="1" x14ac:dyDescent="0.25">
      <c r="A61" s="46"/>
      <c r="B61" s="38"/>
      <c r="C61" s="39"/>
      <c r="D61" s="37"/>
      <c r="E61" s="42"/>
      <c r="F61" s="38"/>
      <c r="G61" s="39"/>
      <c r="H61" s="42"/>
      <c r="I61" s="42"/>
      <c r="J61" s="43">
        <v>0</v>
      </c>
      <c r="K61" s="43">
        <v>0</v>
      </c>
      <c r="L61" s="56">
        <v>0</v>
      </c>
      <c r="M61" s="56">
        <v>0</v>
      </c>
      <c r="N61" s="44" t="e">
        <f t="shared" si="0"/>
        <v>#DIV/0!</v>
      </c>
      <c r="O61" s="45">
        <f t="shared" si="1"/>
        <v>0</v>
      </c>
      <c r="P61" s="43"/>
      <c r="Q61" s="45">
        <f t="shared" si="2"/>
        <v>0</v>
      </c>
      <c r="R61" s="43">
        <v>0</v>
      </c>
      <c r="S61" s="30">
        <f t="shared" si="10"/>
        <v>0</v>
      </c>
      <c r="T61" s="30">
        <f t="shared" si="10"/>
        <v>0</v>
      </c>
      <c r="U61" s="30" t="e">
        <f>T61/X61</f>
        <v>#DIV/0!</v>
      </c>
      <c r="V61" s="43" t="e">
        <f>T61/X61</f>
        <v>#DIV/0!</v>
      </c>
      <c r="W61" s="43" t="e">
        <f t="shared" si="4"/>
        <v>#DIV/0!</v>
      </c>
      <c r="X61" s="43">
        <f t="shared" si="5"/>
        <v>0</v>
      </c>
      <c r="Y61" s="43">
        <v>0</v>
      </c>
      <c r="Z61" s="43">
        <v>0</v>
      </c>
      <c r="AA61" s="43">
        <v>0</v>
      </c>
      <c r="AB61" s="43"/>
      <c r="AC61" s="43" t="e">
        <f t="shared" si="6"/>
        <v>#DIV/0!</v>
      </c>
      <c r="AD61" s="43"/>
      <c r="AE61" s="43" t="e">
        <f t="shared" si="7"/>
        <v>#DIV/0!</v>
      </c>
      <c r="AF61" s="43" t="e">
        <f t="shared" si="8"/>
        <v>#DIV/0!</v>
      </c>
      <c r="AG61" s="43" t="e">
        <f t="shared" si="9"/>
        <v>#DIV/0!</v>
      </c>
      <c r="AH61" s="38"/>
      <c r="AI61" s="38"/>
      <c r="AJ61" s="38"/>
      <c r="AK61" s="38"/>
      <c r="AL61" s="38"/>
      <c r="AM61" s="48"/>
      <c r="AN61" s="42"/>
      <c r="AO61" s="42"/>
      <c r="AP61" s="42"/>
      <c r="AQ61" s="42"/>
      <c r="AR61" s="42"/>
      <c r="AS61" s="50"/>
      <c r="AT61" s="39"/>
      <c r="AU61" s="39"/>
      <c r="AV61" s="49"/>
      <c r="AW61" s="39"/>
      <c r="AX61" s="39">
        <v>10</v>
      </c>
      <c r="AY61" s="30">
        <f>(J61*10)/100</f>
        <v>0</v>
      </c>
      <c r="AZ61" s="42"/>
    </row>
    <row r="62" spans="1:52" ht="15.75" customHeight="1" x14ac:dyDescent="0.25">
      <c r="A62" s="46"/>
      <c r="B62" s="38"/>
      <c r="C62" s="39"/>
      <c r="D62" s="37"/>
      <c r="E62" s="42"/>
      <c r="F62" s="38"/>
      <c r="G62" s="39"/>
      <c r="H62" s="42"/>
      <c r="I62" s="42"/>
      <c r="J62" s="43">
        <v>0</v>
      </c>
      <c r="K62" s="43">
        <v>0</v>
      </c>
      <c r="L62" s="56">
        <v>0</v>
      </c>
      <c r="M62" s="56">
        <v>0</v>
      </c>
      <c r="N62" s="44" t="e">
        <f t="shared" si="0"/>
        <v>#DIV/0!</v>
      </c>
      <c r="O62" s="45">
        <f t="shared" si="1"/>
        <v>0</v>
      </c>
      <c r="P62" s="43"/>
      <c r="Q62" s="45">
        <f t="shared" si="2"/>
        <v>0</v>
      </c>
      <c r="R62" s="43">
        <v>0</v>
      </c>
      <c r="S62" s="30">
        <f t="shared" si="10"/>
        <v>0</v>
      </c>
      <c r="T62" s="30">
        <f t="shared" si="10"/>
        <v>0</v>
      </c>
      <c r="U62" s="30" t="e">
        <f>T62/X62</f>
        <v>#DIV/0!</v>
      </c>
      <c r="V62" s="43" t="e">
        <f>T62/X62</f>
        <v>#DIV/0!</v>
      </c>
      <c r="W62" s="43" t="e">
        <f t="shared" si="4"/>
        <v>#DIV/0!</v>
      </c>
      <c r="X62" s="43">
        <f t="shared" si="5"/>
        <v>0</v>
      </c>
      <c r="Y62" s="43">
        <v>0</v>
      </c>
      <c r="Z62" s="43">
        <v>0</v>
      </c>
      <c r="AA62" s="43">
        <v>0</v>
      </c>
      <c r="AB62" s="43"/>
      <c r="AC62" s="43" t="e">
        <f t="shared" si="6"/>
        <v>#DIV/0!</v>
      </c>
      <c r="AD62" s="43"/>
      <c r="AE62" s="43" t="e">
        <f t="shared" si="7"/>
        <v>#DIV/0!</v>
      </c>
      <c r="AF62" s="43" t="e">
        <f t="shared" si="8"/>
        <v>#DIV/0!</v>
      </c>
      <c r="AG62" s="43" t="e">
        <f t="shared" si="9"/>
        <v>#DIV/0!</v>
      </c>
      <c r="AH62" s="38"/>
      <c r="AI62" s="38"/>
      <c r="AJ62" s="38"/>
      <c r="AK62" s="38"/>
      <c r="AL62" s="38"/>
      <c r="AM62" s="48"/>
      <c r="AN62" s="42"/>
      <c r="AO62" s="42"/>
      <c r="AP62" s="42"/>
      <c r="AQ62" s="42"/>
      <c r="AR62" s="42"/>
      <c r="AS62" s="50"/>
      <c r="AT62" s="39"/>
      <c r="AU62" s="39"/>
      <c r="AV62" s="49"/>
      <c r="AW62" s="39"/>
      <c r="AX62" s="39">
        <v>10</v>
      </c>
      <c r="AY62" s="30">
        <f>(J62*10)/100</f>
        <v>0</v>
      </c>
      <c r="AZ62" s="42"/>
    </row>
    <row r="63" spans="1:52" ht="15.75" customHeight="1" x14ac:dyDescent="0.25">
      <c r="A63" s="46"/>
      <c r="B63" s="38"/>
      <c r="C63" s="39"/>
      <c r="D63" s="37"/>
      <c r="E63" s="42"/>
      <c r="F63" s="38"/>
      <c r="G63" s="39"/>
      <c r="H63" s="42"/>
      <c r="I63" s="42"/>
      <c r="J63" s="43">
        <v>0</v>
      </c>
      <c r="K63" s="43">
        <v>0</v>
      </c>
      <c r="L63" s="56">
        <v>0</v>
      </c>
      <c r="M63" s="56">
        <v>0</v>
      </c>
      <c r="N63" s="44" t="e">
        <f t="shared" si="0"/>
        <v>#DIV/0!</v>
      </c>
      <c r="O63" s="45">
        <f t="shared" si="1"/>
        <v>0</v>
      </c>
      <c r="P63" s="43"/>
      <c r="Q63" s="45">
        <f t="shared" si="2"/>
        <v>0</v>
      </c>
      <c r="R63" s="43">
        <v>0</v>
      </c>
      <c r="S63" s="30">
        <f t="shared" si="10"/>
        <v>0</v>
      </c>
      <c r="T63" s="30">
        <f t="shared" si="10"/>
        <v>0</v>
      </c>
      <c r="U63" s="30" t="e">
        <f>T63/X63</f>
        <v>#DIV/0!</v>
      </c>
      <c r="V63" s="43" t="e">
        <f>T63/X63</f>
        <v>#DIV/0!</v>
      </c>
      <c r="W63" s="43" t="e">
        <f t="shared" si="4"/>
        <v>#DIV/0!</v>
      </c>
      <c r="X63" s="43">
        <f t="shared" si="5"/>
        <v>0</v>
      </c>
      <c r="Y63" s="43">
        <v>0</v>
      </c>
      <c r="Z63" s="43">
        <v>0</v>
      </c>
      <c r="AA63" s="43">
        <v>0</v>
      </c>
      <c r="AB63" s="43"/>
      <c r="AC63" s="43" t="e">
        <f t="shared" si="6"/>
        <v>#DIV/0!</v>
      </c>
      <c r="AD63" s="43"/>
      <c r="AE63" s="43" t="e">
        <f t="shared" si="7"/>
        <v>#DIV/0!</v>
      </c>
      <c r="AF63" s="43" t="e">
        <f t="shared" si="8"/>
        <v>#DIV/0!</v>
      </c>
      <c r="AG63" s="43" t="e">
        <f t="shared" si="9"/>
        <v>#DIV/0!</v>
      </c>
      <c r="AH63" s="38"/>
      <c r="AI63" s="38"/>
      <c r="AJ63" s="38"/>
      <c r="AK63" s="38"/>
      <c r="AL63" s="38"/>
      <c r="AM63" s="48"/>
      <c r="AN63" s="42"/>
      <c r="AO63" s="42"/>
      <c r="AP63" s="42"/>
      <c r="AQ63" s="42"/>
      <c r="AR63" s="42"/>
      <c r="AS63" s="50"/>
      <c r="AT63" s="39"/>
      <c r="AU63" s="39"/>
      <c r="AV63" s="49"/>
      <c r="AW63" s="39"/>
      <c r="AX63" s="39">
        <v>10</v>
      </c>
      <c r="AY63" s="30">
        <f>(J63*10)/100</f>
        <v>0</v>
      </c>
      <c r="AZ63" s="42"/>
    </row>
    <row r="64" spans="1:52" ht="15.75" customHeight="1" x14ac:dyDescent="0.25">
      <c r="A64" s="46"/>
      <c r="B64" s="38"/>
      <c r="C64" s="39"/>
      <c r="D64" s="37"/>
      <c r="E64" s="42"/>
      <c r="F64" s="38"/>
      <c r="G64" s="39"/>
      <c r="H64" s="42"/>
      <c r="I64" s="42"/>
      <c r="J64" s="43">
        <v>0</v>
      </c>
      <c r="K64" s="43">
        <v>0</v>
      </c>
      <c r="L64" s="56">
        <v>0</v>
      </c>
      <c r="M64" s="56">
        <v>0</v>
      </c>
      <c r="N64" s="44" t="e">
        <f t="shared" si="0"/>
        <v>#DIV/0!</v>
      </c>
      <c r="O64" s="45">
        <f t="shared" si="1"/>
        <v>0</v>
      </c>
      <c r="P64" s="43"/>
      <c r="Q64" s="45">
        <f t="shared" si="2"/>
        <v>0</v>
      </c>
      <c r="R64" s="43">
        <v>0</v>
      </c>
      <c r="S64" s="30">
        <f t="shared" si="10"/>
        <v>0</v>
      </c>
      <c r="T64" s="30">
        <f t="shared" si="10"/>
        <v>0</v>
      </c>
      <c r="U64" s="30" t="e">
        <f>T64/X64</f>
        <v>#DIV/0!</v>
      </c>
      <c r="V64" s="43" t="e">
        <f>T64/X64</f>
        <v>#DIV/0!</v>
      </c>
      <c r="W64" s="43" t="e">
        <f t="shared" si="4"/>
        <v>#DIV/0!</v>
      </c>
      <c r="X64" s="43">
        <f t="shared" si="5"/>
        <v>0</v>
      </c>
      <c r="Y64" s="43">
        <v>0</v>
      </c>
      <c r="Z64" s="43">
        <v>0</v>
      </c>
      <c r="AA64" s="43">
        <v>0</v>
      </c>
      <c r="AB64" s="43"/>
      <c r="AC64" s="43" t="e">
        <f t="shared" si="6"/>
        <v>#DIV/0!</v>
      </c>
      <c r="AD64" s="43"/>
      <c r="AE64" s="43" t="e">
        <f t="shared" si="7"/>
        <v>#DIV/0!</v>
      </c>
      <c r="AF64" s="43" t="e">
        <f t="shared" si="8"/>
        <v>#DIV/0!</v>
      </c>
      <c r="AG64" s="43" t="e">
        <f t="shared" si="9"/>
        <v>#DIV/0!</v>
      </c>
      <c r="AH64" s="38"/>
      <c r="AI64" s="38"/>
      <c r="AJ64" s="38"/>
      <c r="AK64" s="38"/>
      <c r="AL64" s="38"/>
      <c r="AM64" s="48"/>
      <c r="AN64" s="42"/>
      <c r="AO64" s="42"/>
      <c r="AP64" s="42"/>
      <c r="AQ64" s="42"/>
      <c r="AR64" s="42"/>
      <c r="AS64" s="50"/>
      <c r="AT64" s="39"/>
      <c r="AU64" s="39"/>
      <c r="AV64" s="49"/>
      <c r="AW64" s="39"/>
      <c r="AX64" s="39">
        <v>10</v>
      </c>
      <c r="AY64" s="30">
        <f>(J64*10)/100</f>
        <v>0</v>
      </c>
      <c r="AZ64" s="42"/>
    </row>
    <row r="65" spans="1:52" ht="15.75" customHeight="1" x14ac:dyDescent="0.25">
      <c r="A65" s="46"/>
      <c r="B65" s="38"/>
      <c r="C65" s="39"/>
      <c r="D65" s="37"/>
      <c r="E65" s="42"/>
      <c r="F65" s="38"/>
      <c r="G65" s="39"/>
      <c r="H65" s="42"/>
      <c r="I65" s="42"/>
      <c r="J65" s="43">
        <v>0</v>
      </c>
      <c r="K65" s="43">
        <v>0</v>
      </c>
      <c r="L65" s="56">
        <v>0</v>
      </c>
      <c r="M65" s="56">
        <v>0</v>
      </c>
      <c r="N65" s="44" t="e">
        <f t="shared" si="0"/>
        <v>#DIV/0!</v>
      </c>
      <c r="O65" s="45">
        <f t="shared" si="1"/>
        <v>0</v>
      </c>
      <c r="P65" s="43"/>
      <c r="Q65" s="45">
        <f t="shared" si="2"/>
        <v>0</v>
      </c>
      <c r="R65" s="43">
        <v>0</v>
      </c>
      <c r="S65" s="30">
        <f t="shared" si="10"/>
        <v>0</v>
      </c>
      <c r="T65" s="30">
        <f t="shared" si="10"/>
        <v>0</v>
      </c>
      <c r="U65" s="30" t="e">
        <f>T65/X65</f>
        <v>#DIV/0!</v>
      </c>
      <c r="V65" s="43" t="e">
        <f>T65/X65</f>
        <v>#DIV/0!</v>
      </c>
      <c r="W65" s="43" t="e">
        <f t="shared" si="4"/>
        <v>#DIV/0!</v>
      </c>
      <c r="X65" s="43">
        <f t="shared" si="5"/>
        <v>0</v>
      </c>
      <c r="Y65" s="43">
        <v>0</v>
      </c>
      <c r="Z65" s="43">
        <v>0</v>
      </c>
      <c r="AA65" s="43">
        <v>0</v>
      </c>
      <c r="AB65" s="43"/>
      <c r="AC65" s="43" t="e">
        <f t="shared" si="6"/>
        <v>#DIV/0!</v>
      </c>
      <c r="AD65" s="43"/>
      <c r="AE65" s="43" t="e">
        <f t="shared" si="7"/>
        <v>#DIV/0!</v>
      </c>
      <c r="AF65" s="43" t="e">
        <f t="shared" si="8"/>
        <v>#DIV/0!</v>
      </c>
      <c r="AG65" s="43" t="e">
        <f t="shared" si="9"/>
        <v>#DIV/0!</v>
      </c>
      <c r="AH65" s="38"/>
      <c r="AI65" s="38"/>
      <c r="AJ65" s="38"/>
      <c r="AK65" s="38"/>
      <c r="AL65" s="38"/>
      <c r="AM65" s="48"/>
      <c r="AN65" s="42"/>
      <c r="AO65" s="42"/>
      <c r="AP65" s="42"/>
      <c r="AQ65" s="42"/>
      <c r="AR65" s="42"/>
      <c r="AS65" s="50"/>
      <c r="AT65" s="39"/>
      <c r="AU65" s="39"/>
      <c r="AV65" s="49"/>
      <c r="AW65" s="39"/>
      <c r="AX65" s="39">
        <v>10</v>
      </c>
      <c r="AY65" s="30">
        <f>(J65*10)/100</f>
        <v>0</v>
      </c>
      <c r="AZ65" s="42"/>
    </row>
    <row r="66" spans="1:52" ht="15.75" customHeight="1" x14ac:dyDescent="0.25">
      <c r="A66" s="46"/>
      <c r="B66" s="38"/>
      <c r="C66" s="39"/>
      <c r="D66" s="37"/>
      <c r="E66" s="42"/>
      <c r="F66" s="38"/>
      <c r="G66" s="39"/>
      <c r="H66" s="42"/>
      <c r="I66" s="42"/>
      <c r="J66" s="43">
        <v>0</v>
      </c>
      <c r="K66" s="43">
        <v>0</v>
      </c>
      <c r="L66" s="56">
        <v>0</v>
      </c>
      <c r="M66" s="56">
        <v>0</v>
      </c>
      <c r="N66" s="44" t="e">
        <f t="shared" si="0"/>
        <v>#DIV/0!</v>
      </c>
      <c r="O66" s="45">
        <f t="shared" si="1"/>
        <v>0</v>
      </c>
      <c r="P66" s="43"/>
      <c r="Q66" s="45">
        <f t="shared" si="2"/>
        <v>0</v>
      </c>
      <c r="R66" s="43">
        <v>0</v>
      </c>
      <c r="S66" s="30">
        <f t="shared" si="10"/>
        <v>0</v>
      </c>
      <c r="T66" s="30">
        <f t="shared" si="10"/>
        <v>0</v>
      </c>
      <c r="U66" s="30" t="e">
        <f>T66/X66</f>
        <v>#DIV/0!</v>
      </c>
      <c r="V66" s="43" t="e">
        <f>T66/X66</f>
        <v>#DIV/0!</v>
      </c>
      <c r="W66" s="43" t="e">
        <f t="shared" si="4"/>
        <v>#DIV/0!</v>
      </c>
      <c r="X66" s="43">
        <f t="shared" si="5"/>
        <v>0</v>
      </c>
      <c r="Y66" s="43">
        <v>0</v>
      </c>
      <c r="Z66" s="43">
        <v>0</v>
      </c>
      <c r="AA66" s="43">
        <v>0</v>
      </c>
      <c r="AB66" s="43"/>
      <c r="AC66" s="43" t="e">
        <f t="shared" si="6"/>
        <v>#DIV/0!</v>
      </c>
      <c r="AD66" s="43"/>
      <c r="AE66" s="43" t="e">
        <f t="shared" si="7"/>
        <v>#DIV/0!</v>
      </c>
      <c r="AF66" s="43" t="e">
        <f t="shared" si="8"/>
        <v>#DIV/0!</v>
      </c>
      <c r="AG66" s="43" t="e">
        <f t="shared" si="9"/>
        <v>#DIV/0!</v>
      </c>
      <c r="AH66" s="38"/>
      <c r="AI66" s="38"/>
      <c r="AJ66" s="38"/>
      <c r="AK66" s="38"/>
      <c r="AL66" s="38"/>
      <c r="AM66" s="48"/>
      <c r="AN66" s="42"/>
      <c r="AO66" s="42"/>
      <c r="AP66" s="42"/>
      <c r="AQ66" s="42"/>
      <c r="AR66" s="42"/>
      <c r="AS66" s="50"/>
      <c r="AT66" s="39"/>
      <c r="AU66" s="39"/>
      <c r="AV66" s="49"/>
      <c r="AW66" s="39"/>
      <c r="AX66" s="39">
        <v>10</v>
      </c>
      <c r="AY66" s="30">
        <f>(J66*10)/100</f>
        <v>0</v>
      </c>
      <c r="AZ66" s="42"/>
    </row>
    <row r="67" spans="1:52" ht="15.75" customHeight="1" x14ac:dyDescent="0.25">
      <c r="A67" s="46"/>
      <c r="B67" s="38"/>
      <c r="C67" s="39"/>
      <c r="D67" s="37"/>
      <c r="E67" s="42"/>
      <c r="F67" s="38"/>
      <c r="G67" s="39"/>
      <c r="H67" s="42"/>
      <c r="I67" s="42"/>
      <c r="J67" s="43">
        <v>0</v>
      </c>
      <c r="K67" s="43">
        <v>0</v>
      </c>
      <c r="L67" s="56">
        <v>0</v>
      </c>
      <c r="M67" s="56">
        <v>0</v>
      </c>
      <c r="N67" s="44" t="e">
        <f t="shared" ref="N67:N112" si="11">((J67-P67)/J67)*100</f>
        <v>#DIV/0!</v>
      </c>
      <c r="O67" s="45">
        <f t="shared" ref="O67:O130" si="12">J67-P67</f>
        <v>0</v>
      </c>
      <c r="P67" s="43"/>
      <c r="Q67" s="45">
        <f t="shared" ref="Q67:Q130" si="13">J67-R67</f>
        <v>0</v>
      </c>
      <c r="R67" s="43">
        <v>0</v>
      </c>
      <c r="S67" s="30">
        <f t="shared" si="10"/>
        <v>0</v>
      </c>
      <c r="T67" s="30">
        <f t="shared" si="10"/>
        <v>0</v>
      </c>
      <c r="U67" s="30" t="e">
        <f>T67/X67</f>
        <v>#DIV/0!</v>
      </c>
      <c r="V67" s="43" t="e">
        <f>T67/X67</f>
        <v>#DIV/0!</v>
      </c>
      <c r="W67" s="43" t="e">
        <f t="shared" ref="W67:W130" si="14">V67*AV67</f>
        <v>#DIV/0!</v>
      </c>
      <c r="X67" s="43">
        <f t="shared" ref="X67:X130" si="15">Y67+Z67+AA67</f>
        <v>0</v>
      </c>
      <c r="Y67" s="43">
        <v>0</v>
      </c>
      <c r="Z67" s="43">
        <v>0</v>
      </c>
      <c r="AA67" s="43">
        <v>0</v>
      </c>
      <c r="AB67" s="43"/>
      <c r="AC67" s="43" t="e">
        <f t="shared" ref="AC67:AC130" si="16">AB67*V67</f>
        <v>#DIV/0!</v>
      </c>
      <c r="AD67" s="43"/>
      <c r="AE67" s="43" t="e">
        <f t="shared" ref="AE67:AE130" si="17">AD67*V67</f>
        <v>#DIV/0!</v>
      </c>
      <c r="AF67" s="43" t="e">
        <f t="shared" ref="AF67:AF129" si="18">X67/AV67</f>
        <v>#DIV/0!</v>
      </c>
      <c r="AG67" s="43" t="e">
        <f t="shared" ref="AG67:AG129" si="19">_xlfn.CEILING.MATH(AF67)</f>
        <v>#DIV/0!</v>
      </c>
      <c r="AH67" s="38"/>
      <c r="AI67" s="38"/>
      <c r="AJ67" s="38"/>
      <c r="AK67" s="38"/>
      <c r="AL67" s="38"/>
      <c r="AM67" s="48"/>
      <c r="AN67" s="42"/>
      <c r="AO67" s="42"/>
      <c r="AP67" s="42"/>
      <c r="AQ67" s="42"/>
      <c r="AR67" s="42"/>
      <c r="AS67" s="50"/>
      <c r="AT67" s="39"/>
      <c r="AU67" s="39"/>
      <c r="AV67" s="49"/>
      <c r="AW67" s="39"/>
      <c r="AX67" s="39">
        <v>10</v>
      </c>
      <c r="AY67" s="30">
        <f>(J67*10)/100</f>
        <v>0</v>
      </c>
      <c r="AZ67" s="42"/>
    </row>
    <row r="68" spans="1:52" ht="15.75" customHeight="1" x14ac:dyDescent="0.25">
      <c r="A68" s="46"/>
      <c r="B68" s="38"/>
      <c r="C68" s="39"/>
      <c r="D68" s="37"/>
      <c r="E68" s="42"/>
      <c r="F68" s="38"/>
      <c r="G68" s="39"/>
      <c r="H68" s="42"/>
      <c r="I68" s="42"/>
      <c r="J68" s="43">
        <v>0</v>
      </c>
      <c r="K68" s="43">
        <v>0</v>
      </c>
      <c r="L68" s="56">
        <v>0</v>
      </c>
      <c r="M68" s="56">
        <v>0</v>
      </c>
      <c r="N68" s="44" t="e">
        <f t="shared" si="11"/>
        <v>#DIV/0!</v>
      </c>
      <c r="O68" s="45">
        <f t="shared" si="12"/>
        <v>0</v>
      </c>
      <c r="P68" s="43"/>
      <c r="Q68" s="45">
        <f t="shared" si="13"/>
        <v>0</v>
      </c>
      <c r="R68" s="43">
        <v>0</v>
      </c>
      <c r="S68" s="30">
        <f t="shared" si="10"/>
        <v>0</v>
      </c>
      <c r="T68" s="30">
        <f t="shared" si="10"/>
        <v>0</v>
      </c>
      <c r="U68" s="30" t="e">
        <f>T68/X68</f>
        <v>#DIV/0!</v>
      </c>
      <c r="V68" s="43" t="e">
        <f>T68/X68</f>
        <v>#DIV/0!</v>
      </c>
      <c r="W68" s="43" t="e">
        <f t="shared" si="14"/>
        <v>#DIV/0!</v>
      </c>
      <c r="X68" s="43">
        <f t="shared" si="15"/>
        <v>0</v>
      </c>
      <c r="Y68" s="43">
        <v>0</v>
      </c>
      <c r="Z68" s="43">
        <v>0</v>
      </c>
      <c r="AA68" s="43">
        <v>0</v>
      </c>
      <c r="AB68" s="43"/>
      <c r="AC68" s="43" t="e">
        <f t="shared" si="16"/>
        <v>#DIV/0!</v>
      </c>
      <c r="AD68" s="43"/>
      <c r="AE68" s="43" t="e">
        <f t="shared" si="17"/>
        <v>#DIV/0!</v>
      </c>
      <c r="AF68" s="43" t="e">
        <f t="shared" si="18"/>
        <v>#DIV/0!</v>
      </c>
      <c r="AG68" s="43" t="e">
        <f t="shared" si="19"/>
        <v>#DIV/0!</v>
      </c>
      <c r="AH68" s="38"/>
      <c r="AI68" s="38"/>
      <c r="AJ68" s="38"/>
      <c r="AK68" s="38"/>
      <c r="AL68" s="38"/>
      <c r="AM68" s="48"/>
      <c r="AN68" s="42"/>
      <c r="AO68" s="42"/>
      <c r="AP68" s="42"/>
      <c r="AQ68" s="42"/>
      <c r="AR68" s="42"/>
      <c r="AS68" s="50"/>
      <c r="AT68" s="39"/>
      <c r="AU68" s="39"/>
      <c r="AV68" s="49"/>
      <c r="AW68" s="39"/>
      <c r="AX68" s="39">
        <v>10</v>
      </c>
      <c r="AY68" s="30">
        <f>(J68*10)/100</f>
        <v>0</v>
      </c>
      <c r="AZ68" s="42"/>
    </row>
    <row r="69" spans="1:52" ht="15.75" customHeight="1" x14ac:dyDescent="0.25">
      <c r="A69" s="46"/>
      <c r="B69" s="38"/>
      <c r="C69" s="39"/>
      <c r="D69" s="37"/>
      <c r="E69" s="42"/>
      <c r="F69" s="38"/>
      <c r="G69" s="39"/>
      <c r="H69" s="42"/>
      <c r="I69" s="42"/>
      <c r="J69" s="43">
        <v>0</v>
      </c>
      <c r="K69" s="43">
        <v>0</v>
      </c>
      <c r="L69" s="56">
        <v>0</v>
      </c>
      <c r="M69" s="56">
        <v>0</v>
      </c>
      <c r="N69" s="44" t="e">
        <f t="shared" si="11"/>
        <v>#DIV/0!</v>
      </c>
      <c r="O69" s="45">
        <f t="shared" si="12"/>
        <v>0</v>
      </c>
      <c r="P69" s="43"/>
      <c r="Q69" s="45">
        <f t="shared" si="13"/>
        <v>0</v>
      </c>
      <c r="R69" s="43">
        <v>0</v>
      </c>
      <c r="S69" s="30">
        <f t="shared" si="10"/>
        <v>0</v>
      </c>
      <c r="T69" s="30">
        <f t="shared" si="10"/>
        <v>0</v>
      </c>
      <c r="U69" s="30" t="e">
        <f>T69/X69</f>
        <v>#DIV/0!</v>
      </c>
      <c r="V69" s="43" t="e">
        <f>T69/X69</f>
        <v>#DIV/0!</v>
      </c>
      <c r="W69" s="43" t="e">
        <f t="shared" si="14"/>
        <v>#DIV/0!</v>
      </c>
      <c r="X69" s="43">
        <f t="shared" si="15"/>
        <v>0</v>
      </c>
      <c r="Y69" s="43">
        <v>0</v>
      </c>
      <c r="Z69" s="43">
        <v>0</v>
      </c>
      <c r="AA69" s="43">
        <v>0</v>
      </c>
      <c r="AB69" s="43"/>
      <c r="AC69" s="43" t="e">
        <f t="shared" si="16"/>
        <v>#DIV/0!</v>
      </c>
      <c r="AD69" s="43"/>
      <c r="AE69" s="43" t="e">
        <f t="shared" si="17"/>
        <v>#DIV/0!</v>
      </c>
      <c r="AF69" s="43" t="e">
        <f t="shared" si="18"/>
        <v>#DIV/0!</v>
      </c>
      <c r="AG69" s="43" t="e">
        <f t="shared" si="19"/>
        <v>#DIV/0!</v>
      </c>
      <c r="AH69" s="38"/>
      <c r="AI69" s="38"/>
      <c r="AJ69" s="38"/>
      <c r="AK69" s="38"/>
      <c r="AL69" s="38"/>
      <c r="AM69" s="48"/>
      <c r="AN69" s="42"/>
      <c r="AO69" s="42"/>
      <c r="AP69" s="42"/>
      <c r="AQ69" s="42"/>
      <c r="AR69" s="42"/>
      <c r="AS69" s="50"/>
      <c r="AT69" s="39"/>
      <c r="AU69" s="39"/>
      <c r="AV69" s="49"/>
      <c r="AW69" s="39"/>
      <c r="AX69" s="39">
        <v>10</v>
      </c>
      <c r="AY69" s="30">
        <f>(J69*10)/100</f>
        <v>0</v>
      </c>
      <c r="AZ69" s="42"/>
    </row>
    <row r="70" spans="1:52" ht="15.75" customHeight="1" x14ac:dyDescent="0.25">
      <c r="A70" s="46"/>
      <c r="B70" s="38"/>
      <c r="C70" s="39"/>
      <c r="D70" s="37"/>
      <c r="E70" s="42"/>
      <c r="F70" s="38"/>
      <c r="G70" s="39"/>
      <c r="H70" s="42"/>
      <c r="I70" s="42"/>
      <c r="J70" s="43">
        <v>0</v>
      </c>
      <c r="K70" s="43">
        <v>0</v>
      </c>
      <c r="L70" s="56">
        <v>0</v>
      </c>
      <c r="M70" s="56">
        <v>0</v>
      </c>
      <c r="N70" s="44" t="e">
        <f t="shared" si="11"/>
        <v>#DIV/0!</v>
      </c>
      <c r="O70" s="45">
        <f t="shared" si="12"/>
        <v>0</v>
      </c>
      <c r="P70" s="43"/>
      <c r="Q70" s="45">
        <f t="shared" si="13"/>
        <v>0</v>
      </c>
      <c r="R70" s="43">
        <v>0</v>
      </c>
      <c r="S70" s="30">
        <f t="shared" si="10"/>
        <v>0</v>
      </c>
      <c r="T70" s="30">
        <f t="shared" si="10"/>
        <v>0</v>
      </c>
      <c r="U70" s="30" t="e">
        <f>T70/X70</f>
        <v>#DIV/0!</v>
      </c>
      <c r="V70" s="43" t="e">
        <f>T70/X70</f>
        <v>#DIV/0!</v>
      </c>
      <c r="W70" s="43" t="e">
        <f t="shared" si="14"/>
        <v>#DIV/0!</v>
      </c>
      <c r="X70" s="43">
        <f t="shared" si="15"/>
        <v>0</v>
      </c>
      <c r="Y70" s="43">
        <v>0</v>
      </c>
      <c r="Z70" s="43">
        <v>0</v>
      </c>
      <c r="AA70" s="43">
        <v>0</v>
      </c>
      <c r="AB70" s="43"/>
      <c r="AC70" s="43" t="e">
        <f t="shared" si="16"/>
        <v>#DIV/0!</v>
      </c>
      <c r="AD70" s="43"/>
      <c r="AE70" s="43" t="e">
        <f t="shared" si="17"/>
        <v>#DIV/0!</v>
      </c>
      <c r="AF70" s="43" t="e">
        <f t="shared" si="18"/>
        <v>#DIV/0!</v>
      </c>
      <c r="AG70" s="43" t="e">
        <f t="shared" si="19"/>
        <v>#DIV/0!</v>
      </c>
      <c r="AH70" s="38"/>
      <c r="AI70" s="38"/>
      <c r="AJ70" s="38"/>
      <c r="AK70" s="38"/>
      <c r="AL70" s="38"/>
      <c r="AM70" s="48"/>
      <c r="AN70" s="42"/>
      <c r="AO70" s="42"/>
      <c r="AP70" s="42"/>
      <c r="AQ70" s="42"/>
      <c r="AR70" s="42"/>
      <c r="AS70" s="50"/>
      <c r="AT70" s="39"/>
      <c r="AU70" s="39"/>
      <c r="AV70" s="49"/>
      <c r="AW70" s="39"/>
      <c r="AX70" s="39">
        <v>10</v>
      </c>
      <c r="AY70" s="30">
        <f>(J70*10)/100</f>
        <v>0</v>
      </c>
      <c r="AZ70" s="42"/>
    </row>
    <row r="71" spans="1:52" ht="15.75" customHeight="1" x14ac:dyDescent="0.25">
      <c r="A71" s="46"/>
      <c r="B71" s="38"/>
      <c r="C71" s="39"/>
      <c r="D71" s="37"/>
      <c r="E71" s="42"/>
      <c r="F71" s="38"/>
      <c r="G71" s="39"/>
      <c r="H71" s="42"/>
      <c r="I71" s="42"/>
      <c r="J71" s="43">
        <v>0</v>
      </c>
      <c r="K71" s="43">
        <v>0</v>
      </c>
      <c r="L71" s="56">
        <v>0</v>
      </c>
      <c r="M71" s="56">
        <v>0</v>
      </c>
      <c r="N71" s="44" t="e">
        <f t="shared" si="11"/>
        <v>#DIV/0!</v>
      </c>
      <c r="O71" s="45">
        <f t="shared" si="12"/>
        <v>0</v>
      </c>
      <c r="P71" s="43"/>
      <c r="Q71" s="45">
        <f t="shared" si="13"/>
        <v>0</v>
      </c>
      <c r="R71" s="43">
        <v>0</v>
      </c>
      <c r="S71" s="30">
        <f t="shared" si="10"/>
        <v>0</v>
      </c>
      <c r="T71" s="30">
        <f t="shared" si="10"/>
        <v>0</v>
      </c>
      <c r="U71" s="30" t="e">
        <f>T71/X71</f>
        <v>#DIV/0!</v>
      </c>
      <c r="V71" s="43" t="e">
        <f>T71/X71</f>
        <v>#DIV/0!</v>
      </c>
      <c r="W71" s="43" t="e">
        <f t="shared" si="14"/>
        <v>#DIV/0!</v>
      </c>
      <c r="X71" s="43">
        <f t="shared" si="15"/>
        <v>0</v>
      </c>
      <c r="Y71" s="43">
        <v>0</v>
      </c>
      <c r="Z71" s="43">
        <v>0</v>
      </c>
      <c r="AA71" s="43">
        <v>0</v>
      </c>
      <c r="AB71" s="43"/>
      <c r="AC71" s="43" t="e">
        <f t="shared" si="16"/>
        <v>#DIV/0!</v>
      </c>
      <c r="AD71" s="43"/>
      <c r="AE71" s="43" t="e">
        <f t="shared" si="17"/>
        <v>#DIV/0!</v>
      </c>
      <c r="AF71" s="43" t="e">
        <f t="shared" si="18"/>
        <v>#DIV/0!</v>
      </c>
      <c r="AG71" s="43" t="e">
        <f t="shared" si="19"/>
        <v>#DIV/0!</v>
      </c>
      <c r="AH71" s="38"/>
      <c r="AI71" s="38"/>
      <c r="AJ71" s="38"/>
      <c r="AK71" s="38"/>
      <c r="AL71" s="38"/>
      <c r="AM71" s="48"/>
      <c r="AN71" s="42"/>
      <c r="AO71" s="42"/>
      <c r="AP71" s="42"/>
      <c r="AQ71" s="42"/>
      <c r="AR71" s="42"/>
      <c r="AS71" s="50"/>
      <c r="AT71" s="39"/>
      <c r="AU71" s="39"/>
      <c r="AV71" s="49"/>
      <c r="AW71" s="39"/>
      <c r="AX71" s="39">
        <v>10</v>
      </c>
      <c r="AY71" s="30">
        <f>(J71*10)/100</f>
        <v>0</v>
      </c>
      <c r="AZ71" s="42"/>
    </row>
    <row r="72" spans="1:52" ht="15.75" customHeight="1" x14ac:dyDescent="0.25">
      <c r="A72" s="46"/>
      <c r="B72" s="38"/>
      <c r="C72" s="39"/>
      <c r="D72" s="37"/>
      <c r="E72" s="42"/>
      <c r="F72" s="38"/>
      <c r="G72" s="39"/>
      <c r="H72" s="42"/>
      <c r="I72" s="42"/>
      <c r="J72" s="43">
        <v>0</v>
      </c>
      <c r="K72" s="43">
        <v>0</v>
      </c>
      <c r="L72" s="56">
        <v>0</v>
      </c>
      <c r="M72" s="56">
        <v>0</v>
      </c>
      <c r="N72" s="44" t="e">
        <f t="shared" si="11"/>
        <v>#DIV/0!</v>
      </c>
      <c r="O72" s="45">
        <f t="shared" si="12"/>
        <v>0</v>
      </c>
      <c r="P72" s="43"/>
      <c r="Q72" s="45">
        <f t="shared" si="13"/>
        <v>0</v>
      </c>
      <c r="R72" s="43">
        <v>0</v>
      </c>
      <c r="S72" s="30">
        <f t="shared" si="10"/>
        <v>0</v>
      </c>
      <c r="T72" s="30">
        <f t="shared" si="10"/>
        <v>0</v>
      </c>
      <c r="U72" s="30" t="e">
        <f>T72/X72</f>
        <v>#DIV/0!</v>
      </c>
      <c r="V72" s="43" t="e">
        <f>T72/X72</f>
        <v>#DIV/0!</v>
      </c>
      <c r="W72" s="43" t="e">
        <f t="shared" si="14"/>
        <v>#DIV/0!</v>
      </c>
      <c r="X72" s="43">
        <f t="shared" si="15"/>
        <v>0</v>
      </c>
      <c r="Y72" s="43">
        <v>0</v>
      </c>
      <c r="Z72" s="43">
        <v>0</v>
      </c>
      <c r="AA72" s="43">
        <v>0</v>
      </c>
      <c r="AB72" s="43"/>
      <c r="AC72" s="43" t="e">
        <f t="shared" si="16"/>
        <v>#DIV/0!</v>
      </c>
      <c r="AD72" s="43"/>
      <c r="AE72" s="43" t="e">
        <f t="shared" si="17"/>
        <v>#DIV/0!</v>
      </c>
      <c r="AF72" s="43" t="e">
        <f t="shared" si="18"/>
        <v>#DIV/0!</v>
      </c>
      <c r="AG72" s="43" t="e">
        <f t="shared" si="19"/>
        <v>#DIV/0!</v>
      </c>
      <c r="AH72" s="38"/>
      <c r="AI72" s="38"/>
      <c r="AJ72" s="38"/>
      <c r="AK72" s="38"/>
      <c r="AL72" s="38"/>
      <c r="AM72" s="48"/>
      <c r="AN72" s="42"/>
      <c r="AO72" s="42"/>
      <c r="AP72" s="42"/>
      <c r="AQ72" s="42"/>
      <c r="AR72" s="42"/>
      <c r="AS72" s="50"/>
      <c r="AT72" s="39"/>
      <c r="AU72" s="39"/>
      <c r="AV72" s="49"/>
      <c r="AW72" s="39"/>
      <c r="AX72" s="39">
        <v>10</v>
      </c>
      <c r="AY72" s="30">
        <f>(J72*10)/100</f>
        <v>0</v>
      </c>
      <c r="AZ72" s="42"/>
    </row>
    <row r="73" spans="1:52" ht="15.75" customHeight="1" x14ac:dyDescent="0.25">
      <c r="A73" s="46"/>
      <c r="B73" s="38"/>
      <c r="C73" s="39"/>
      <c r="D73" s="37"/>
      <c r="E73" s="42"/>
      <c r="F73" s="38"/>
      <c r="G73" s="39"/>
      <c r="H73" s="42"/>
      <c r="I73" s="42"/>
      <c r="J73" s="43">
        <v>0</v>
      </c>
      <c r="K73" s="43">
        <v>0</v>
      </c>
      <c r="L73" s="56">
        <v>0</v>
      </c>
      <c r="M73" s="56">
        <v>0</v>
      </c>
      <c r="N73" s="44" t="e">
        <f t="shared" si="11"/>
        <v>#DIV/0!</v>
      </c>
      <c r="O73" s="45">
        <f t="shared" si="12"/>
        <v>0</v>
      </c>
      <c r="P73" s="43"/>
      <c r="Q73" s="45">
        <f t="shared" si="13"/>
        <v>0</v>
      </c>
      <c r="R73" s="43">
        <v>0</v>
      </c>
      <c r="S73" s="30">
        <f t="shared" si="10"/>
        <v>0</v>
      </c>
      <c r="T73" s="30">
        <f t="shared" si="10"/>
        <v>0</v>
      </c>
      <c r="U73" s="30" t="e">
        <f>T73/X73</f>
        <v>#DIV/0!</v>
      </c>
      <c r="V73" s="43" t="e">
        <f>T73/X73</f>
        <v>#DIV/0!</v>
      </c>
      <c r="W73" s="43" t="e">
        <f t="shared" si="14"/>
        <v>#DIV/0!</v>
      </c>
      <c r="X73" s="43">
        <f t="shared" si="15"/>
        <v>0</v>
      </c>
      <c r="Y73" s="43">
        <v>0</v>
      </c>
      <c r="Z73" s="43">
        <v>0</v>
      </c>
      <c r="AA73" s="43">
        <v>0</v>
      </c>
      <c r="AB73" s="43"/>
      <c r="AC73" s="43" t="e">
        <f t="shared" si="16"/>
        <v>#DIV/0!</v>
      </c>
      <c r="AD73" s="43"/>
      <c r="AE73" s="43" t="e">
        <f t="shared" si="17"/>
        <v>#DIV/0!</v>
      </c>
      <c r="AF73" s="43" t="e">
        <f t="shared" si="18"/>
        <v>#DIV/0!</v>
      </c>
      <c r="AG73" s="43" t="e">
        <f t="shared" si="19"/>
        <v>#DIV/0!</v>
      </c>
      <c r="AH73" s="38"/>
      <c r="AI73" s="38"/>
      <c r="AJ73" s="38"/>
      <c r="AK73" s="38"/>
      <c r="AL73" s="38"/>
      <c r="AM73" s="48"/>
      <c r="AN73" s="42"/>
      <c r="AO73" s="42"/>
      <c r="AP73" s="42"/>
      <c r="AQ73" s="42"/>
      <c r="AR73" s="42"/>
      <c r="AS73" s="50"/>
      <c r="AT73" s="39"/>
      <c r="AU73" s="39"/>
      <c r="AV73" s="49"/>
      <c r="AW73" s="39"/>
      <c r="AX73" s="39">
        <v>10</v>
      </c>
      <c r="AY73" s="30">
        <f>(J73*10)/100</f>
        <v>0</v>
      </c>
      <c r="AZ73" s="42"/>
    </row>
    <row r="74" spans="1:52" ht="15.75" customHeight="1" x14ac:dyDescent="0.25">
      <c r="A74" s="46"/>
      <c r="B74" s="38"/>
      <c r="C74" s="39"/>
      <c r="D74" s="37"/>
      <c r="E74" s="42"/>
      <c r="F74" s="38"/>
      <c r="G74" s="39"/>
      <c r="H74" s="42"/>
      <c r="I74" s="42"/>
      <c r="J74" s="43">
        <v>0</v>
      </c>
      <c r="K74" s="43">
        <v>0</v>
      </c>
      <c r="L74" s="56">
        <v>0</v>
      </c>
      <c r="M74" s="56">
        <v>0</v>
      </c>
      <c r="N74" s="44" t="e">
        <f t="shared" si="11"/>
        <v>#DIV/0!</v>
      </c>
      <c r="O74" s="45">
        <f t="shared" si="12"/>
        <v>0</v>
      </c>
      <c r="P74" s="43"/>
      <c r="Q74" s="45">
        <f t="shared" si="13"/>
        <v>0</v>
      </c>
      <c r="R74" s="43">
        <v>0</v>
      </c>
      <c r="S74" s="30">
        <f t="shared" si="10"/>
        <v>0</v>
      </c>
      <c r="T74" s="30">
        <f t="shared" si="10"/>
        <v>0</v>
      </c>
      <c r="U74" s="30" t="e">
        <f>T74/X74</f>
        <v>#DIV/0!</v>
      </c>
      <c r="V74" s="43" t="e">
        <f>T74/X74</f>
        <v>#DIV/0!</v>
      </c>
      <c r="W74" s="43" t="e">
        <f t="shared" si="14"/>
        <v>#DIV/0!</v>
      </c>
      <c r="X74" s="43">
        <f t="shared" si="15"/>
        <v>0</v>
      </c>
      <c r="Y74" s="43">
        <v>0</v>
      </c>
      <c r="Z74" s="43">
        <v>0</v>
      </c>
      <c r="AA74" s="43">
        <v>0</v>
      </c>
      <c r="AB74" s="43"/>
      <c r="AC74" s="43" t="e">
        <f t="shared" si="16"/>
        <v>#DIV/0!</v>
      </c>
      <c r="AD74" s="43"/>
      <c r="AE74" s="43" t="e">
        <f t="shared" si="17"/>
        <v>#DIV/0!</v>
      </c>
      <c r="AF74" s="43" t="e">
        <f t="shared" si="18"/>
        <v>#DIV/0!</v>
      </c>
      <c r="AG74" s="43" t="e">
        <f t="shared" si="19"/>
        <v>#DIV/0!</v>
      </c>
      <c r="AH74" s="38"/>
      <c r="AI74" s="38"/>
      <c r="AJ74" s="38"/>
      <c r="AK74" s="38"/>
      <c r="AL74" s="38"/>
      <c r="AM74" s="48"/>
      <c r="AN74" s="42"/>
      <c r="AO74" s="42"/>
      <c r="AP74" s="42"/>
      <c r="AQ74" s="42"/>
      <c r="AR74" s="42"/>
      <c r="AS74" s="50"/>
      <c r="AT74" s="39"/>
      <c r="AU74" s="39"/>
      <c r="AV74" s="49"/>
      <c r="AW74" s="39"/>
      <c r="AX74" s="39">
        <v>10</v>
      </c>
      <c r="AY74" s="30">
        <f>(J74*10)/100</f>
        <v>0</v>
      </c>
      <c r="AZ74" s="42"/>
    </row>
    <row r="75" spans="1:52" ht="15.75" customHeight="1" x14ac:dyDescent="0.25">
      <c r="A75" s="46"/>
      <c r="B75" s="38"/>
      <c r="C75" s="39"/>
      <c r="D75" s="37"/>
      <c r="E75" s="42"/>
      <c r="F75" s="38"/>
      <c r="G75" s="39"/>
      <c r="H75" s="42"/>
      <c r="I75" s="42"/>
      <c r="J75" s="43">
        <v>0</v>
      </c>
      <c r="K75" s="43">
        <v>0</v>
      </c>
      <c r="L75" s="56">
        <v>0</v>
      </c>
      <c r="M75" s="56">
        <v>0</v>
      </c>
      <c r="N75" s="44" t="e">
        <f t="shared" si="11"/>
        <v>#DIV/0!</v>
      </c>
      <c r="O75" s="45">
        <f t="shared" si="12"/>
        <v>0</v>
      </c>
      <c r="P75" s="43"/>
      <c r="Q75" s="45">
        <f t="shared" si="13"/>
        <v>0</v>
      </c>
      <c r="R75" s="43">
        <v>0</v>
      </c>
      <c r="S75" s="30">
        <f t="shared" si="10"/>
        <v>0</v>
      </c>
      <c r="T75" s="30">
        <f t="shared" si="10"/>
        <v>0</v>
      </c>
      <c r="U75" s="30" t="e">
        <f>T75/X75</f>
        <v>#DIV/0!</v>
      </c>
      <c r="V75" s="43" t="e">
        <f>T75/X75</f>
        <v>#DIV/0!</v>
      </c>
      <c r="W75" s="43" t="e">
        <f t="shared" si="14"/>
        <v>#DIV/0!</v>
      </c>
      <c r="X75" s="43">
        <f t="shared" si="15"/>
        <v>0</v>
      </c>
      <c r="Y75" s="43">
        <v>0</v>
      </c>
      <c r="Z75" s="43">
        <v>0</v>
      </c>
      <c r="AA75" s="43">
        <v>0</v>
      </c>
      <c r="AB75" s="43"/>
      <c r="AC75" s="43" t="e">
        <f t="shared" si="16"/>
        <v>#DIV/0!</v>
      </c>
      <c r="AD75" s="43"/>
      <c r="AE75" s="43" t="e">
        <f t="shared" si="17"/>
        <v>#DIV/0!</v>
      </c>
      <c r="AF75" s="43" t="e">
        <f t="shared" si="18"/>
        <v>#DIV/0!</v>
      </c>
      <c r="AG75" s="43" t="e">
        <f t="shared" si="19"/>
        <v>#DIV/0!</v>
      </c>
      <c r="AH75" s="38"/>
      <c r="AI75" s="38"/>
      <c r="AJ75" s="38"/>
      <c r="AK75" s="38"/>
      <c r="AL75" s="38"/>
      <c r="AM75" s="48"/>
      <c r="AN75" s="42"/>
      <c r="AO75" s="42"/>
      <c r="AP75" s="42"/>
      <c r="AQ75" s="42"/>
      <c r="AR75" s="42"/>
      <c r="AS75" s="50"/>
      <c r="AT75" s="39"/>
      <c r="AU75" s="39"/>
      <c r="AV75" s="49"/>
      <c r="AW75" s="39"/>
      <c r="AX75" s="39">
        <v>10</v>
      </c>
      <c r="AY75" s="30">
        <f>(J75*10)/100</f>
        <v>0</v>
      </c>
      <c r="AZ75" s="42"/>
    </row>
    <row r="76" spans="1:52" ht="15.75" customHeight="1" x14ac:dyDescent="0.25">
      <c r="A76" s="46"/>
      <c r="B76" s="38"/>
      <c r="C76" s="39"/>
      <c r="D76" s="37"/>
      <c r="E76" s="42"/>
      <c r="F76" s="38"/>
      <c r="G76" s="39"/>
      <c r="H76" s="42"/>
      <c r="I76" s="42"/>
      <c r="J76" s="43">
        <v>0</v>
      </c>
      <c r="K76" s="43">
        <v>0</v>
      </c>
      <c r="L76" s="56">
        <v>0</v>
      </c>
      <c r="M76" s="56">
        <v>0</v>
      </c>
      <c r="N76" s="44" t="e">
        <f t="shared" si="11"/>
        <v>#DIV/0!</v>
      </c>
      <c r="O76" s="45">
        <f t="shared" si="12"/>
        <v>0</v>
      </c>
      <c r="P76" s="43"/>
      <c r="Q76" s="45">
        <f t="shared" si="13"/>
        <v>0</v>
      </c>
      <c r="R76" s="43">
        <v>0</v>
      </c>
      <c r="S76" s="30">
        <f t="shared" si="10"/>
        <v>0</v>
      </c>
      <c r="T76" s="30">
        <f t="shared" si="10"/>
        <v>0</v>
      </c>
      <c r="U76" s="30" t="e">
        <f>T76/X76</f>
        <v>#DIV/0!</v>
      </c>
      <c r="V76" s="43" t="e">
        <f>T76/X76</f>
        <v>#DIV/0!</v>
      </c>
      <c r="W76" s="43" t="e">
        <f t="shared" si="14"/>
        <v>#DIV/0!</v>
      </c>
      <c r="X76" s="43">
        <f t="shared" si="15"/>
        <v>0</v>
      </c>
      <c r="Y76" s="43">
        <v>0</v>
      </c>
      <c r="Z76" s="43">
        <v>0</v>
      </c>
      <c r="AA76" s="43">
        <v>0</v>
      </c>
      <c r="AB76" s="43"/>
      <c r="AC76" s="43" t="e">
        <f t="shared" si="16"/>
        <v>#DIV/0!</v>
      </c>
      <c r="AD76" s="43"/>
      <c r="AE76" s="43" t="e">
        <f t="shared" si="17"/>
        <v>#DIV/0!</v>
      </c>
      <c r="AF76" s="43" t="e">
        <f t="shared" si="18"/>
        <v>#DIV/0!</v>
      </c>
      <c r="AG76" s="43" t="e">
        <f t="shared" si="19"/>
        <v>#DIV/0!</v>
      </c>
      <c r="AH76" s="38"/>
      <c r="AI76" s="38"/>
      <c r="AJ76" s="38"/>
      <c r="AK76" s="38"/>
      <c r="AL76" s="38"/>
      <c r="AM76" s="48"/>
      <c r="AN76" s="42"/>
      <c r="AO76" s="42"/>
      <c r="AP76" s="42"/>
      <c r="AQ76" s="42"/>
      <c r="AR76" s="42"/>
      <c r="AS76" s="50"/>
      <c r="AT76" s="39"/>
      <c r="AU76" s="39"/>
      <c r="AV76" s="49"/>
      <c r="AW76" s="39"/>
      <c r="AX76" s="39">
        <v>10</v>
      </c>
      <c r="AY76" s="30">
        <f>(J76*10)/100</f>
        <v>0</v>
      </c>
      <c r="AZ76" s="42"/>
    </row>
    <row r="77" spans="1:52" ht="15.75" customHeight="1" x14ac:dyDescent="0.25">
      <c r="A77" s="46"/>
      <c r="B77" s="38"/>
      <c r="C77" s="39"/>
      <c r="D77" s="37"/>
      <c r="E77" s="42"/>
      <c r="F77" s="38"/>
      <c r="G77" s="39"/>
      <c r="H77" s="42"/>
      <c r="I77" s="42"/>
      <c r="J77" s="43">
        <v>0</v>
      </c>
      <c r="K77" s="43">
        <v>0</v>
      </c>
      <c r="L77" s="56">
        <v>0</v>
      </c>
      <c r="M77" s="56">
        <v>0</v>
      </c>
      <c r="N77" s="44" t="e">
        <f t="shared" si="11"/>
        <v>#DIV/0!</v>
      </c>
      <c r="O77" s="45">
        <f t="shared" si="12"/>
        <v>0</v>
      </c>
      <c r="P77" s="43"/>
      <c r="Q77" s="45">
        <f t="shared" si="13"/>
        <v>0</v>
      </c>
      <c r="R77" s="43">
        <v>0</v>
      </c>
      <c r="S77" s="30">
        <f t="shared" si="10"/>
        <v>0</v>
      </c>
      <c r="T77" s="30">
        <f t="shared" si="10"/>
        <v>0</v>
      </c>
      <c r="U77" s="30" t="e">
        <f>T77/X77</f>
        <v>#DIV/0!</v>
      </c>
      <c r="V77" s="43" t="e">
        <f>T77/X77</f>
        <v>#DIV/0!</v>
      </c>
      <c r="W77" s="43" t="e">
        <f t="shared" si="14"/>
        <v>#DIV/0!</v>
      </c>
      <c r="X77" s="43">
        <f t="shared" si="15"/>
        <v>0</v>
      </c>
      <c r="Y77" s="43">
        <v>0</v>
      </c>
      <c r="Z77" s="43">
        <v>0</v>
      </c>
      <c r="AA77" s="43">
        <v>0</v>
      </c>
      <c r="AB77" s="43"/>
      <c r="AC77" s="43" t="e">
        <f t="shared" si="16"/>
        <v>#DIV/0!</v>
      </c>
      <c r="AD77" s="43"/>
      <c r="AE77" s="43" t="e">
        <f t="shared" si="17"/>
        <v>#DIV/0!</v>
      </c>
      <c r="AF77" s="43" t="e">
        <f t="shared" si="18"/>
        <v>#DIV/0!</v>
      </c>
      <c r="AG77" s="43" t="e">
        <f t="shared" si="19"/>
        <v>#DIV/0!</v>
      </c>
      <c r="AH77" s="38"/>
      <c r="AI77" s="38"/>
      <c r="AJ77" s="38"/>
      <c r="AK77" s="38"/>
      <c r="AL77" s="38"/>
      <c r="AM77" s="48"/>
      <c r="AN77" s="42"/>
      <c r="AO77" s="42"/>
      <c r="AP77" s="42"/>
      <c r="AQ77" s="42"/>
      <c r="AR77" s="42"/>
      <c r="AS77" s="50"/>
      <c r="AT77" s="39"/>
      <c r="AU77" s="39"/>
      <c r="AV77" s="49"/>
      <c r="AW77" s="39"/>
      <c r="AX77" s="39">
        <v>10</v>
      </c>
      <c r="AY77" s="30">
        <f>(J77*10)/100</f>
        <v>0</v>
      </c>
      <c r="AZ77" s="42"/>
    </row>
    <row r="78" spans="1:52" ht="15.75" customHeight="1" x14ac:dyDescent="0.25">
      <c r="A78" s="46"/>
      <c r="B78" s="38"/>
      <c r="C78" s="39"/>
      <c r="D78" s="37"/>
      <c r="E78" s="42"/>
      <c r="F78" s="38"/>
      <c r="G78" s="39"/>
      <c r="H78" s="42"/>
      <c r="I78" s="42"/>
      <c r="J78" s="43">
        <v>0</v>
      </c>
      <c r="K78" s="43">
        <v>0</v>
      </c>
      <c r="L78" s="56">
        <v>0</v>
      </c>
      <c r="M78" s="56">
        <v>0</v>
      </c>
      <c r="N78" s="44" t="e">
        <f t="shared" si="11"/>
        <v>#DIV/0!</v>
      </c>
      <c r="O78" s="45">
        <f t="shared" si="12"/>
        <v>0</v>
      </c>
      <c r="P78" s="43"/>
      <c r="Q78" s="45">
        <f t="shared" si="13"/>
        <v>0</v>
      </c>
      <c r="R78" s="43">
        <v>0</v>
      </c>
      <c r="S78" s="30">
        <f t="shared" si="10"/>
        <v>0</v>
      </c>
      <c r="T78" s="30">
        <f t="shared" si="10"/>
        <v>0</v>
      </c>
      <c r="U78" s="30" t="e">
        <f>T78/X78</f>
        <v>#DIV/0!</v>
      </c>
      <c r="V78" s="43" t="e">
        <f>T78/X78</f>
        <v>#DIV/0!</v>
      </c>
      <c r="W78" s="43" t="e">
        <f t="shared" si="14"/>
        <v>#DIV/0!</v>
      </c>
      <c r="X78" s="43">
        <f t="shared" si="15"/>
        <v>0</v>
      </c>
      <c r="Y78" s="43">
        <v>0</v>
      </c>
      <c r="Z78" s="43">
        <v>0</v>
      </c>
      <c r="AA78" s="43">
        <v>0</v>
      </c>
      <c r="AB78" s="43"/>
      <c r="AC78" s="43" t="e">
        <f t="shared" si="16"/>
        <v>#DIV/0!</v>
      </c>
      <c r="AD78" s="43"/>
      <c r="AE78" s="43" t="e">
        <f t="shared" si="17"/>
        <v>#DIV/0!</v>
      </c>
      <c r="AF78" s="43" t="e">
        <f t="shared" si="18"/>
        <v>#DIV/0!</v>
      </c>
      <c r="AG78" s="43" t="e">
        <f t="shared" si="19"/>
        <v>#DIV/0!</v>
      </c>
      <c r="AH78" s="38"/>
      <c r="AI78" s="38"/>
      <c r="AJ78" s="38"/>
      <c r="AK78" s="38"/>
      <c r="AL78" s="38"/>
      <c r="AM78" s="48"/>
      <c r="AN78" s="42"/>
      <c r="AO78" s="42"/>
      <c r="AP78" s="42"/>
      <c r="AQ78" s="42"/>
      <c r="AR78" s="42"/>
      <c r="AS78" s="50"/>
      <c r="AT78" s="39"/>
      <c r="AU78" s="39"/>
      <c r="AV78" s="49"/>
      <c r="AW78" s="39"/>
      <c r="AX78" s="39">
        <v>10</v>
      </c>
      <c r="AY78" s="30">
        <f>(J78*10)/100</f>
        <v>0</v>
      </c>
      <c r="AZ78" s="42"/>
    </row>
    <row r="79" spans="1:52" ht="15.75" customHeight="1" x14ac:dyDescent="0.25">
      <c r="A79" s="46"/>
      <c r="B79" s="38"/>
      <c r="C79" s="39"/>
      <c r="D79" s="37"/>
      <c r="E79" s="42"/>
      <c r="F79" s="38"/>
      <c r="G79" s="39"/>
      <c r="H79" s="42"/>
      <c r="I79" s="42"/>
      <c r="J79" s="43">
        <v>0</v>
      </c>
      <c r="K79" s="43">
        <v>0</v>
      </c>
      <c r="L79" s="56">
        <v>0</v>
      </c>
      <c r="M79" s="56">
        <v>0</v>
      </c>
      <c r="N79" s="44" t="e">
        <f t="shared" si="11"/>
        <v>#DIV/0!</v>
      </c>
      <c r="O79" s="45">
        <f t="shared" si="12"/>
        <v>0</v>
      </c>
      <c r="P79" s="43"/>
      <c r="Q79" s="45">
        <f t="shared" si="13"/>
        <v>0</v>
      </c>
      <c r="R79" s="43">
        <v>0</v>
      </c>
      <c r="S79" s="30">
        <f t="shared" si="10"/>
        <v>0</v>
      </c>
      <c r="T79" s="30">
        <f t="shared" si="10"/>
        <v>0</v>
      </c>
      <c r="U79" s="30" t="e">
        <f>T79/X79</f>
        <v>#DIV/0!</v>
      </c>
      <c r="V79" s="43" t="e">
        <f>T79/X79</f>
        <v>#DIV/0!</v>
      </c>
      <c r="W79" s="43" t="e">
        <f t="shared" si="14"/>
        <v>#DIV/0!</v>
      </c>
      <c r="X79" s="43">
        <f t="shared" si="15"/>
        <v>0</v>
      </c>
      <c r="Y79" s="43">
        <v>0</v>
      </c>
      <c r="Z79" s="43">
        <v>0</v>
      </c>
      <c r="AA79" s="43">
        <v>0</v>
      </c>
      <c r="AB79" s="43"/>
      <c r="AC79" s="43" t="e">
        <f t="shared" si="16"/>
        <v>#DIV/0!</v>
      </c>
      <c r="AD79" s="43"/>
      <c r="AE79" s="43" t="e">
        <f t="shared" si="17"/>
        <v>#DIV/0!</v>
      </c>
      <c r="AF79" s="43" t="e">
        <f t="shared" si="18"/>
        <v>#DIV/0!</v>
      </c>
      <c r="AG79" s="43" t="e">
        <f t="shared" si="19"/>
        <v>#DIV/0!</v>
      </c>
      <c r="AH79" s="38"/>
      <c r="AI79" s="38"/>
      <c r="AJ79" s="38"/>
      <c r="AK79" s="38"/>
      <c r="AL79" s="38"/>
      <c r="AM79" s="48"/>
      <c r="AN79" s="42"/>
      <c r="AO79" s="42"/>
      <c r="AP79" s="42"/>
      <c r="AQ79" s="42"/>
      <c r="AR79" s="42"/>
      <c r="AS79" s="50"/>
      <c r="AT79" s="39"/>
      <c r="AU79" s="39"/>
      <c r="AV79" s="49"/>
      <c r="AW79" s="39"/>
      <c r="AX79" s="39">
        <v>10</v>
      </c>
      <c r="AY79" s="30">
        <f>(J79*10)/100</f>
        <v>0</v>
      </c>
      <c r="AZ79" s="42"/>
    </row>
    <row r="80" spans="1:52" ht="15.75" customHeight="1" x14ac:dyDescent="0.25">
      <c r="A80" s="46"/>
      <c r="B80" s="38"/>
      <c r="C80" s="39"/>
      <c r="D80" s="37"/>
      <c r="E80" s="42"/>
      <c r="F80" s="38"/>
      <c r="G80" s="39"/>
      <c r="H80" s="42"/>
      <c r="I80" s="42"/>
      <c r="J80" s="43">
        <v>0</v>
      </c>
      <c r="K80" s="43">
        <v>0</v>
      </c>
      <c r="L80" s="56">
        <v>0</v>
      </c>
      <c r="M80" s="56">
        <v>0</v>
      </c>
      <c r="N80" s="44" t="e">
        <f t="shared" si="11"/>
        <v>#DIV/0!</v>
      </c>
      <c r="O80" s="45">
        <f t="shared" si="12"/>
        <v>0</v>
      </c>
      <c r="P80" s="43"/>
      <c r="Q80" s="45">
        <f t="shared" si="13"/>
        <v>0</v>
      </c>
      <c r="R80" s="43">
        <v>0</v>
      </c>
      <c r="S80" s="30">
        <f t="shared" si="10"/>
        <v>0</v>
      </c>
      <c r="T80" s="30">
        <f t="shared" si="10"/>
        <v>0</v>
      </c>
      <c r="U80" s="30" t="e">
        <f>T80/X80</f>
        <v>#DIV/0!</v>
      </c>
      <c r="V80" s="43" t="e">
        <f>T80/X80</f>
        <v>#DIV/0!</v>
      </c>
      <c r="W80" s="43" t="e">
        <f t="shared" si="14"/>
        <v>#DIV/0!</v>
      </c>
      <c r="X80" s="43">
        <f t="shared" si="15"/>
        <v>0</v>
      </c>
      <c r="Y80" s="43">
        <v>0</v>
      </c>
      <c r="Z80" s="43">
        <v>0</v>
      </c>
      <c r="AA80" s="43">
        <v>0</v>
      </c>
      <c r="AB80" s="43"/>
      <c r="AC80" s="43" t="e">
        <f t="shared" si="16"/>
        <v>#DIV/0!</v>
      </c>
      <c r="AD80" s="43"/>
      <c r="AE80" s="43" t="e">
        <f t="shared" si="17"/>
        <v>#DIV/0!</v>
      </c>
      <c r="AF80" s="43" t="e">
        <f t="shared" si="18"/>
        <v>#DIV/0!</v>
      </c>
      <c r="AG80" s="43" t="e">
        <f t="shared" si="19"/>
        <v>#DIV/0!</v>
      </c>
      <c r="AH80" s="38"/>
      <c r="AI80" s="38"/>
      <c r="AJ80" s="38"/>
      <c r="AK80" s="38"/>
      <c r="AL80" s="38"/>
      <c r="AM80" s="48"/>
      <c r="AN80" s="42"/>
      <c r="AO80" s="42"/>
      <c r="AP80" s="42"/>
      <c r="AQ80" s="42"/>
      <c r="AR80" s="42"/>
      <c r="AS80" s="50"/>
      <c r="AT80" s="39"/>
      <c r="AU80" s="39"/>
      <c r="AV80" s="49"/>
      <c r="AW80" s="39"/>
      <c r="AX80" s="39">
        <v>10</v>
      </c>
      <c r="AY80" s="30">
        <f>(J80*10)/100</f>
        <v>0</v>
      </c>
      <c r="AZ80" s="42"/>
    </row>
    <row r="81" spans="1:52" ht="15.75" customHeight="1" x14ac:dyDescent="0.25">
      <c r="A81" s="46"/>
      <c r="B81" s="38"/>
      <c r="C81" s="39"/>
      <c r="D81" s="37"/>
      <c r="E81" s="42"/>
      <c r="F81" s="38"/>
      <c r="G81" s="39"/>
      <c r="H81" s="42"/>
      <c r="I81" s="42"/>
      <c r="J81" s="43">
        <v>0</v>
      </c>
      <c r="K81" s="43">
        <v>0</v>
      </c>
      <c r="L81" s="56">
        <v>0</v>
      </c>
      <c r="M81" s="56">
        <v>0</v>
      </c>
      <c r="N81" s="44" t="e">
        <f t="shared" si="11"/>
        <v>#DIV/0!</v>
      </c>
      <c r="O81" s="45">
        <f t="shared" si="12"/>
        <v>0</v>
      </c>
      <c r="P81" s="43"/>
      <c r="Q81" s="45">
        <f t="shared" si="13"/>
        <v>0</v>
      </c>
      <c r="R81" s="43">
        <v>0</v>
      </c>
      <c r="S81" s="30">
        <f t="shared" si="10"/>
        <v>0</v>
      </c>
      <c r="T81" s="30">
        <f t="shared" si="10"/>
        <v>0</v>
      </c>
      <c r="U81" s="30" t="e">
        <f>T81/X81</f>
        <v>#DIV/0!</v>
      </c>
      <c r="V81" s="43" t="e">
        <f>T81/X81</f>
        <v>#DIV/0!</v>
      </c>
      <c r="W81" s="43" t="e">
        <f t="shared" si="14"/>
        <v>#DIV/0!</v>
      </c>
      <c r="X81" s="43">
        <f t="shared" si="15"/>
        <v>0</v>
      </c>
      <c r="Y81" s="43">
        <v>0</v>
      </c>
      <c r="Z81" s="43">
        <v>0</v>
      </c>
      <c r="AA81" s="43">
        <v>0</v>
      </c>
      <c r="AB81" s="43"/>
      <c r="AC81" s="43" t="e">
        <f t="shared" si="16"/>
        <v>#DIV/0!</v>
      </c>
      <c r="AD81" s="43"/>
      <c r="AE81" s="43" t="e">
        <f t="shared" si="17"/>
        <v>#DIV/0!</v>
      </c>
      <c r="AF81" s="43" t="e">
        <f t="shared" si="18"/>
        <v>#DIV/0!</v>
      </c>
      <c r="AG81" s="43" t="e">
        <f t="shared" si="19"/>
        <v>#DIV/0!</v>
      </c>
      <c r="AH81" s="38"/>
      <c r="AI81" s="38"/>
      <c r="AJ81" s="38"/>
      <c r="AK81" s="38"/>
      <c r="AL81" s="38"/>
      <c r="AM81" s="48"/>
      <c r="AN81" s="42"/>
      <c r="AO81" s="42"/>
      <c r="AP81" s="42"/>
      <c r="AQ81" s="42"/>
      <c r="AR81" s="42"/>
      <c r="AS81" s="50"/>
      <c r="AT81" s="39"/>
      <c r="AU81" s="39"/>
      <c r="AV81" s="49"/>
      <c r="AW81" s="39"/>
      <c r="AX81" s="39">
        <v>10</v>
      </c>
      <c r="AY81" s="30">
        <f>(J81*10)/100</f>
        <v>0</v>
      </c>
      <c r="AZ81" s="42"/>
    </row>
    <row r="82" spans="1:52" ht="15.75" customHeight="1" x14ac:dyDescent="0.25">
      <c r="A82" s="46"/>
      <c r="B82" s="38"/>
      <c r="C82" s="39"/>
      <c r="D82" s="37"/>
      <c r="E82" s="42"/>
      <c r="F82" s="38"/>
      <c r="G82" s="39"/>
      <c r="H82" s="42"/>
      <c r="I82" s="42"/>
      <c r="J82" s="43">
        <v>0</v>
      </c>
      <c r="K82" s="43">
        <v>0</v>
      </c>
      <c r="L82" s="56">
        <v>0</v>
      </c>
      <c r="M82" s="56">
        <v>0</v>
      </c>
      <c r="N82" s="44" t="e">
        <f t="shared" si="11"/>
        <v>#DIV/0!</v>
      </c>
      <c r="O82" s="45">
        <f t="shared" si="12"/>
        <v>0</v>
      </c>
      <c r="P82" s="43"/>
      <c r="Q82" s="45">
        <f t="shared" si="13"/>
        <v>0</v>
      </c>
      <c r="R82" s="43">
        <v>0</v>
      </c>
      <c r="S82" s="30">
        <f t="shared" si="10"/>
        <v>0</v>
      </c>
      <c r="T82" s="30">
        <f t="shared" si="10"/>
        <v>0</v>
      </c>
      <c r="U82" s="30" t="e">
        <f>T82/X82</f>
        <v>#DIV/0!</v>
      </c>
      <c r="V82" s="43" t="e">
        <f>T82/X82</f>
        <v>#DIV/0!</v>
      </c>
      <c r="W82" s="43" t="e">
        <f t="shared" si="14"/>
        <v>#DIV/0!</v>
      </c>
      <c r="X82" s="43">
        <f t="shared" si="15"/>
        <v>0</v>
      </c>
      <c r="Y82" s="43">
        <v>0</v>
      </c>
      <c r="Z82" s="43">
        <v>0</v>
      </c>
      <c r="AA82" s="43">
        <v>0</v>
      </c>
      <c r="AB82" s="43"/>
      <c r="AC82" s="43" t="e">
        <f t="shared" si="16"/>
        <v>#DIV/0!</v>
      </c>
      <c r="AD82" s="43"/>
      <c r="AE82" s="43" t="e">
        <f t="shared" si="17"/>
        <v>#DIV/0!</v>
      </c>
      <c r="AF82" s="43" t="e">
        <f t="shared" si="18"/>
        <v>#DIV/0!</v>
      </c>
      <c r="AG82" s="43" t="e">
        <f t="shared" si="19"/>
        <v>#DIV/0!</v>
      </c>
      <c r="AH82" s="38"/>
      <c r="AI82" s="38"/>
      <c r="AJ82" s="38"/>
      <c r="AK82" s="38"/>
      <c r="AL82" s="38"/>
      <c r="AM82" s="48"/>
      <c r="AN82" s="42"/>
      <c r="AO82" s="42"/>
      <c r="AP82" s="42"/>
      <c r="AQ82" s="42"/>
      <c r="AR82" s="42"/>
      <c r="AS82" s="50"/>
      <c r="AT82" s="39"/>
      <c r="AU82" s="39"/>
      <c r="AV82" s="49"/>
      <c r="AW82" s="39"/>
      <c r="AX82" s="39">
        <v>10</v>
      </c>
      <c r="AY82" s="30">
        <f>(J82*10)/100</f>
        <v>0</v>
      </c>
      <c r="AZ82" s="42"/>
    </row>
    <row r="83" spans="1:52" ht="15.75" customHeight="1" x14ac:dyDescent="0.25">
      <c r="A83" s="46"/>
      <c r="B83" s="38"/>
      <c r="C83" s="39"/>
      <c r="D83" s="37"/>
      <c r="E83" s="42"/>
      <c r="F83" s="38"/>
      <c r="G83" s="39"/>
      <c r="H83" s="42"/>
      <c r="I83" s="42"/>
      <c r="J83" s="43">
        <v>0</v>
      </c>
      <c r="K83" s="43">
        <v>0</v>
      </c>
      <c r="L83" s="56">
        <v>0</v>
      </c>
      <c r="M83" s="56">
        <v>0</v>
      </c>
      <c r="N83" s="44" t="e">
        <f t="shared" si="11"/>
        <v>#DIV/0!</v>
      </c>
      <c r="O83" s="45">
        <f t="shared" si="12"/>
        <v>0</v>
      </c>
      <c r="P83" s="43"/>
      <c r="Q83" s="45">
        <f t="shared" si="13"/>
        <v>0</v>
      </c>
      <c r="R83" s="43">
        <v>0</v>
      </c>
      <c r="S83" s="30">
        <f t="shared" si="10"/>
        <v>0</v>
      </c>
      <c r="T83" s="30">
        <f t="shared" si="10"/>
        <v>0</v>
      </c>
      <c r="U83" s="30" t="e">
        <f>T83/X83</f>
        <v>#DIV/0!</v>
      </c>
      <c r="V83" s="43" t="e">
        <f>T83/X83</f>
        <v>#DIV/0!</v>
      </c>
      <c r="W83" s="43" t="e">
        <f t="shared" si="14"/>
        <v>#DIV/0!</v>
      </c>
      <c r="X83" s="43">
        <f t="shared" si="15"/>
        <v>0</v>
      </c>
      <c r="Y83" s="43">
        <v>0</v>
      </c>
      <c r="Z83" s="43">
        <v>0</v>
      </c>
      <c r="AA83" s="43">
        <v>0</v>
      </c>
      <c r="AB83" s="43"/>
      <c r="AC83" s="43" t="e">
        <f t="shared" si="16"/>
        <v>#DIV/0!</v>
      </c>
      <c r="AD83" s="43"/>
      <c r="AE83" s="43" t="e">
        <f t="shared" si="17"/>
        <v>#DIV/0!</v>
      </c>
      <c r="AF83" s="43" t="e">
        <f t="shared" si="18"/>
        <v>#DIV/0!</v>
      </c>
      <c r="AG83" s="43" t="e">
        <f t="shared" si="19"/>
        <v>#DIV/0!</v>
      </c>
      <c r="AH83" s="38"/>
      <c r="AI83" s="38"/>
      <c r="AJ83" s="38"/>
      <c r="AK83" s="38"/>
      <c r="AL83" s="38"/>
      <c r="AM83" s="48"/>
      <c r="AN83" s="42"/>
      <c r="AO83" s="42"/>
      <c r="AP83" s="42"/>
      <c r="AQ83" s="42"/>
      <c r="AR83" s="42"/>
      <c r="AS83" s="50"/>
      <c r="AT83" s="39"/>
      <c r="AU83" s="39"/>
      <c r="AV83" s="49"/>
      <c r="AW83" s="39"/>
      <c r="AX83" s="39">
        <v>10</v>
      </c>
      <c r="AY83" s="30">
        <f>(J83*10)/100</f>
        <v>0</v>
      </c>
      <c r="AZ83" s="42"/>
    </row>
    <row r="84" spans="1:52" ht="15.75" customHeight="1" x14ac:dyDescent="0.25">
      <c r="A84" s="46"/>
      <c r="B84" s="38"/>
      <c r="C84" s="39"/>
      <c r="D84" s="37"/>
      <c r="E84" s="42"/>
      <c r="F84" s="38"/>
      <c r="G84" s="39"/>
      <c r="H84" s="42"/>
      <c r="I84" s="42"/>
      <c r="J84" s="43">
        <v>0</v>
      </c>
      <c r="K84" s="43">
        <v>0</v>
      </c>
      <c r="L84" s="56">
        <v>0</v>
      </c>
      <c r="M84" s="56">
        <v>0</v>
      </c>
      <c r="N84" s="44" t="e">
        <f t="shared" si="11"/>
        <v>#DIV/0!</v>
      </c>
      <c r="O84" s="45">
        <f t="shared" si="12"/>
        <v>0</v>
      </c>
      <c r="P84" s="43"/>
      <c r="Q84" s="45">
        <f t="shared" si="13"/>
        <v>0</v>
      </c>
      <c r="R84" s="43">
        <v>0</v>
      </c>
      <c r="S84" s="30">
        <f t="shared" si="10"/>
        <v>0</v>
      </c>
      <c r="T84" s="30">
        <f t="shared" si="10"/>
        <v>0</v>
      </c>
      <c r="U84" s="30" t="e">
        <f>T84/X84</f>
        <v>#DIV/0!</v>
      </c>
      <c r="V84" s="43" t="e">
        <f>T84/X84</f>
        <v>#DIV/0!</v>
      </c>
      <c r="W84" s="43" t="e">
        <f t="shared" si="14"/>
        <v>#DIV/0!</v>
      </c>
      <c r="X84" s="43">
        <f t="shared" si="15"/>
        <v>0</v>
      </c>
      <c r="Y84" s="43">
        <v>0</v>
      </c>
      <c r="Z84" s="43">
        <v>0</v>
      </c>
      <c r="AA84" s="43">
        <v>0</v>
      </c>
      <c r="AB84" s="43"/>
      <c r="AC84" s="43" t="e">
        <f t="shared" si="16"/>
        <v>#DIV/0!</v>
      </c>
      <c r="AD84" s="43"/>
      <c r="AE84" s="43" t="e">
        <f t="shared" si="17"/>
        <v>#DIV/0!</v>
      </c>
      <c r="AF84" s="43" t="e">
        <f t="shared" si="18"/>
        <v>#DIV/0!</v>
      </c>
      <c r="AG84" s="43" t="e">
        <f t="shared" si="19"/>
        <v>#DIV/0!</v>
      </c>
      <c r="AH84" s="38"/>
      <c r="AI84" s="38"/>
      <c r="AJ84" s="38"/>
      <c r="AK84" s="38"/>
      <c r="AL84" s="38"/>
      <c r="AM84" s="48"/>
      <c r="AN84" s="42"/>
      <c r="AO84" s="42"/>
      <c r="AP84" s="42"/>
      <c r="AQ84" s="42"/>
      <c r="AR84" s="42"/>
      <c r="AS84" s="50"/>
      <c r="AT84" s="39"/>
      <c r="AU84" s="39"/>
      <c r="AV84" s="49"/>
      <c r="AW84" s="39"/>
      <c r="AX84" s="39">
        <v>10</v>
      </c>
      <c r="AY84" s="30">
        <f>(J84*10)/100</f>
        <v>0</v>
      </c>
      <c r="AZ84" s="42"/>
    </row>
    <row r="85" spans="1:52" ht="15.75" customHeight="1" x14ac:dyDescent="0.25">
      <c r="A85" s="46"/>
      <c r="B85" s="38"/>
      <c r="C85" s="39"/>
      <c r="D85" s="37"/>
      <c r="E85" s="42"/>
      <c r="F85" s="38"/>
      <c r="G85" s="39"/>
      <c r="H85" s="42"/>
      <c r="I85" s="42"/>
      <c r="J85" s="43">
        <v>0</v>
      </c>
      <c r="K85" s="43">
        <v>0</v>
      </c>
      <c r="L85" s="56">
        <v>0</v>
      </c>
      <c r="M85" s="56">
        <v>0</v>
      </c>
      <c r="N85" s="44" t="e">
        <f t="shared" si="11"/>
        <v>#DIV/0!</v>
      </c>
      <c r="O85" s="45">
        <f t="shared" si="12"/>
        <v>0</v>
      </c>
      <c r="P85" s="43"/>
      <c r="Q85" s="45">
        <f t="shared" si="13"/>
        <v>0</v>
      </c>
      <c r="R85" s="43">
        <v>0</v>
      </c>
      <c r="S85" s="30">
        <f t="shared" si="10"/>
        <v>0</v>
      </c>
      <c r="T85" s="30">
        <f t="shared" si="10"/>
        <v>0</v>
      </c>
      <c r="U85" s="30" t="e">
        <f>T85/X85</f>
        <v>#DIV/0!</v>
      </c>
      <c r="V85" s="43" t="e">
        <f>T85/X85</f>
        <v>#DIV/0!</v>
      </c>
      <c r="W85" s="43" t="e">
        <f t="shared" si="14"/>
        <v>#DIV/0!</v>
      </c>
      <c r="X85" s="43">
        <f t="shared" si="15"/>
        <v>0</v>
      </c>
      <c r="Y85" s="43">
        <v>0</v>
      </c>
      <c r="Z85" s="43">
        <v>0</v>
      </c>
      <c r="AA85" s="43">
        <v>0</v>
      </c>
      <c r="AB85" s="43"/>
      <c r="AC85" s="43" t="e">
        <f t="shared" si="16"/>
        <v>#DIV/0!</v>
      </c>
      <c r="AD85" s="43"/>
      <c r="AE85" s="43" t="e">
        <f t="shared" si="17"/>
        <v>#DIV/0!</v>
      </c>
      <c r="AF85" s="43" t="e">
        <f t="shared" si="18"/>
        <v>#DIV/0!</v>
      </c>
      <c r="AG85" s="43" t="e">
        <f t="shared" si="19"/>
        <v>#DIV/0!</v>
      </c>
      <c r="AH85" s="38"/>
      <c r="AI85" s="38"/>
      <c r="AJ85" s="38"/>
      <c r="AK85" s="38"/>
      <c r="AL85" s="38"/>
      <c r="AM85" s="48"/>
      <c r="AN85" s="42"/>
      <c r="AO85" s="42"/>
      <c r="AP85" s="42"/>
      <c r="AQ85" s="42"/>
      <c r="AR85" s="42"/>
      <c r="AS85" s="50"/>
      <c r="AT85" s="39"/>
      <c r="AU85" s="39"/>
      <c r="AV85" s="49"/>
      <c r="AW85" s="39"/>
      <c r="AX85" s="39">
        <v>10</v>
      </c>
      <c r="AY85" s="30">
        <f>(J85*10)/100</f>
        <v>0</v>
      </c>
      <c r="AZ85" s="42"/>
    </row>
    <row r="86" spans="1:52" ht="15.75" customHeight="1" x14ac:dyDescent="0.25">
      <c r="A86" s="46"/>
      <c r="B86" s="38"/>
      <c r="C86" s="39"/>
      <c r="D86" s="37"/>
      <c r="E86" s="42"/>
      <c r="F86" s="38"/>
      <c r="G86" s="39"/>
      <c r="H86" s="42"/>
      <c r="I86" s="42"/>
      <c r="J86" s="43">
        <v>0</v>
      </c>
      <c r="K86" s="43">
        <v>0</v>
      </c>
      <c r="L86" s="56">
        <v>0</v>
      </c>
      <c r="M86" s="56">
        <v>0</v>
      </c>
      <c r="N86" s="44" t="e">
        <f t="shared" si="11"/>
        <v>#DIV/0!</v>
      </c>
      <c r="O86" s="45">
        <f t="shared" si="12"/>
        <v>0</v>
      </c>
      <c r="P86" s="43"/>
      <c r="Q86" s="45">
        <f t="shared" si="13"/>
        <v>0</v>
      </c>
      <c r="R86" s="43">
        <v>0</v>
      </c>
      <c r="S86" s="30">
        <f t="shared" si="10"/>
        <v>0</v>
      </c>
      <c r="T86" s="30">
        <f t="shared" si="10"/>
        <v>0</v>
      </c>
      <c r="U86" s="30" t="e">
        <f>T86/X86</f>
        <v>#DIV/0!</v>
      </c>
      <c r="V86" s="43" t="e">
        <f>T86/X86</f>
        <v>#DIV/0!</v>
      </c>
      <c r="W86" s="43" t="e">
        <f t="shared" si="14"/>
        <v>#DIV/0!</v>
      </c>
      <c r="X86" s="43">
        <f t="shared" si="15"/>
        <v>0</v>
      </c>
      <c r="Y86" s="43">
        <v>0</v>
      </c>
      <c r="Z86" s="43">
        <v>0</v>
      </c>
      <c r="AA86" s="43">
        <v>0</v>
      </c>
      <c r="AB86" s="43"/>
      <c r="AC86" s="43" t="e">
        <f t="shared" si="16"/>
        <v>#DIV/0!</v>
      </c>
      <c r="AD86" s="43"/>
      <c r="AE86" s="43" t="e">
        <f t="shared" si="17"/>
        <v>#DIV/0!</v>
      </c>
      <c r="AF86" s="43" t="e">
        <f t="shared" si="18"/>
        <v>#DIV/0!</v>
      </c>
      <c r="AG86" s="43" t="e">
        <f t="shared" si="19"/>
        <v>#DIV/0!</v>
      </c>
      <c r="AH86" s="38"/>
      <c r="AI86" s="38"/>
      <c r="AJ86" s="38"/>
      <c r="AK86" s="38"/>
      <c r="AL86" s="38"/>
      <c r="AM86" s="48"/>
      <c r="AN86" s="42"/>
      <c r="AO86" s="42"/>
      <c r="AP86" s="42"/>
      <c r="AQ86" s="42"/>
      <c r="AR86" s="42"/>
      <c r="AS86" s="50"/>
      <c r="AT86" s="39"/>
      <c r="AU86" s="39"/>
      <c r="AV86" s="49"/>
      <c r="AW86" s="39"/>
      <c r="AX86" s="39">
        <v>10</v>
      </c>
      <c r="AY86" s="30">
        <f>(J86*10)/100</f>
        <v>0</v>
      </c>
      <c r="AZ86" s="42"/>
    </row>
    <row r="87" spans="1:52" ht="15.75" customHeight="1" x14ac:dyDescent="0.25">
      <c r="A87" s="46"/>
      <c r="B87" s="38"/>
      <c r="C87" s="39"/>
      <c r="D87" s="37"/>
      <c r="E87" s="42"/>
      <c r="F87" s="38"/>
      <c r="G87" s="39"/>
      <c r="H87" s="42"/>
      <c r="I87" s="42"/>
      <c r="J87" s="43">
        <v>0</v>
      </c>
      <c r="K87" s="43">
        <v>0</v>
      </c>
      <c r="L87" s="56">
        <v>0</v>
      </c>
      <c r="M87" s="56">
        <v>0</v>
      </c>
      <c r="N87" s="44" t="e">
        <f t="shared" si="11"/>
        <v>#DIV/0!</v>
      </c>
      <c r="O87" s="45">
        <f t="shared" si="12"/>
        <v>0</v>
      </c>
      <c r="P87" s="43"/>
      <c r="Q87" s="45">
        <f t="shared" si="13"/>
        <v>0</v>
      </c>
      <c r="R87" s="43">
        <v>0</v>
      </c>
      <c r="S87" s="30">
        <f t="shared" si="10"/>
        <v>0</v>
      </c>
      <c r="T87" s="30">
        <f t="shared" si="10"/>
        <v>0</v>
      </c>
      <c r="U87" s="30" t="e">
        <f>T87/X87</f>
        <v>#DIV/0!</v>
      </c>
      <c r="V87" s="43" t="e">
        <f>T87/X87</f>
        <v>#DIV/0!</v>
      </c>
      <c r="W87" s="43" t="e">
        <f t="shared" si="14"/>
        <v>#DIV/0!</v>
      </c>
      <c r="X87" s="43">
        <f t="shared" si="15"/>
        <v>0</v>
      </c>
      <c r="Y87" s="43">
        <v>0</v>
      </c>
      <c r="Z87" s="43">
        <v>0</v>
      </c>
      <c r="AA87" s="43">
        <v>0</v>
      </c>
      <c r="AB87" s="43"/>
      <c r="AC87" s="43" t="e">
        <f t="shared" si="16"/>
        <v>#DIV/0!</v>
      </c>
      <c r="AD87" s="43"/>
      <c r="AE87" s="43" t="e">
        <f t="shared" si="17"/>
        <v>#DIV/0!</v>
      </c>
      <c r="AF87" s="43" t="e">
        <f t="shared" si="18"/>
        <v>#DIV/0!</v>
      </c>
      <c r="AG87" s="43" t="e">
        <f t="shared" si="19"/>
        <v>#DIV/0!</v>
      </c>
      <c r="AH87" s="38"/>
      <c r="AI87" s="38"/>
      <c r="AJ87" s="38"/>
      <c r="AK87" s="38"/>
      <c r="AL87" s="38"/>
      <c r="AM87" s="48"/>
      <c r="AN87" s="42"/>
      <c r="AO87" s="42"/>
      <c r="AP87" s="42"/>
      <c r="AQ87" s="42"/>
      <c r="AR87" s="42"/>
      <c r="AS87" s="50"/>
      <c r="AT87" s="39"/>
      <c r="AU87" s="39"/>
      <c r="AV87" s="49"/>
      <c r="AW87" s="39"/>
      <c r="AX87" s="39">
        <v>10</v>
      </c>
      <c r="AY87" s="30">
        <f>(J87*10)/100</f>
        <v>0</v>
      </c>
      <c r="AZ87" s="42"/>
    </row>
    <row r="88" spans="1:52" ht="15.75" customHeight="1" x14ac:dyDescent="0.25">
      <c r="A88" s="46"/>
      <c r="B88" s="38"/>
      <c r="C88" s="39"/>
      <c r="D88" s="37"/>
      <c r="E88" s="42"/>
      <c r="F88" s="38"/>
      <c r="G88" s="39"/>
      <c r="H88" s="42"/>
      <c r="I88" s="42"/>
      <c r="J88" s="43">
        <v>0</v>
      </c>
      <c r="K88" s="43">
        <v>0</v>
      </c>
      <c r="L88" s="56">
        <v>0</v>
      </c>
      <c r="M88" s="56">
        <v>0</v>
      </c>
      <c r="N88" s="44" t="e">
        <f t="shared" si="11"/>
        <v>#DIV/0!</v>
      </c>
      <c r="O88" s="45">
        <f t="shared" si="12"/>
        <v>0</v>
      </c>
      <c r="P88" s="43"/>
      <c r="Q88" s="45">
        <f t="shared" si="13"/>
        <v>0</v>
      </c>
      <c r="R88" s="43">
        <v>0</v>
      </c>
      <c r="S88" s="30">
        <f t="shared" si="10"/>
        <v>0</v>
      </c>
      <c r="T88" s="30">
        <f t="shared" si="10"/>
        <v>0</v>
      </c>
      <c r="U88" s="30" t="e">
        <f>T88/X88</f>
        <v>#DIV/0!</v>
      </c>
      <c r="V88" s="43" t="e">
        <f>T88/X88</f>
        <v>#DIV/0!</v>
      </c>
      <c r="W88" s="43" t="e">
        <f t="shared" si="14"/>
        <v>#DIV/0!</v>
      </c>
      <c r="X88" s="43">
        <f t="shared" si="15"/>
        <v>0</v>
      </c>
      <c r="Y88" s="43">
        <v>0</v>
      </c>
      <c r="Z88" s="43">
        <v>0</v>
      </c>
      <c r="AA88" s="43">
        <v>0</v>
      </c>
      <c r="AB88" s="43"/>
      <c r="AC88" s="43" t="e">
        <f t="shared" si="16"/>
        <v>#DIV/0!</v>
      </c>
      <c r="AD88" s="43"/>
      <c r="AE88" s="43" t="e">
        <f t="shared" si="17"/>
        <v>#DIV/0!</v>
      </c>
      <c r="AF88" s="43" t="e">
        <f t="shared" si="18"/>
        <v>#DIV/0!</v>
      </c>
      <c r="AG88" s="43" t="e">
        <f t="shared" si="19"/>
        <v>#DIV/0!</v>
      </c>
      <c r="AH88" s="38"/>
      <c r="AI88" s="38"/>
      <c r="AJ88" s="38"/>
      <c r="AK88" s="38"/>
      <c r="AL88" s="38"/>
      <c r="AM88" s="48"/>
      <c r="AN88" s="42"/>
      <c r="AO88" s="42"/>
      <c r="AP88" s="42"/>
      <c r="AQ88" s="42"/>
      <c r="AR88" s="42"/>
      <c r="AS88" s="50"/>
      <c r="AT88" s="39"/>
      <c r="AU88" s="39"/>
      <c r="AV88" s="49"/>
      <c r="AW88" s="39"/>
      <c r="AX88" s="39">
        <v>10</v>
      </c>
      <c r="AY88" s="30">
        <f>(J88*10)/100</f>
        <v>0</v>
      </c>
      <c r="AZ88" s="42"/>
    </row>
    <row r="89" spans="1:52" ht="15.75" customHeight="1" x14ac:dyDescent="0.25">
      <c r="A89" s="46"/>
      <c r="B89" s="38"/>
      <c r="C89" s="39"/>
      <c r="D89" s="37"/>
      <c r="E89" s="42"/>
      <c r="F89" s="38"/>
      <c r="G89" s="39"/>
      <c r="H89" s="42"/>
      <c r="I89" s="42"/>
      <c r="J89" s="43">
        <v>0</v>
      </c>
      <c r="K89" s="43">
        <v>0</v>
      </c>
      <c r="L89" s="56">
        <v>0</v>
      </c>
      <c r="M89" s="56">
        <v>0</v>
      </c>
      <c r="N89" s="44" t="e">
        <f t="shared" si="11"/>
        <v>#DIV/0!</v>
      </c>
      <c r="O89" s="45">
        <f t="shared" si="12"/>
        <v>0</v>
      </c>
      <c r="P89" s="43"/>
      <c r="Q89" s="45">
        <f t="shared" si="13"/>
        <v>0</v>
      </c>
      <c r="R89" s="43">
        <v>0</v>
      </c>
      <c r="S89" s="30">
        <f t="shared" si="10"/>
        <v>0</v>
      </c>
      <c r="T89" s="30">
        <f t="shared" si="10"/>
        <v>0</v>
      </c>
      <c r="U89" s="30" t="e">
        <f>T89/X89</f>
        <v>#DIV/0!</v>
      </c>
      <c r="V89" s="43" t="e">
        <f>T89/X89</f>
        <v>#DIV/0!</v>
      </c>
      <c r="W89" s="43" t="e">
        <f t="shared" si="14"/>
        <v>#DIV/0!</v>
      </c>
      <c r="X89" s="43">
        <f t="shared" si="15"/>
        <v>0</v>
      </c>
      <c r="Y89" s="43">
        <v>0</v>
      </c>
      <c r="Z89" s="43">
        <v>0</v>
      </c>
      <c r="AA89" s="43">
        <v>0</v>
      </c>
      <c r="AB89" s="43"/>
      <c r="AC89" s="43" t="e">
        <f t="shared" si="16"/>
        <v>#DIV/0!</v>
      </c>
      <c r="AD89" s="43"/>
      <c r="AE89" s="43" t="e">
        <f t="shared" si="17"/>
        <v>#DIV/0!</v>
      </c>
      <c r="AF89" s="43" t="e">
        <f t="shared" si="18"/>
        <v>#DIV/0!</v>
      </c>
      <c r="AG89" s="43" t="e">
        <f t="shared" si="19"/>
        <v>#DIV/0!</v>
      </c>
      <c r="AH89" s="38"/>
      <c r="AI89" s="38"/>
      <c r="AJ89" s="38"/>
      <c r="AK89" s="38"/>
      <c r="AL89" s="38"/>
      <c r="AM89" s="48"/>
      <c r="AN89" s="42"/>
      <c r="AO89" s="42"/>
      <c r="AP89" s="42"/>
      <c r="AQ89" s="42"/>
      <c r="AR89" s="42"/>
      <c r="AS89" s="50"/>
      <c r="AT89" s="39"/>
      <c r="AU89" s="39"/>
      <c r="AV89" s="49"/>
      <c r="AW89" s="39"/>
      <c r="AX89" s="39">
        <v>10</v>
      </c>
      <c r="AY89" s="30">
        <f>(J89*10)/100</f>
        <v>0</v>
      </c>
      <c r="AZ89" s="42"/>
    </row>
    <row r="90" spans="1:52" ht="15.75" customHeight="1" x14ac:dyDescent="0.25">
      <c r="A90" s="46"/>
      <c r="B90" s="38"/>
      <c r="C90" s="39"/>
      <c r="D90" s="37"/>
      <c r="E90" s="42"/>
      <c r="F90" s="38"/>
      <c r="G90" s="39"/>
      <c r="H90" s="42"/>
      <c r="I90" s="42"/>
      <c r="J90" s="43">
        <v>0</v>
      </c>
      <c r="K90" s="43">
        <v>0</v>
      </c>
      <c r="L90" s="56">
        <v>0</v>
      </c>
      <c r="M90" s="56">
        <v>0</v>
      </c>
      <c r="N90" s="44" t="e">
        <f t="shared" si="11"/>
        <v>#DIV/0!</v>
      </c>
      <c r="O90" s="45">
        <f t="shared" si="12"/>
        <v>0</v>
      </c>
      <c r="P90" s="43"/>
      <c r="Q90" s="45">
        <f t="shared" si="13"/>
        <v>0</v>
      </c>
      <c r="R90" s="43">
        <v>0</v>
      </c>
      <c r="S90" s="30">
        <f t="shared" si="10"/>
        <v>0</v>
      </c>
      <c r="T90" s="30">
        <f t="shared" si="10"/>
        <v>0</v>
      </c>
      <c r="U90" s="30" t="e">
        <f>T90/X90</f>
        <v>#DIV/0!</v>
      </c>
      <c r="V90" s="43" t="e">
        <f>T90/X90</f>
        <v>#DIV/0!</v>
      </c>
      <c r="W90" s="43" t="e">
        <f t="shared" si="14"/>
        <v>#DIV/0!</v>
      </c>
      <c r="X90" s="43">
        <f t="shared" si="15"/>
        <v>0</v>
      </c>
      <c r="Y90" s="43">
        <v>0</v>
      </c>
      <c r="Z90" s="43">
        <v>0</v>
      </c>
      <c r="AA90" s="43">
        <v>0</v>
      </c>
      <c r="AB90" s="43"/>
      <c r="AC90" s="43" t="e">
        <f t="shared" si="16"/>
        <v>#DIV/0!</v>
      </c>
      <c r="AD90" s="43"/>
      <c r="AE90" s="43" t="e">
        <f t="shared" si="17"/>
        <v>#DIV/0!</v>
      </c>
      <c r="AF90" s="43" t="e">
        <f t="shared" si="18"/>
        <v>#DIV/0!</v>
      </c>
      <c r="AG90" s="43" t="e">
        <f t="shared" si="19"/>
        <v>#DIV/0!</v>
      </c>
      <c r="AH90" s="38"/>
      <c r="AI90" s="38"/>
      <c r="AJ90" s="38"/>
      <c r="AK90" s="38"/>
      <c r="AL90" s="38"/>
      <c r="AM90" s="48"/>
      <c r="AN90" s="42"/>
      <c r="AO90" s="42"/>
      <c r="AP90" s="42"/>
      <c r="AQ90" s="42"/>
      <c r="AR90" s="42"/>
      <c r="AS90" s="50"/>
      <c r="AT90" s="39"/>
      <c r="AU90" s="39"/>
      <c r="AV90" s="49"/>
      <c r="AW90" s="39"/>
      <c r="AX90" s="39">
        <v>10</v>
      </c>
      <c r="AY90" s="30">
        <f>(J90*10)/100</f>
        <v>0</v>
      </c>
      <c r="AZ90" s="42"/>
    </row>
    <row r="91" spans="1:52" ht="15.75" customHeight="1" x14ac:dyDescent="0.25">
      <c r="A91" s="46"/>
      <c r="B91" s="38"/>
      <c r="C91" s="39"/>
      <c r="D91" s="37"/>
      <c r="E91" s="42"/>
      <c r="F91" s="38"/>
      <c r="G91" s="39"/>
      <c r="H91" s="42"/>
      <c r="I91" s="42"/>
      <c r="J91" s="43">
        <v>0</v>
      </c>
      <c r="K91" s="43">
        <v>0</v>
      </c>
      <c r="L91" s="56">
        <v>0</v>
      </c>
      <c r="M91" s="56">
        <v>0</v>
      </c>
      <c r="N91" s="44" t="e">
        <f t="shared" si="11"/>
        <v>#DIV/0!</v>
      </c>
      <c r="O91" s="45">
        <f t="shared" si="12"/>
        <v>0</v>
      </c>
      <c r="P91" s="43"/>
      <c r="Q91" s="45">
        <f t="shared" si="13"/>
        <v>0</v>
      </c>
      <c r="R91" s="43">
        <v>0</v>
      </c>
      <c r="S91" s="30">
        <f t="shared" si="10"/>
        <v>0</v>
      </c>
      <c r="T91" s="30">
        <f t="shared" si="10"/>
        <v>0</v>
      </c>
      <c r="U91" s="30" t="e">
        <f>T91/X91</f>
        <v>#DIV/0!</v>
      </c>
      <c r="V91" s="43" t="e">
        <f>T91/X91</f>
        <v>#DIV/0!</v>
      </c>
      <c r="W91" s="43" t="e">
        <f t="shared" si="14"/>
        <v>#DIV/0!</v>
      </c>
      <c r="X91" s="43">
        <f t="shared" si="15"/>
        <v>0</v>
      </c>
      <c r="Y91" s="43">
        <v>0</v>
      </c>
      <c r="Z91" s="43">
        <v>0</v>
      </c>
      <c r="AA91" s="43">
        <v>0</v>
      </c>
      <c r="AB91" s="43"/>
      <c r="AC91" s="43" t="e">
        <f t="shared" si="16"/>
        <v>#DIV/0!</v>
      </c>
      <c r="AD91" s="43"/>
      <c r="AE91" s="43" t="e">
        <f t="shared" si="17"/>
        <v>#DIV/0!</v>
      </c>
      <c r="AF91" s="43" t="e">
        <f t="shared" si="18"/>
        <v>#DIV/0!</v>
      </c>
      <c r="AG91" s="43" t="e">
        <f t="shared" si="19"/>
        <v>#DIV/0!</v>
      </c>
      <c r="AH91" s="38"/>
      <c r="AI91" s="38"/>
      <c r="AJ91" s="38"/>
      <c r="AK91" s="38"/>
      <c r="AL91" s="38"/>
      <c r="AM91" s="48"/>
      <c r="AN91" s="42"/>
      <c r="AO91" s="42"/>
      <c r="AP91" s="42"/>
      <c r="AQ91" s="42"/>
      <c r="AR91" s="42"/>
      <c r="AS91" s="50"/>
      <c r="AT91" s="39"/>
      <c r="AU91" s="39"/>
      <c r="AV91" s="49"/>
      <c r="AW91" s="39"/>
      <c r="AX91" s="39">
        <v>10</v>
      </c>
      <c r="AY91" s="30">
        <f>(J91*10)/100</f>
        <v>0</v>
      </c>
      <c r="AZ91" s="42"/>
    </row>
    <row r="92" spans="1:52" ht="15.75" customHeight="1" x14ac:dyDescent="0.25">
      <c r="A92" s="46"/>
      <c r="B92" s="38"/>
      <c r="C92" s="39"/>
      <c r="D92" s="37"/>
      <c r="E92" s="42"/>
      <c r="F92" s="38"/>
      <c r="G92" s="39"/>
      <c r="H92" s="42"/>
      <c r="I92" s="42"/>
      <c r="J92" s="43">
        <v>0</v>
      </c>
      <c r="K92" s="43">
        <v>0</v>
      </c>
      <c r="L92" s="56">
        <v>0</v>
      </c>
      <c r="M92" s="56">
        <v>0</v>
      </c>
      <c r="N92" s="44" t="e">
        <f t="shared" si="11"/>
        <v>#DIV/0!</v>
      </c>
      <c r="O92" s="45">
        <f t="shared" si="12"/>
        <v>0</v>
      </c>
      <c r="P92" s="43"/>
      <c r="Q92" s="45">
        <f t="shared" si="13"/>
        <v>0</v>
      </c>
      <c r="R92" s="43">
        <v>0</v>
      </c>
      <c r="S92" s="30">
        <f t="shared" si="10"/>
        <v>0</v>
      </c>
      <c r="T92" s="30">
        <f t="shared" si="10"/>
        <v>0</v>
      </c>
      <c r="U92" s="30" t="e">
        <f>T92/X92</f>
        <v>#DIV/0!</v>
      </c>
      <c r="V92" s="43" t="e">
        <f>T92/X92</f>
        <v>#DIV/0!</v>
      </c>
      <c r="W92" s="43" t="e">
        <f t="shared" si="14"/>
        <v>#DIV/0!</v>
      </c>
      <c r="X92" s="43">
        <f t="shared" si="15"/>
        <v>0</v>
      </c>
      <c r="Y92" s="43">
        <v>0</v>
      </c>
      <c r="Z92" s="43">
        <v>0</v>
      </c>
      <c r="AA92" s="43">
        <v>0</v>
      </c>
      <c r="AB92" s="43"/>
      <c r="AC92" s="43" t="e">
        <f t="shared" si="16"/>
        <v>#DIV/0!</v>
      </c>
      <c r="AD92" s="43"/>
      <c r="AE92" s="43" t="e">
        <f t="shared" si="17"/>
        <v>#DIV/0!</v>
      </c>
      <c r="AF92" s="43" t="e">
        <f t="shared" si="18"/>
        <v>#DIV/0!</v>
      </c>
      <c r="AG92" s="43" t="e">
        <f t="shared" si="19"/>
        <v>#DIV/0!</v>
      </c>
      <c r="AH92" s="38"/>
      <c r="AI92" s="38"/>
      <c r="AJ92" s="38"/>
      <c r="AK92" s="38"/>
      <c r="AL92" s="38"/>
      <c r="AM92" s="48"/>
      <c r="AN92" s="42"/>
      <c r="AO92" s="42"/>
      <c r="AP92" s="42"/>
      <c r="AQ92" s="42"/>
      <c r="AR92" s="42"/>
      <c r="AS92" s="50"/>
      <c r="AT92" s="39"/>
      <c r="AU92" s="39"/>
      <c r="AV92" s="49"/>
      <c r="AW92" s="39"/>
      <c r="AX92" s="39">
        <v>10</v>
      </c>
      <c r="AY92" s="30">
        <f>(J92*10)/100</f>
        <v>0</v>
      </c>
      <c r="AZ92" s="42"/>
    </row>
    <row r="93" spans="1:52" ht="15.75" customHeight="1" x14ac:dyDescent="0.25">
      <c r="A93" s="46"/>
      <c r="B93" s="38"/>
      <c r="C93" s="39"/>
      <c r="D93" s="37"/>
      <c r="E93" s="42"/>
      <c r="F93" s="38"/>
      <c r="G93" s="39"/>
      <c r="H93" s="42"/>
      <c r="I93" s="42"/>
      <c r="J93" s="43">
        <v>0</v>
      </c>
      <c r="K93" s="43">
        <v>0</v>
      </c>
      <c r="L93" s="56">
        <v>0</v>
      </c>
      <c r="M93" s="56">
        <v>0</v>
      </c>
      <c r="N93" s="44" t="e">
        <f t="shared" si="11"/>
        <v>#DIV/0!</v>
      </c>
      <c r="O93" s="45">
        <f t="shared" si="12"/>
        <v>0</v>
      </c>
      <c r="P93" s="43"/>
      <c r="Q93" s="45">
        <f t="shared" si="13"/>
        <v>0</v>
      </c>
      <c r="R93" s="43">
        <v>0</v>
      </c>
      <c r="S93" s="30">
        <f t="shared" si="10"/>
        <v>0</v>
      </c>
      <c r="T93" s="30">
        <f t="shared" si="10"/>
        <v>0</v>
      </c>
      <c r="U93" s="30" t="e">
        <f>T93/X93</f>
        <v>#DIV/0!</v>
      </c>
      <c r="V93" s="43" t="e">
        <f>T93/X93</f>
        <v>#DIV/0!</v>
      </c>
      <c r="W93" s="43" t="e">
        <f t="shared" si="14"/>
        <v>#DIV/0!</v>
      </c>
      <c r="X93" s="43">
        <f t="shared" si="15"/>
        <v>0</v>
      </c>
      <c r="Y93" s="43">
        <v>0</v>
      </c>
      <c r="Z93" s="43">
        <v>0</v>
      </c>
      <c r="AA93" s="43">
        <v>0</v>
      </c>
      <c r="AB93" s="43"/>
      <c r="AC93" s="43" t="e">
        <f t="shared" si="16"/>
        <v>#DIV/0!</v>
      </c>
      <c r="AD93" s="43"/>
      <c r="AE93" s="43" t="e">
        <f t="shared" si="17"/>
        <v>#DIV/0!</v>
      </c>
      <c r="AF93" s="43" t="e">
        <f t="shared" si="18"/>
        <v>#DIV/0!</v>
      </c>
      <c r="AG93" s="43" t="e">
        <f t="shared" si="19"/>
        <v>#DIV/0!</v>
      </c>
      <c r="AH93" s="38"/>
      <c r="AI93" s="38"/>
      <c r="AJ93" s="38"/>
      <c r="AK93" s="38"/>
      <c r="AL93" s="38"/>
      <c r="AM93" s="48"/>
      <c r="AN93" s="42"/>
      <c r="AO93" s="42"/>
      <c r="AP93" s="42"/>
      <c r="AQ93" s="42"/>
      <c r="AR93" s="42"/>
      <c r="AS93" s="50"/>
      <c r="AT93" s="39"/>
      <c r="AU93" s="39"/>
      <c r="AV93" s="49"/>
      <c r="AW93" s="39"/>
      <c r="AX93" s="39">
        <v>10</v>
      </c>
      <c r="AY93" s="30">
        <f>(J93*10)/100</f>
        <v>0</v>
      </c>
      <c r="AZ93" s="42"/>
    </row>
    <row r="94" spans="1:52" ht="15.75" customHeight="1" x14ac:dyDescent="0.25">
      <c r="A94" s="46"/>
      <c r="B94" s="38"/>
      <c r="C94" s="39"/>
      <c r="D94" s="37"/>
      <c r="E94" s="42"/>
      <c r="F94" s="38"/>
      <c r="G94" s="39"/>
      <c r="H94" s="42"/>
      <c r="I94" s="42"/>
      <c r="J94" s="43">
        <v>0</v>
      </c>
      <c r="K94" s="43">
        <v>0</v>
      </c>
      <c r="L94" s="56">
        <v>0</v>
      </c>
      <c r="M94" s="56">
        <v>0</v>
      </c>
      <c r="N94" s="44" t="e">
        <f t="shared" si="11"/>
        <v>#DIV/0!</v>
      </c>
      <c r="O94" s="45">
        <f t="shared" si="12"/>
        <v>0</v>
      </c>
      <c r="P94" s="43"/>
      <c r="Q94" s="45">
        <f t="shared" si="13"/>
        <v>0</v>
      </c>
      <c r="R94" s="43">
        <v>0</v>
      </c>
      <c r="S94" s="30">
        <f t="shared" si="10"/>
        <v>0</v>
      </c>
      <c r="T94" s="30">
        <f t="shared" si="10"/>
        <v>0</v>
      </c>
      <c r="U94" s="30" t="e">
        <f>T94/X94</f>
        <v>#DIV/0!</v>
      </c>
      <c r="V94" s="43" t="e">
        <f>T94/X94</f>
        <v>#DIV/0!</v>
      </c>
      <c r="W94" s="43" t="e">
        <f t="shared" si="14"/>
        <v>#DIV/0!</v>
      </c>
      <c r="X94" s="43">
        <f t="shared" si="15"/>
        <v>0</v>
      </c>
      <c r="Y94" s="43">
        <v>0</v>
      </c>
      <c r="Z94" s="43">
        <v>0</v>
      </c>
      <c r="AA94" s="43">
        <v>0</v>
      </c>
      <c r="AB94" s="43"/>
      <c r="AC94" s="43" t="e">
        <f t="shared" si="16"/>
        <v>#DIV/0!</v>
      </c>
      <c r="AD94" s="43"/>
      <c r="AE94" s="43" t="e">
        <f t="shared" si="17"/>
        <v>#DIV/0!</v>
      </c>
      <c r="AF94" s="43" t="e">
        <f t="shared" si="18"/>
        <v>#DIV/0!</v>
      </c>
      <c r="AG94" s="43" t="e">
        <f t="shared" si="19"/>
        <v>#DIV/0!</v>
      </c>
      <c r="AH94" s="38"/>
      <c r="AI94" s="38"/>
      <c r="AJ94" s="38"/>
      <c r="AK94" s="38"/>
      <c r="AL94" s="38"/>
      <c r="AM94" s="48"/>
      <c r="AN94" s="42"/>
      <c r="AO94" s="42"/>
      <c r="AP94" s="42"/>
      <c r="AQ94" s="42"/>
      <c r="AR94" s="42"/>
      <c r="AS94" s="50"/>
      <c r="AT94" s="39"/>
      <c r="AU94" s="39"/>
      <c r="AV94" s="49"/>
      <c r="AW94" s="39"/>
      <c r="AX94" s="39">
        <v>10</v>
      </c>
      <c r="AY94" s="30">
        <f>(J94*10)/100</f>
        <v>0</v>
      </c>
      <c r="AZ94" s="42"/>
    </row>
    <row r="95" spans="1:52" ht="15.75" customHeight="1" x14ac:dyDescent="0.25">
      <c r="A95" s="46"/>
      <c r="B95" s="38"/>
      <c r="C95" s="39"/>
      <c r="D95" s="37"/>
      <c r="E95" s="42"/>
      <c r="F95" s="38"/>
      <c r="G95" s="39"/>
      <c r="H95" s="42"/>
      <c r="I95" s="42"/>
      <c r="J95" s="43">
        <v>0</v>
      </c>
      <c r="K95" s="43">
        <v>0</v>
      </c>
      <c r="L95" s="56">
        <v>0</v>
      </c>
      <c r="M95" s="56">
        <v>0</v>
      </c>
      <c r="N95" s="44" t="e">
        <f t="shared" si="11"/>
        <v>#DIV/0!</v>
      </c>
      <c r="O95" s="45">
        <f t="shared" si="12"/>
        <v>0</v>
      </c>
      <c r="P95" s="43"/>
      <c r="Q95" s="45">
        <f t="shared" si="13"/>
        <v>0</v>
      </c>
      <c r="R95" s="43">
        <v>0</v>
      </c>
      <c r="S95" s="30">
        <f t="shared" si="10"/>
        <v>0</v>
      </c>
      <c r="T95" s="30">
        <f t="shared" si="10"/>
        <v>0</v>
      </c>
      <c r="U95" s="30" t="e">
        <f>T95/X95</f>
        <v>#DIV/0!</v>
      </c>
      <c r="V95" s="43" t="e">
        <f>T95/X95</f>
        <v>#DIV/0!</v>
      </c>
      <c r="W95" s="43" t="e">
        <f t="shared" si="14"/>
        <v>#DIV/0!</v>
      </c>
      <c r="X95" s="43">
        <f t="shared" si="15"/>
        <v>0</v>
      </c>
      <c r="Y95" s="43">
        <v>0</v>
      </c>
      <c r="Z95" s="43">
        <v>0</v>
      </c>
      <c r="AA95" s="43">
        <v>0</v>
      </c>
      <c r="AB95" s="43"/>
      <c r="AC95" s="43" t="e">
        <f t="shared" si="16"/>
        <v>#DIV/0!</v>
      </c>
      <c r="AD95" s="43"/>
      <c r="AE95" s="43" t="e">
        <f t="shared" si="17"/>
        <v>#DIV/0!</v>
      </c>
      <c r="AF95" s="43" t="e">
        <f t="shared" si="18"/>
        <v>#DIV/0!</v>
      </c>
      <c r="AG95" s="43" t="e">
        <f t="shared" si="19"/>
        <v>#DIV/0!</v>
      </c>
      <c r="AH95" s="38"/>
      <c r="AI95" s="38"/>
      <c r="AJ95" s="38"/>
      <c r="AK95" s="38"/>
      <c r="AL95" s="38"/>
      <c r="AM95" s="48"/>
      <c r="AN95" s="42"/>
      <c r="AO95" s="42"/>
      <c r="AP95" s="42"/>
      <c r="AQ95" s="42"/>
      <c r="AR95" s="42"/>
      <c r="AS95" s="50"/>
      <c r="AT95" s="39"/>
      <c r="AU95" s="39"/>
      <c r="AV95" s="49"/>
      <c r="AW95" s="39"/>
      <c r="AX95" s="39">
        <v>10</v>
      </c>
      <c r="AY95" s="30">
        <f>(J95*10)/100</f>
        <v>0</v>
      </c>
      <c r="AZ95" s="42"/>
    </row>
    <row r="96" spans="1:52" x14ac:dyDescent="0.25">
      <c r="AE96" s="43">
        <f t="shared" si="17"/>
        <v>0</v>
      </c>
    </row>
    <row r="97" spans="31:31" x14ac:dyDescent="0.25">
      <c r="AE97" s="43">
        <f t="shared" si="17"/>
        <v>0</v>
      </c>
    </row>
    <row r="98" spans="31:31" x14ac:dyDescent="0.25">
      <c r="AE98" s="43">
        <f t="shared" si="17"/>
        <v>0</v>
      </c>
    </row>
    <row r="99" spans="31:31" x14ac:dyDescent="0.25">
      <c r="AE99" s="43">
        <f t="shared" si="17"/>
        <v>0</v>
      </c>
    </row>
    <row r="100" spans="31:31" x14ac:dyDescent="0.25">
      <c r="AE100" s="43">
        <f t="shared" si="17"/>
        <v>0</v>
      </c>
    </row>
    <row r="101" spans="31:31" x14ac:dyDescent="0.25">
      <c r="AE101" s="43">
        <f t="shared" si="17"/>
        <v>0</v>
      </c>
    </row>
    <row r="102" spans="31:31" x14ac:dyDescent="0.25">
      <c r="AE102" s="43">
        <f t="shared" si="17"/>
        <v>0</v>
      </c>
    </row>
    <row r="103" spans="31:31" x14ac:dyDescent="0.25">
      <c r="AE103" s="43">
        <f t="shared" si="17"/>
        <v>0</v>
      </c>
    </row>
    <row r="104" spans="31:31" x14ac:dyDescent="0.25">
      <c r="AE104" s="43">
        <f t="shared" si="17"/>
        <v>0</v>
      </c>
    </row>
    <row r="105" spans="31:31" x14ac:dyDescent="0.25">
      <c r="AE105" s="43">
        <f t="shared" si="17"/>
        <v>0</v>
      </c>
    </row>
    <row r="106" spans="31:31" x14ac:dyDescent="0.25">
      <c r="AE106" s="43">
        <f t="shared" si="17"/>
        <v>0</v>
      </c>
    </row>
    <row r="107" spans="31:31" x14ac:dyDescent="0.25">
      <c r="AE107" s="43">
        <f t="shared" si="17"/>
        <v>0</v>
      </c>
    </row>
    <row r="108" spans="31:31" x14ac:dyDescent="0.25">
      <c r="AE108" s="43">
        <f t="shared" si="17"/>
        <v>0</v>
      </c>
    </row>
    <row r="109" spans="31:31" x14ac:dyDescent="0.25">
      <c r="AE109" s="43">
        <f t="shared" si="17"/>
        <v>0</v>
      </c>
    </row>
    <row r="110" spans="31:31" x14ac:dyDescent="0.25">
      <c r="AE110" s="43">
        <f t="shared" si="17"/>
        <v>0</v>
      </c>
    </row>
    <row r="111" spans="31:31" x14ac:dyDescent="0.25">
      <c r="AE111" s="43">
        <f t="shared" si="17"/>
        <v>0</v>
      </c>
    </row>
    <row r="112" spans="31:31" x14ac:dyDescent="0.25">
      <c r="AE112" s="43">
        <f t="shared" si="17"/>
        <v>0</v>
      </c>
    </row>
    <row r="113" spans="31:31" x14ac:dyDescent="0.25">
      <c r="AE113" s="43">
        <f t="shared" si="17"/>
        <v>0</v>
      </c>
    </row>
    <row r="114" spans="31:31" x14ac:dyDescent="0.25">
      <c r="AE114" s="43">
        <f t="shared" si="17"/>
        <v>0</v>
      </c>
    </row>
    <row r="115" spans="31:31" x14ac:dyDescent="0.25">
      <c r="AE115" s="43">
        <f t="shared" si="17"/>
        <v>0</v>
      </c>
    </row>
    <row r="116" spans="31:31" x14ac:dyDescent="0.25">
      <c r="AE116" s="43">
        <f t="shared" si="17"/>
        <v>0</v>
      </c>
    </row>
    <row r="117" spans="31:31" x14ac:dyDescent="0.25">
      <c r="AE117" s="43">
        <f t="shared" si="17"/>
        <v>0</v>
      </c>
    </row>
    <row r="118" spans="31:31" x14ac:dyDescent="0.25">
      <c r="AE118" s="43">
        <f t="shared" si="17"/>
        <v>0</v>
      </c>
    </row>
    <row r="119" spans="31:31" x14ac:dyDescent="0.25">
      <c r="AE119" s="43">
        <f t="shared" si="17"/>
        <v>0</v>
      </c>
    </row>
    <row r="120" spans="31:31" x14ac:dyDescent="0.25">
      <c r="AE120" s="43">
        <f t="shared" si="17"/>
        <v>0</v>
      </c>
    </row>
    <row r="121" spans="31:31" x14ac:dyDescent="0.25">
      <c r="AE121" s="43">
        <f t="shared" si="17"/>
        <v>0</v>
      </c>
    </row>
    <row r="122" spans="31:31" x14ac:dyDescent="0.25">
      <c r="AE122" s="43">
        <f t="shared" si="17"/>
        <v>0</v>
      </c>
    </row>
    <row r="123" spans="31:31" x14ac:dyDescent="0.25">
      <c r="AE123" s="43">
        <f t="shared" si="17"/>
        <v>0</v>
      </c>
    </row>
    <row r="124" spans="31:31" x14ac:dyDescent="0.25">
      <c r="AE124" s="43">
        <f t="shared" si="17"/>
        <v>0</v>
      </c>
    </row>
    <row r="125" spans="31:31" x14ac:dyDescent="0.25">
      <c r="AE125" s="43">
        <f t="shared" si="17"/>
        <v>0</v>
      </c>
    </row>
    <row r="126" spans="31:31" x14ac:dyDescent="0.25">
      <c r="AE126" s="43">
        <f t="shared" si="17"/>
        <v>0</v>
      </c>
    </row>
    <row r="127" spans="31:31" x14ac:dyDescent="0.25">
      <c r="AE127" s="43">
        <f t="shared" si="17"/>
        <v>0</v>
      </c>
    </row>
    <row r="128" spans="31:31" x14ac:dyDescent="0.25">
      <c r="AE128" s="43">
        <f t="shared" si="17"/>
        <v>0</v>
      </c>
    </row>
    <row r="129" spans="31:31" x14ac:dyDescent="0.25">
      <c r="AE129" s="43">
        <f t="shared" si="17"/>
        <v>0</v>
      </c>
    </row>
    <row r="130" spans="31:31" x14ac:dyDescent="0.25">
      <c r="AE130" s="43">
        <f t="shared" si="17"/>
        <v>0</v>
      </c>
    </row>
    <row r="131" spans="31:31" x14ac:dyDescent="0.25">
      <c r="AE131" s="43">
        <f t="shared" ref="AE131:AE194" si="20">AD131*V131</f>
        <v>0</v>
      </c>
    </row>
    <row r="132" spans="31:31" x14ac:dyDescent="0.25">
      <c r="AE132" s="43">
        <f t="shared" si="20"/>
        <v>0</v>
      </c>
    </row>
    <row r="133" spans="31:31" x14ac:dyDescent="0.25">
      <c r="AE133" s="43">
        <f t="shared" si="20"/>
        <v>0</v>
      </c>
    </row>
    <row r="134" spans="31:31" x14ac:dyDescent="0.25">
      <c r="AE134" s="43">
        <f t="shared" si="20"/>
        <v>0</v>
      </c>
    </row>
    <row r="135" spans="31:31" x14ac:dyDescent="0.25">
      <c r="AE135" s="43">
        <f t="shared" si="20"/>
        <v>0</v>
      </c>
    </row>
    <row r="136" spans="31:31" x14ac:dyDescent="0.25">
      <c r="AE136" s="43">
        <f t="shared" si="20"/>
        <v>0</v>
      </c>
    </row>
    <row r="137" spans="31:31" x14ac:dyDescent="0.25">
      <c r="AE137" s="43">
        <f t="shared" si="20"/>
        <v>0</v>
      </c>
    </row>
    <row r="138" spans="31:31" x14ac:dyDescent="0.25">
      <c r="AE138" s="43">
        <f t="shared" si="20"/>
        <v>0</v>
      </c>
    </row>
    <row r="139" spans="31:31" x14ac:dyDescent="0.25">
      <c r="AE139" s="43">
        <f t="shared" si="20"/>
        <v>0</v>
      </c>
    </row>
    <row r="140" spans="31:31" x14ac:dyDescent="0.25">
      <c r="AE140" s="43">
        <f t="shared" si="20"/>
        <v>0</v>
      </c>
    </row>
    <row r="141" spans="31:31" x14ac:dyDescent="0.25">
      <c r="AE141" s="43">
        <f t="shared" si="20"/>
        <v>0</v>
      </c>
    </row>
    <row r="142" spans="31:31" x14ac:dyDescent="0.25">
      <c r="AE142" s="43">
        <f t="shared" si="20"/>
        <v>0</v>
      </c>
    </row>
    <row r="143" spans="31:31" x14ac:dyDescent="0.25">
      <c r="AE143" s="43">
        <f t="shared" si="20"/>
        <v>0</v>
      </c>
    </row>
    <row r="144" spans="31:31" x14ac:dyDescent="0.25">
      <c r="AE144" s="43">
        <f t="shared" si="20"/>
        <v>0</v>
      </c>
    </row>
    <row r="145" spans="31:31" x14ac:dyDescent="0.25">
      <c r="AE145" s="43">
        <f t="shared" si="20"/>
        <v>0</v>
      </c>
    </row>
    <row r="146" spans="31:31" x14ac:dyDescent="0.25">
      <c r="AE146" s="43">
        <f t="shared" si="20"/>
        <v>0</v>
      </c>
    </row>
    <row r="147" spans="31:31" x14ac:dyDescent="0.25">
      <c r="AE147" s="43">
        <f t="shared" si="20"/>
        <v>0</v>
      </c>
    </row>
    <row r="148" spans="31:31" x14ac:dyDescent="0.25">
      <c r="AE148" s="43">
        <f t="shared" si="20"/>
        <v>0</v>
      </c>
    </row>
    <row r="149" spans="31:31" x14ac:dyDescent="0.25">
      <c r="AE149" s="43">
        <f t="shared" si="20"/>
        <v>0</v>
      </c>
    </row>
    <row r="150" spans="31:31" x14ac:dyDescent="0.25">
      <c r="AE150" s="43">
        <f t="shared" si="20"/>
        <v>0</v>
      </c>
    </row>
    <row r="151" spans="31:31" x14ac:dyDescent="0.25">
      <c r="AE151" s="43">
        <f t="shared" si="20"/>
        <v>0</v>
      </c>
    </row>
    <row r="152" spans="31:31" x14ac:dyDescent="0.25">
      <c r="AE152" s="43">
        <f t="shared" si="20"/>
        <v>0</v>
      </c>
    </row>
    <row r="153" spans="31:31" x14ac:dyDescent="0.25">
      <c r="AE153" s="43">
        <f t="shared" si="20"/>
        <v>0</v>
      </c>
    </row>
    <row r="154" spans="31:31" x14ac:dyDescent="0.25">
      <c r="AE154" s="43">
        <f t="shared" si="20"/>
        <v>0</v>
      </c>
    </row>
    <row r="155" spans="31:31" x14ac:dyDescent="0.25">
      <c r="AE155" s="43">
        <f t="shared" si="20"/>
        <v>0</v>
      </c>
    </row>
    <row r="156" spans="31:31" x14ac:dyDescent="0.25">
      <c r="AE156" s="43">
        <f t="shared" si="20"/>
        <v>0</v>
      </c>
    </row>
    <row r="157" spans="31:31" x14ac:dyDescent="0.25">
      <c r="AE157" s="43">
        <f t="shared" si="20"/>
        <v>0</v>
      </c>
    </row>
    <row r="158" spans="31:31" x14ac:dyDescent="0.25">
      <c r="AE158" s="43">
        <f t="shared" si="20"/>
        <v>0</v>
      </c>
    </row>
    <row r="159" spans="31:31" x14ac:dyDescent="0.25">
      <c r="AE159" s="43">
        <f t="shared" si="20"/>
        <v>0</v>
      </c>
    </row>
    <row r="160" spans="31:31" x14ac:dyDescent="0.25">
      <c r="AE160" s="43">
        <f t="shared" si="20"/>
        <v>0</v>
      </c>
    </row>
    <row r="161" spans="31:31" x14ac:dyDescent="0.25">
      <c r="AE161" s="43">
        <f t="shared" si="20"/>
        <v>0</v>
      </c>
    </row>
    <row r="162" spans="31:31" x14ac:dyDescent="0.25">
      <c r="AE162" s="43">
        <f t="shared" si="20"/>
        <v>0</v>
      </c>
    </row>
    <row r="163" spans="31:31" x14ac:dyDescent="0.25">
      <c r="AE163" s="43">
        <f t="shared" si="20"/>
        <v>0</v>
      </c>
    </row>
    <row r="164" spans="31:31" x14ac:dyDescent="0.25">
      <c r="AE164" s="43">
        <f t="shared" si="20"/>
        <v>0</v>
      </c>
    </row>
    <row r="165" spans="31:31" x14ac:dyDescent="0.25">
      <c r="AE165" s="43">
        <f t="shared" si="20"/>
        <v>0</v>
      </c>
    </row>
    <row r="166" spans="31:31" x14ac:dyDescent="0.25">
      <c r="AE166" s="43">
        <f t="shared" si="20"/>
        <v>0</v>
      </c>
    </row>
    <row r="167" spans="31:31" x14ac:dyDescent="0.25">
      <c r="AE167" s="43">
        <f t="shared" si="20"/>
        <v>0</v>
      </c>
    </row>
    <row r="168" spans="31:31" x14ac:dyDescent="0.25">
      <c r="AE168" s="43">
        <f t="shared" si="20"/>
        <v>0</v>
      </c>
    </row>
    <row r="169" spans="31:31" x14ac:dyDescent="0.25">
      <c r="AE169" s="43">
        <f t="shared" si="20"/>
        <v>0</v>
      </c>
    </row>
    <row r="170" spans="31:31" x14ac:dyDescent="0.25">
      <c r="AE170" s="43">
        <f t="shared" si="20"/>
        <v>0</v>
      </c>
    </row>
    <row r="171" spans="31:31" x14ac:dyDescent="0.25">
      <c r="AE171" s="43">
        <f t="shared" si="20"/>
        <v>0</v>
      </c>
    </row>
    <row r="172" spans="31:31" x14ac:dyDescent="0.25">
      <c r="AE172" s="43">
        <f t="shared" si="20"/>
        <v>0</v>
      </c>
    </row>
    <row r="173" spans="31:31" x14ac:dyDescent="0.25">
      <c r="AE173" s="43">
        <f t="shared" si="20"/>
        <v>0</v>
      </c>
    </row>
    <row r="174" spans="31:31" x14ac:dyDescent="0.25">
      <c r="AE174" s="43">
        <f t="shared" si="20"/>
        <v>0</v>
      </c>
    </row>
    <row r="175" spans="31:31" x14ac:dyDescent="0.25">
      <c r="AE175" s="43">
        <f t="shared" si="20"/>
        <v>0</v>
      </c>
    </row>
    <row r="176" spans="31:31" x14ac:dyDescent="0.25">
      <c r="AE176" s="43">
        <f t="shared" si="20"/>
        <v>0</v>
      </c>
    </row>
    <row r="177" spans="31:31" x14ac:dyDescent="0.25">
      <c r="AE177" s="43">
        <f t="shared" si="20"/>
        <v>0</v>
      </c>
    </row>
    <row r="178" spans="31:31" x14ac:dyDescent="0.25">
      <c r="AE178" s="43">
        <f t="shared" si="20"/>
        <v>0</v>
      </c>
    </row>
    <row r="179" spans="31:31" x14ac:dyDescent="0.25">
      <c r="AE179" s="43">
        <f t="shared" si="20"/>
        <v>0</v>
      </c>
    </row>
    <row r="180" spans="31:31" x14ac:dyDescent="0.25">
      <c r="AE180" s="43">
        <f t="shared" si="20"/>
        <v>0</v>
      </c>
    </row>
    <row r="181" spans="31:31" x14ac:dyDescent="0.25">
      <c r="AE181" s="43">
        <f t="shared" si="20"/>
        <v>0</v>
      </c>
    </row>
    <row r="182" spans="31:31" x14ac:dyDescent="0.25">
      <c r="AE182" s="43">
        <f t="shared" si="20"/>
        <v>0</v>
      </c>
    </row>
    <row r="183" spans="31:31" x14ac:dyDescent="0.25">
      <c r="AE183" s="43">
        <f t="shared" si="20"/>
        <v>0</v>
      </c>
    </row>
    <row r="184" spans="31:31" x14ac:dyDescent="0.25">
      <c r="AE184" s="43">
        <f t="shared" si="20"/>
        <v>0</v>
      </c>
    </row>
    <row r="185" spans="31:31" x14ac:dyDescent="0.25">
      <c r="AE185" s="43">
        <f t="shared" si="20"/>
        <v>0</v>
      </c>
    </row>
  </sheetData>
  <autoFilter ref="A2:AZ95" xr:uid="{00000000-0009-0000-0000-000002000000}"/>
  <mergeCells count="24">
    <mergeCell ref="AR1:AR2"/>
    <mergeCell ref="AS1:AS2"/>
    <mergeCell ref="AT1:AT2"/>
    <mergeCell ref="AU1:AU2"/>
    <mergeCell ref="AV1:AV2"/>
    <mergeCell ref="AZ1:AZ2"/>
    <mergeCell ref="U1:U2"/>
    <mergeCell ref="V1:V2"/>
    <mergeCell ref="W1:W2"/>
    <mergeCell ref="AO1:AO2"/>
    <mergeCell ref="AP1:AP2"/>
    <mergeCell ref="AQ1:AQ2"/>
    <mergeCell ref="O1:O2"/>
    <mergeCell ref="P1:P2"/>
    <mergeCell ref="Q1:Q2"/>
    <mergeCell ref="R1:R2"/>
    <mergeCell ref="S1:S2"/>
    <mergeCell ref="T1:T2"/>
    <mergeCell ref="A1:A2"/>
    <mergeCell ref="B1:B2"/>
    <mergeCell ref="C1:C2"/>
    <mergeCell ref="I1:I2"/>
    <mergeCell ref="J1:J2"/>
    <mergeCell ref="N1:N2"/>
  </mergeCells>
  <hyperlinks>
    <hyperlink ref="E3" r:id="rId1" xr:uid="{7E747855-8BD0-4DE0-9FB0-2788EB088D62}"/>
    <hyperlink ref="E4" r:id="rId2" xr:uid="{B6EA41E8-925D-4CFE-A0A4-1260D219C104}"/>
    <hyperlink ref="E5" r:id="rId3" xr:uid="{0E8D6067-5A8E-47FC-9197-DE4D62F65F5A}"/>
    <hyperlink ref="E6" r:id="rId4" xr:uid="{754AE9EE-F5AA-4B56-9852-CDA0481B0E23}"/>
    <hyperlink ref="E7" r:id="rId5" xr:uid="{2CF2762A-E847-4579-8FA8-9289F1CDF12E}"/>
    <hyperlink ref="E8" r:id="rId6" xr:uid="{986F0123-111C-4371-9CED-B288CF0058E3}"/>
    <hyperlink ref="E9" r:id="rId7" xr:uid="{67ADD6F4-50E3-4042-81B5-D5F4A730EAD3}"/>
    <hyperlink ref="E10" r:id="rId8" xr:uid="{0CFC21B3-F570-4F16-8BE2-CB73CD4593D8}"/>
    <hyperlink ref="E11" r:id="rId9" xr:uid="{B4AB84D4-28FD-42BA-BFCE-F40760E1D6B7}"/>
    <hyperlink ref="E12" r:id="rId10" xr:uid="{D7C22A03-4DAB-40EE-A557-5D9B20F781D0}"/>
    <hyperlink ref="E13" r:id="rId11" xr:uid="{83A1D93E-7EBC-4C72-ADA2-F1115DF989B7}"/>
    <hyperlink ref="E14" r:id="rId12" xr:uid="{2DE7B3DE-EA1F-46E7-9477-320EAF9FA1AE}"/>
    <hyperlink ref="E15" r:id="rId13" xr:uid="{038774C0-1F3D-4E96-924D-A7539F3FFF92}"/>
    <hyperlink ref="E16" r:id="rId14" xr:uid="{11553164-452C-46C3-81B3-06ADC2B2195E}"/>
    <hyperlink ref="E17" r:id="rId15" xr:uid="{C3223118-EF66-43F0-8B43-C9346070C322}"/>
    <hyperlink ref="E18" r:id="rId16" xr:uid="{E7BB33CF-84AF-47CC-A315-BE595E5F6AB1}"/>
    <hyperlink ref="E19" r:id="rId17" xr:uid="{4DC9B480-1E49-4039-994F-9EDFDB89012E}"/>
    <hyperlink ref="E20" r:id="rId18" xr:uid="{CEFF4513-895A-4C54-A78D-37F23C257120}"/>
    <hyperlink ref="E21" r:id="rId19" xr:uid="{F9631B6D-13A5-4D27-9D76-246FBBE7B1BA}"/>
    <hyperlink ref="E22" r:id="rId20" xr:uid="{B113ABDD-1B4D-4C6D-BF50-77FCBF86F8E1}"/>
    <hyperlink ref="E23" r:id="rId21" xr:uid="{6307258E-3C87-47DE-AE45-3FA0090A4AC7}"/>
    <hyperlink ref="E24" r:id="rId22" xr:uid="{09476B4D-AE5F-4CC1-9BA0-FC9726FB7928}"/>
    <hyperlink ref="E25" r:id="rId23" xr:uid="{F83674BE-4A04-4859-9439-DBDADB06650F}"/>
    <hyperlink ref="E26" r:id="rId24" xr:uid="{A3A5DF89-28DB-48F4-ACC0-ADA848179035}"/>
    <hyperlink ref="E27" r:id="rId25" xr:uid="{76186461-AA8B-4424-B281-336923248638}"/>
    <hyperlink ref="E28" r:id="rId26" xr:uid="{7EE1A5DA-4A66-4CC2-B236-0B32010CC4D7}"/>
    <hyperlink ref="E29" r:id="rId27" xr:uid="{6D7E3E6F-D91C-4C00-BC77-6C6A29CD495D}"/>
    <hyperlink ref="E30" r:id="rId28" xr:uid="{276BB89F-8EC5-4FBA-831C-869F8652EDC4}"/>
    <hyperlink ref="E31" r:id="rId29" xr:uid="{ED9F9555-909F-4DCD-986F-E6BDC2FEC6EC}"/>
    <hyperlink ref="E32" r:id="rId30" xr:uid="{C334E0AF-D6E2-4C7A-872C-292E5A273544}"/>
    <hyperlink ref="E33" r:id="rId31" xr:uid="{C644ABCC-3898-4C23-936F-60A2424B27A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F0AED-20E2-471A-8D58-9EAAF6F9172C}">
  <dimension ref="A1:AZ185"/>
  <sheetViews>
    <sheetView zoomScale="80" zoomScaleNormal="80" workbookViewId="0">
      <pane xSplit="1" ySplit="2" topLeftCell="B3" activePane="bottomRight" state="frozen"/>
      <selection pane="topRight" activeCell="D1" sqref="D1"/>
      <selection pane="bottomLeft" activeCell="A3" sqref="A3"/>
      <selection pane="bottomRight" activeCell="A3" sqref="A3"/>
    </sheetView>
  </sheetViews>
  <sheetFormatPr defaultColWidth="9.140625" defaultRowHeight="15.75" x14ac:dyDescent="0.25"/>
  <cols>
    <col min="1" max="1" width="23.85546875" style="20" customWidth="1"/>
    <col min="2" max="2" width="15.140625" style="70" customWidth="1"/>
    <col min="3" max="3" width="16" style="20" customWidth="1"/>
    <col min="4" max="4" width="24.7109375" style="20" customWidth="1"/>
    <col min="5" max="5" width="25.7109375" style="20" customWidth="1"/>
    <col min="6" max="6" width="15.140625" style="69" customWidth="1"/>
    <col min="7" max="7" width="33.42578125" style="51" customWidth="1"/>
    <col min="8" max="8" width="19.140625" style="71" customWidth="1"/>
    <col min="9" max="9" width="38.28515625" style="20" customWidth="1"/>
    <col min="10" max="13" width="22.140625" style="51" customWidth="1"/>
    <col min="14" max="14" width="19.140625" style="51" customWidth="1"/>
    <col min="15" max="15" width="21.28515625" style="20" customWidth="1"/>
    <col min="16" max="16" width="21.7109375" style="20" customWidth="1"/>
    <col min="17" max="17" width="19.5703125" style="20" customWidth="1"/>
    <col min="18" max="18" width="21.42578125" style="20" customWidth="1"/>
    <col min="19" max="19" width="23.5703125" style="20" customWidth="1"/>
    <col min="20" max="20" width="19.85546875" style="20" customWidth="1"/>
    <col min="21" max="21" width="15" style="20" customWidth="1"/>
    <col min="22" max="23" width="14.5703125" style="20" customWidth="1"/>
    <col min="24" max="24" width="20.140625" style="20" customWidth="1"/>
    <col min="25" max="25" width="17.5703125" style="72" customWidth="1"/>
    <col min="26" max="26" width="15.5703125" style="20" customWidth="1"/>
    <col min="27" max="27" width="15.5703125" style="71" customWidth="1"/>
    <col min="28" max="28" width="17.42578125" style="20" customWidth="1"/>
    <col min="29" max="31" width="17" style="20" customWidth="1"/>
    <col min="32" max="32" width="20.85546875" style="20" customWidth="1"/>
    <col min="33" max="33" width="16.42578125" style="20" customWidth="1"/>
    <col min="34" max="34" width="13.7109375" style="20" customWidth="1"/>
    <col min="35" max="35" width="14" style="20" customWidth="1"/>
    <col min="36" max="36" width="13.5703125" style="51" customWidth="1"/>
    <col min="37" max="37" width="14.85546875" style="51" customWidth="1"/>
    <col min="38" max="38" width="15.42578125" style="20" customWidth="1"/>
    <col min="39" max="39" width="14.85546875" style="72" customWidth="1"/>
    <col min="40" max="40" width="15" style="20" customWidth="1"/>
    <col min="41" max="41" width="16.28515625" style="71" customWidth="1"/>
    <col min="42" max="42" width="30.42578125" style="71" customWidth="1"/>
    <col min="43" max="43" width="19" style="51" customWidth="1"/>
    <col min="44" max="44" width="16.28515625" style="51" customWidth="1"/>
    <col min="45" max="45" width="11" style="20" customWidth="1"/>
    <col min="46" max="46" width="14.7109375" style="52" customWidth="1"/>
    <col min="47" max="47" width="12.5703125" style="20" customWidth="1"/>
    <col min="48" max="48" width="13.85546875" style="71" customWidth="1"/>
    <col min="49" max="49" width="8.5703125" style="72" customWidth="1"/>
    <col min="50" max="50" width="7.7109375" style="72" customWidth="1"/>
    <col min="51" max="51" width="18.42578125" style="51" customWidth="1"/>
    <col min="52" max="52" width="17.140625" style="20" customWidth="1"/>
    <col min="53" max="16384" width="9.140625" style="20"/>
  </cols>
  <sheetData>
    <row r="1" spans="1:52" ht="63.75" customHeight="1" x14ac:dyDescent="0.25">
      <c r="A1" s="1" t="s">
        <v>0</v>
      </c>
      <c r="B1" s="2" t="s">
        <v>1</v>
      </c>
      <c r="C1" s="5" t="s">
        <v>2</v>
      </c>
      <c r="D1" s="6" t="s">
        <v>3</v>
      </c>
      <c r="E1" s="4" t="s">
        <v>4</v>
      </c>
      <c r="F1" s="3" t="s">
        <v>5</v>
      </c>
      <c r="G1" s="4" t="s">
        <v>6</v>
      </c>
      <c r="H1" s="4" t="s">
        <v>7</v>
      </c>
      <c r="I1" s="7" t="s">
        <v>8</v>
      </c>
      <c r="J1" s="8" t="s">
        <v>9</v>
      </c>
      <c r="K1" s="9" t="s">
        <v>10</v>
      </c>
      <c r="L1" s="9" t="s">
        <v>11</v>
      </c>
      <c r="M1" s="9" t="s">
        <v>12</v>
      </c>
      <c r="N1" s="8" t="s">
        <v>13</v>
      </c>
      <c r="O1" s="8" t="s">
        <v>14</v>
      </c>
      <c r="P1" s="7" t="s">
        <v>15</v>
      </c>
      <c r="Q1" s="7" t="s">
        <v>16</v>
      </c>
      <c r="R1" s="7" t="s">
        <v>17</v>
      </c>
      <c r="S1" s="8" t="s">
        <v>18</v>
      </c>
      <c r="T1" s="7" t="s">
        <v>19</v>
      </c>
      <c r="U1" s="8" t="s">
        <v>20</v>
      </c>
      <c r="V1" s="8" t="s">
        <v>21</v>
      </c>
      <c r="W1" s="2" t="s">
        <v>22</v>
      </c>
      <c r="X1" s="10" t="s">
        <v>23</v>
      </c>
      <c r="Y1" s="11"/>
      <c r="Z1" s="11"/>
      <c r="AA1" s="11"/>
      <c r="AB1" s="11"/>
      <c r="AC1" s="11"/>
      <c r="AD1" s="11"/>
      <c r="AE1" s="11"/>
      <c r="AF1" s="11"/>
      <c r="AG1" s="12"/>
      <c r="AH1" s="13" t="s">
        <v>24</v>
      </c>
      <c r="AI1" s="14"/>
      <c r="AJ1" s="15"/>
      <c r="AK1" s="13" t="s">
        <v>25</v>
      </c>
      <c r="AL1" s="14"/>
      <c r="AM1" s="15"/>
      <c r="AN1" s="9" t="s">
        <v>26</v>
      </c>
      <c r="AO1" s="16" t="s">
        <v>27</v>
      </c>
      <c r="AP1" s="16" t="s">
        <v>28</v>
      </c>
      <c r="AQ1" s="16" t="s">
        <v>29</v>
      </c>
      <c r="AR1" s="16" t="s">
        <v>30</v>
      </c>
      <c r="AS1" s="7" t="s">
        <v>31</v>
      </c>
      <c r="AT1" s="7" t="s">
        <v>32</v>
      </c>
      <c r="AU1" s="8" t="s">
        <v>33</v>
      </c>
      <c r="AV1" s="17" t="s">
        <v>34</v>
      </c>
      <c r="AW1" s="18" t="s">
        <v>35</v>
      </c>
      <c r="AX1" s="19"/>
      <c r="AY1" s="19"/>
      <c r="AZ1" s="16" t="s">
        <v>36</v>
      </c>
    </row>
    <row r="2" spans="1:52" ht="45" customHeight="1" x14ac:dyDescent="0.25">
      <c r="A2" s="21"/>
      <c r="B2" s="22"/>
      <c r="C2" s="25"/>
      <c r="D2" s="26"/>
      <c r="E2" s="24"/>
      <c r="F2" s="23"/>
      <c r="G2" s="24"/>
      <c r="H2" s="24"/>
      <c r="I2" s="27"/>
      <c r="J2" s="28"/>
      <c r="K2" s="29"/>
      <c r="L2" s="29"/>
      <c r="M2" s="29"/>
      <c r="N2" s="28"/>
      <c r="O2" s="28"/>
      <c r="P2" s="27"/>
      <c r="Q2" s="27"/>
      <c r="R2" s="27"/>
      <c r="S2" s="27"/>
      <c r="T2" s="27"/>
      <c r="U2" s="28"/>
      <c r="V2" s="28"/>
      <c r="W2" s="22"/>
      <c r="X2" s="30" t="s">
        <v>37</v>
      </c>
      <c r="Y2" s="30" t="s">
        <v>38</v>
      </c>
      <c r="Z2" s="30" t="s">
        <v>39</v>
      </c>
      <c r="AA2" s="30" t="s">
        <v>40</v>
      </c>
      <c r="AB2" s="30" t="s">
        <v>41</v>
      </c>
      <c r="AC2" s="30" t="s">
        <v>42</v>
      </c>
      <c r="AD2" s="30" t="s">
        <v>43</v>
      </c>
      <c r="AE2" s="30" t="s">
        <v>44</v>
      </c>
      <c r="AF2" s="30" t="s">
        <v>45</v>
      </c>
      <c r="AG2" s="30" t="s">
        <v>46</v>
      </c>
      <c r="AH2" s="31" t="s">
        <v>38</v>
      </c>
      <c r="AI2" s="31" t="s">
        <v>39</v>
      </c>
      <c r="AJ2" s="31" t="s">
        <v>40</v>
      </c>
      <c r="AK2" s="31" t="s">
        <v>38</v>
      </c>
      <c r="AL2" s="31" t="s">
        <v>39</v>
      </c>
      <c r="AM2" s="31" t="s">
        <v>40</v>
      </c>
      <c r="AN2" s="32"/>
      <c r="AO2" s="33"/>
      <c r="AP2" s="33"/>
      <c r="AQ2" s="33"/>
      <c r="AR2" s="33"/>
      <c r="AS2" s="27"/>
      <c r="AT2" s="27"/>
      <c r="AU2" s="28"/>
      <c r="AV2" s="34"/>
      <c r="AW2" s="35" t="s">
        <v>47</v>
      </c>
      <c r="AX2" s="35" t="s">
        <v>48</v>
      </c>
      <c r="AY2" s="35" t="s">
        <v>49</v>
      </c>
      <c r="AZ2" s="33"/>
    </row>
    <row r="3" spans="1:52" ht="53.25" customHeight="1" x14ac:dyDescent="0.25">
      <c r="A3" s="46" t="s">
        <v>317</v>
      </c>
      <c r="B3" s="48">
        <v>45167</v>
      </c>
      <c r="C3" s="42">
        <v>545</v>
      </c>
      <c r="D3" s="37" t="s">
        <v>318</v>
      </c>
      <c r="E3" s="41" t="s">
        <v>319</v>
      </c>
      <c r="F3" s="38">
        <v>45196</v>
      </c>
      <c r="G3" s="39" t="s">
        <v>320</v>
      </c>
      <c r="H3" s="42" t="s">
        <v>321</v>
      </c>
      <c r="I3" s="42" t="s">
        <v>322</v>
      </c>
      <c r="J3" s="56">
        <v>1214876062.4000001</v>
      </c>
      <c r="K3" s="56">
        <v>1214876062.4000001</v>
      </c>
      <c r="L3" s="56">
        <v>0</v>
      </c>
      <c r="M3" s="56">
        <v>0</v>
      </c>
      <c r="N3" s="44">
        <v>0</v>
      </c>
      <c r="O3" s="45">
        <v>0</v>
      </c>
      <c r="P3" s="43">
        <v>1214876062.4000001</v>
      </c>
      <c r="Q3" s="45">
        <v>0</v>
      </c>
      <c r="R3" s="43">
        <v>1214876062.4000001</v>
      </c>
      <c r="S3" s="30">
        <v>1573611177.5999999</v>
      </c>
      <c r="T3" s="30">
        <v>1573611177.5999999</v>
      </c>
      <c r="U3" s="30">
        <v>10766.359999999999</v>
      </c>
      <c r="V3" s="43">
        <v>10766.359999999999</v>
      </c>
      <c r="W3" s="43">
        <v>1507290.4</v>
      </c>
      <c r="X3" s="43">
        <v>146160</v>
      </c>
      <c r="Y3" s="43">
        <v>49980</v>
      </c>
      <c r="Z3" s="43">
        <v>96180</v>
      </c>
      <c r="AA3" s="43">
        <v>0</v>
      </c>
      <c r="AB3" s="43"/>
      <c r="AC3" s="43">
        <v>0</v>
      </c>
      <c r="AD3" s="43"/>
      <c r="AE3" s="43">
        <v>0</v>
      </c>
      <c r="AF3" s="43">
        <v>1044</v>
      </c>
      <c r="AG3" s="43">
        <v>1044</v>
      </c>
      <c r="AH3" s="38">
        <v>45300</v>
      </c>
      <c r="AI3" s="38">
        <v>45413</v>
      </c>
      <c r="AJ3" s="38"/>
      <c r="AK3" s="38">
        <v>45315</v>
      </c>
      <c r="AL3" s="38">
        <v>45444</v>
      </c>
      <c r="AM3" s="48"/>
      <c r="AN3" s="42" t="s">
        <v>323</v>
      </c>
      <c r="AO3" s="42" t="s">
        <v>324</v>
      </c>
      <c r="AP3" s="42" t="s">
        <v>325</v>
      </c>
      <c r="AQ3" s="42" t="s">
        <v>326</v>
      </c>
      <c r="AR3" s="42" t="s">
        <v>148</v>
      </c>
      <c r="AS3" s="50">
        <v>0</v>
      </c>
      <c r="AT3" s="39">
        <v>100</v>
      </c>
      <c r="AU3" s="39" t="s">
        <v>327</v>
      </c>
      <c r="AV3" s="49">
        <v>140</v>
      </c>
      <c r="AW3" s="39" t="s">
        <v>62</v>
      </c>
      <c r="AX3" s="39">
        <v>10</v>
      </c>
      <c r="AY3" s="30">
        <v>121487606.23999999</v>
      </c>
      <c r="AZ3" s="42" t="s">
        <v>328</v>
      </c>
    </row>
    <row r="4" spans="1:52" ht="53.25" customHeight="1" x14ac:dyDescent="0.25">
      <c r="A4" s="46" t="s">
        <v>329</v>
      </c>
      <c r="B4" s="48">
        <v>45160</v>
      </c>
      <c r="C4" s="42">
        <v>545</v>
      </c>
      <c r="D4" s="37" t="s">
        <v>330</v>
      </c>
      <c r="E4" s="41" t="s">
        <v>331</v>
      </c>
      <c r="F4" s="38">
        <v>45190</v>
      </c>
      <c r="G4" s="39" t="s">
        <v>332</v>
      </c>
      <c r="H4" s="42" t="s">
        <v>88</v>
      </c>
      <c r="I4" s="42" t="s">
        <v>333</v>
      </c>
      <c r="J4" s="56">
        <v>1916291597.4000001</v>
      </c>
      <c r="K4" s="56">
        <v>1916291597.4000001</v>
      </c>
      <c r="L4" s="56">
        <v>0</v>
      </c>
      <c r="M4" s="56">
        <v>0</v>
      </c>
      <c r="N4" s="44">
        <v>0</v>
      </c>
      <c r="O4" s="45">
        <v>0</v>
      </c>
      <c r="P4" s="43">
        <v>1916291597.4000001</v>
      </c>
      <c r="Q4" s="45">
        <v>0</v>
      </c>
      <c r="R4" s="43">
        <v>1916291597.4000001</v>
      </c>
      <c r="S4" s="30">
        <v>2487576463.3499999</v>
      </c>
      <c r="T4" s="30">
        <v>2487576463.3499999</v>
      </c>
      <c r="U4" s="30">
        <v>18666.39</v>
      </c>
      <c r="V4" s="43">
        <v>18666.39</v>
      </c>
      <c r="W4" s="43">
        <v>93331.95</v>
      </c>
      <c r="X4" s="43">
        <v>133265</v>
      </c>
      <c r="Y4" s="43">
        <v>29000</v>
      </c>
      <c r="Z4" s="43">
        <v>48500</v>
      </c>
      <c r="AA4" s="43">
        <v>55765</v>
      </c>
      <c r="AB4" s="43"/>
      <c r="AC4" s="43">
        <v>0</v>
      </c>
      <c r="AD4" s="43"/>
      <c r="AE4" s="43">
        <v>0</v>
      </c>
      <c r="AF4" s="43">
        <v>26653</v>
      </c>
      <c r="AG4" s="43">
        <v>26653</v>
      </c>
      <c r="AH4" s="38">
        <v>45300</v>
      </c>
      <c r="AI4" s="38">
        <v>45382</v>
      </c>
      <c r="AJ4" s="38">
        <v>45535</v>
      </c>
      <c r="AK4" s="38">
        <v>45331</v>
      </c>
      <c r="AL4" s="38">
        <v>45413</v>
      </c>
      <c r="AM4" s="48">
        <v>45383</v>
      </c>
      <c r="AN4" s="42" t="s">
        <v>323</v>
      </c>
      <c r="AO4" s="42" t="s">
        <v>334</v>
      </c>
      <c r="AP4" s="42" t="s">
        <v>335</v>
      </c>
      <c r="AQ4" s="42" t="s">
        <v>336</v>
      </c>
      <c r="AR4" s="42" t="s">
        <v>94</v>
      </c>
      <c r="AS4" s="50">
        <v>0</v>
      </c>
      <c r="AT4" s="39">
        <v>100</v>
      </c>
      <c r="AU4" s="39" t="s">
        <v>83</v>
      </c>
      <c r="AV4" s="49">
        <v>5</v>
      </c>
      <c r="AW4" s="39" t="s">
        <v>62</v>
      </c>
      <c r="AX4" s="39">
        <v>10</v>
      </c>
      <c r="AY4" s="30">
        <v>191629159.74000001</v>
      </c>
      <c r="AZ4" s="42" t="s">
        <v>328</v>
      </c>
    </row>
    <row r="5" spans="1:52" ht="53.25" customHeight="1" x14ac:dyDescent="0.25">
      <c r="A5" s="46" t="s">
        <v>337</v>
      </c>
      <c r="B5" s="48">
        <v>45163</v>
      </c>
      <c r="C5" s="42">
        <v>545</v>
      </c>
      <c r="D5" s="37" t="s">
        <v>338</v>
      </c>
      <c r="E5" s="41" t="s">
        <v>339</v>
      </c>
      <c r="F5" s="38">
        <v>45191</v>
      </c>
      <c r="G5" s="39" t="s">
        <v>340</v>
      </c>
      <c r="H5" s="42" t="s">
        <v>88</v>
      </c>
      <c r="I5" s="42" t="s">
        <v>341</v>
      </c>
      <c r="J5" s="56">
        <v>4843869498</v>
      </c>
      <c r="K5" s="56">
        <v>4843869498</v>
      </c>
      <c r="L5" s="56">
        <v>0</v>
      </c>
      <c r="M5" s="56">
        <v>0</v>
      </c>
      <c r="N5" s="44">
        <v>0</v>
      </c>
      <c r="O5" s="45">
        <v>0</v>
      </c>
      <c r="P5" s="43">
        <v>4843869498</v>
      </c>
      <c r="Q5" s="45">
        <v>0</v>
      </c>
      <c r="R5" s="43">
        <v>4843869498</v>
      </c>
      <c r="S5" s="30">
        <v>6296643147.6000004</v>
      </c>
      <c r="T5" s="30">
        <v>6296643147.6000004</v>
      </c>
      <c r="U5" s="30">
        <v>25813.320000000003</v>
      </c>
      <c r="V5" s="43">
        <v>25813.320000000003</v>
      </c>
      <c r="W5" s="43">
        <v>774399.60000000009</v>
      </c>
      <c r="X5" s="43">
        <v>243930</v>
      </c>
      <c r="Y5" s="43">
        <v>45000</v>
      </c>
      <c r="Z5" s="43">
        <v>198930</v>
      </c>
      <c r="AA5" s="43">
        <v>0</v>
      </c>
      <c r="AB5" s="43"/>
      <c r="AC5" s="43">
        <v>0</v>
      </c>
      <c r="AD5" s="43"/>
      <c r="AE5" s="43">
        <v>0</v>
      </c>
      <c r="AF5" s="43">
        <v>8131</v>
      </c>
      <c r="AG5" s="43">
        <v>8131</v>
      </c>
      <c r="AH5" s="38">
        <v>45300</v>
      </c>
      <c r="AI5" s="38">
        <v>45337</v>
      </c>
      <c r="AJ5" s="38"/>
      <c r="AK5" s="38">
        <v>45323</v>
      </c>
      <c r="AL5" s="38">
        <v>45366</v>
      </c>
      <c r="AM5" s="48"/>
      <c r="AN5" s="42"/>
      <c r="AO5" s="42" t="s">
        <v>342</v>
      </c>
      <c r="AP5" s="42" t="s">
        <v>343</v>
      </c>
      <c r="AQ5" s="42" t="s">
        <v>344</v>
      </c>
      <c r="AR5" s="42" t="s">
        <v>345</v>
      </c>
      <c r="AS5" s="50">
        <v>0</v>
      </c>
      <c r="AT5" s="39">
        <v>100</v>
      </c>
      <c r="AU5" s="39" t="s">
        <v>346</v>
      </c>
      <c r="AV5" s="49">
        <v>30</v>
      </c>
      <c r="AW5" s="39" t="s">
        <v>62</v>
      </c>
      <c r="AX5" s="39">
        <v>10</v>
      </c>
      <c r="AY5" s="30">
        <v>484386949.80000001</v>
      </c>
      <c r="AZ5" s="42" t="s">
        <v>328</v>
      </c>
    </row>
    <row r="6" spans="1:52" ht="53.25" customHeight="1" x14ac:dyDescent="0.25">
      <c r="A6" s="46" t="s">
        <v>347</v>
      </c>
      <c r="B6" s="48">
        <v>45163</v>
      </c>
      <c r="C6" s="42">
        <v>545</v>
      </c>
      <c r="D6" s="37" t="s">
        <v>348</v>
      </c>
      <c r="E6" s="41" t="s">
        <v>349</v>
      </c>
      <c r="F6" s="38">
        <v>45191</v>
      </c>
      <c r="G6" s="39" t="s">
        <v>350</v>
      </c>
      <c r="H6" s="42" t="s">
        <v>141</v>
      </c>
      <c r="I6" s="42" t="s">
        <v>351</v>
      </c>
      <c r="J6" s="56">
        <v>5912667070.5</v>
      </c>
      <c r="K6" s="56">
        <v>5912667070.5</v>
      </c>
      <c r="L6" s="56">
        <v>0</v>
      </c>
      <c r="M6" s="56">
        <v>0</v>
      </c>
      <c r="N6" s="44">
        <v>0</v>
      </c>
      <c r="O6" s="45">
        <v>0</v>
      </c>
      <c r="P6" s="43">
        <v>5912667070.5</v>
      </c>
      <c r="Q6" s="45">
        <v>0</v>
      </c>
      <c r="R6" s="43">
        <v>5912667070.5</v>
      </c>
      <c r="S6" s="30">
        <v>7232381306.5</v>
      </c>
      <c r="T6" s="30">
        <v>7232381306.5</v>
      </c>
      <c r="U6" s="30">
        <v>868233.05</v>
      </c>
      <c r="V6" s="43">
        <v>868233.05</v>
      </c>
      <c r="W6" s="43">
        <v>4341165.25</v>
      </c>
      <c r="X6" s="43">
        <v>8330</v>
      </c>
      <c r="Y6" s="43">
        <v>8330</v>
      </c>
      <c r="Z6" s="43">
        <v>0</v>
      </c>
      <c r="AA6" s="43">
        <v>0</v>
      </c>
      <c r="AB6" s="43"/>
      <c r="AC6" s="43">
        <v>0</v>
      </c>
      <c r="AD6" s="43"/>
      <c r="AE6" s="43">
        <v>0</v>
      </c>
      <c r="AF6" s="43">
        <v>1666</v>
      </c>
      <c r="AG6" s="43">
        <v>1666</v>
      </c>
      <c r="AH6" s="38">
        <v>45300</v>
      </c>
      <c r="AI6" s="38"/>
      <c r="AJ6" s="38"/>
      <c r="AK6" s="38">
        <v>45331</v>
      </c>
      <c r="AL6" s="38"/>
      <c r="AM6" s="48"/>
      <c r="AN6" s="42" t="s">
        <v>323</v>
      </c>
      <c r="AO6" s="42" t="s">
        <v>352</v>
      </c>
      <c r="AP6" s="42" t="s">
        <v>353</v>
      </c>
      <c r="AQ6" s="42" t="s">
        <v>354</v>
      </c>
      <c r="AR6" s="42" t="s">
        <v>148</v>
      </c>
      <c r="AS6" s="50">
        <v>0</v>
      </c>
      <c r="AT6" s="39">
        <v>100</v>
      </c>
      <c r="AU6" s="39" t="s">
        <v>83</v>
      </c>
      <c r="AV6" s="49">
        <v>5</v>
      </c>
      <c r="AW6" s="39" t="s">
        <v>62</v>
      </c>
      <c r="AX6" s="39">
        <v>10</v>
      </c>
      <c r="AY6" s="30">
        <v>591266707.04999995</v>
      </c>
      <c r="AZ6" s="42" t="s">
        <v>97</v>
      </c>
    </row>
    <row r="7" spans="1:52" ht="53.25" customHeight="1" x14ac:dyDescent="0.25">
      <c r="A7" s="46" t="s">
        <v>355</v>
      </c>
      <c r="B7" s="48">
        <v>45163</v>
      </c>
      <c r="C7" s="42">
        <v>545</v>
      </c>
      <c r="D7" s="37" t="s">
        <v>356</v>
      </c>
      <c r="E7" s="41" t="s">
        <v>357</v>
      </c>
      <c r="F7" s="38">
        <v>45191</v>
      </c>
      <c r="G7" s="39" t="s">
        <v>358</v>
      </c>
      <c r="H7" s="42" t="s">
        <v>359</v>
      </c>
      <c r="I7" s="42" t="s">
        <v>360</v>
      </c>
      <c r="J7" s="56">
        <v>6140047413.5</v>
      </c>
      <c r="K7" s="56">
        <v>6140047413.5</v>
      </c>
      <c r="L7" s="56">
        <v>0</v>
      </c>
      <c r="M7" s="56">
        <v>0</v>
      </c>
      <c r="N7" s="44">
        <v>0</v>
      </c>
      <c r="O7" s="45">
        <v>0</v>
      </c>
      <c r="P7" s="43">
        <v>6140047413.5</v>
      </c>
      <c r="Q7" s="45">
        <v>0</v>
      </c>
      <c r="R7" s="43">
        <v>6140047413.5</v>
      </c>
      <c r="S7" s="30">
        <v>7692213028.5</v>
      </c>
      <c r="T7" s="30">
        <v>7692213028.5</v>
      </c>
      <c r="U7" s="30">
        <v>333082.75</v>
      </c>
      <c r="V7" s="43">
        <v>333082.75</v>
      </c>
      <c r="W7" s="43">
        <v>666165.5</v>
      </c>
      <c r="X7" s="43">
        <v>23094</v>
      </c>
      <c r="Y7" s="43">
        <v>23094</v>
      </c>
      <c r="Z7" s="43">
        <v>0</v>
      </c>
      <c r="AA7" s="43">
        <v>0</v>
      </c>
      <c r="AB7" s="43"/>
      <c r="AC7" s="43">
        <v>0</v>
      </c>
      <c r="AD7" s="43"/>
      <c r="AE7" s="43">
        <v>0</v>
      </c>
      <c r="AF7" s="43">
        <v>11547</v>
      </c>
      <c r="AG7" s="43">
        <v>11547</v>
      </c>
      <c r="AH7" s="38">
        <v>45306</v>
      </c>
      <c r="AI7" s="38"/>
      <c r="AJ7" s="38"/>
      <c r="AK7" s="38">
        <v>45337</v>
      </c>
      <c r="AL7" s="38"/>
      <c r="AM7" s="48"/>
      <c r="AN7" s="42" t="s">
        <v>323</v>
      </c>
      <c r="AO7" s="42" t="s">
        <v>361</v>
      </c>
      <c r="AP7" s="42" t="s">
        <v>362</v>
      </c>
      <c r="AQ7" s="42" t="s">
        <v>363</v>
      </c>
      <c r="AR7" s="42" t="s">
        <v>295</v>
      </c>
      <c r="AS7" s="50">
        <v>0</v>
      </c>
      <c r="AT7" s="39">
        <v>100</v>
      </c>
      <c r="AU7" s="39" t="s">
        <v>346</v>
      </c>
      <c r="AV7" s="49">
        <v>2</v>
      </c>
      <c r="AW7" s="39" t="s">
        <v>62</v>
      </c>
      <c r="AX7" s="39">
        <v>10</v>
      </c>
      <c r="AY7" s="30">
        <v>614004741.35000002</v>
      </c>
      <c r="AZ7" s="42" t="s">
        <v>97</v>
      </c>
    </row>
    <row r="8" spans="1:52" ht="53.25" customHeight="1" x14ac:dyDescent="0.25">
      <c r="A8" s="46" t="s">
        <v>364</v>
      </c>
      <c r="B8" s="48">
        <v>45163</v>
      </c>
      <c r="C8" s="42">
        <v>545</v>
      </c>
      <c r="D8" s="37" t="s">
        <v>365</v>
      </c>
      <c r="E8" s="41" t="s">
        <v>366</v>
      </c>
      <c r="F8" s="38">
        <v>45191</v>
      </c>
      <c r="G8" s="39" t="s">
        <v>367</v>
      </c>
      <c r="H8" s="42" t="s">
        <v>88</v>
      </c>
      <c r="I8" s="42" t="s">
        <v>368</v>
      </c>
      <c r="J8" s="56">
        <v>931850515.20000005</v>
      </c>
      <c r="K8" s="56">
        <v>931850515.20000005</v>
      </c>
      <c r="L8" s="56">
        <v>0</v>
      </c>
      <c r="M8" s="56">
        <v>0</v>
      </c>
      <c r="N8" s="44">
        <v>0</v>
      </c>
      <c r="O8" s="45">
        <v>0</v>
      </c>
      <c r="P8" s="43">
        <v>931850515.20000005</v>
      </c>
      <c r="Q8" s="45">
        <v>0</v>
      </c>
      <c r="R8" s="43">
        <v>931850515.20000005</v>
      </c>
      <c r="S8" s="30">
        <v>1193006073.5999999</v>
      </c>
      <c r="T8" s="30">
        <v>1193006073.5999999</v>
      </c>
      <c r="U8" s="30">
        <v>618266</v>
      </c>
      <c r="V8" s="43">
        <v>618266</v>
      </c>
      <c r="W8" s="43">
        <v>5935353.5999999996</v>
      </c>
      <c r="X8" s="43">
        <v>1929.6</v>
      </c>
      <c r="Y8" s="43">
        <v>1929.6</v>
      </c>
      <c r="Z8" s="43">
        <v>0</v>
      </c>
      <c r="AA8" s="43">
        <v>0</v>
      </c>
      <c r="AB8" s="43"/>
      <c r="AC8" s="43">
        <v>0</v>
      </c>
      <c r="AD8" s="43"/>
      <c r="AE8" s="43">
        <v>0</v>
      </c>
      <c r="AF8" s="43">
        <v>201</v>
      </c>
      <c r="AG8" s="43">
        <v>201</v>
      </c>
      <c r="AH8" s="38">
        <v>45322</v>
      </c>
      <c r="AI8" s="38"/>
      <c r="AJ8" s="38"/>
      <c r="AK8" s="38">
        <v>45352</v>
      </c>
      <c r="AL8" s="38"/>
      <c r="AM8" s="48"/>
      <c r="AN8" s="42" t="s">
        <v>323</v>
      </c>
      <c r="AO8" s="42" t="s">
        <v>369</v>
      </c>
      <c r="AP8" s="42" t="s">
        <v>370</v>
      </c>
      <c r="AQ8" s="42" t="s">
        <v>371</v>
      </c>
      <c r="AR8" s="42" t="s">
        <v>60</v>
      </c>
      <c r="AS8" s="50">
        <v>0</v>
      </c>
      <c r="AT8" s="39">
        <v>100</v>
      </c>
      <c r="AU8" s="39" t="s">
        <v>83</v>
      </c>
      <c r="AV8" s="54">
        <v>9.6</v>
      </c>
      <c r="AW8" s="39" t="s">
        <v>62</v>
      </c>
      <c r="AX8" s="39">
        <v>10</v>
      </c>
      <c r="AY8" s="30">
        <v>93185051.519999996</v>
      </c>
      <c r="AZ8" s="42" t="s">
        <v>97</v>
      </c>
    </row>
    <row r="9" spans="1:52" ht="53.25" customHeight="1" x14ac:dyDescent="0.25">
      <c r="A9" s="46" t="s">
        <v>372</v>
      </c>
      <c r="B9" s="48">
        <v>45167</v>
      </c>
      <c r="C9" s="42">
        <v>545</v>
      </c>
      <c r="D9" s="37" t="s">
        <v>373</v>
      </c>
      <c r="E9" s="41" t="s">
        <v>374</v>
      </c>
      <c r="F9" s="38">
        <v>45198</v>
      </c>
      <c r="G9" s="39" t="s">
        <v>375</v>
      </c>
      <c r="H9" s="42" t="s">
        <v>88</v>
      </c>
      <c r="I9" s="42" t="s">
        <v>376</v>
      </c>
      <c r="J9" s="56">
        <v>332379801.60000002</v>
      </c>
      <c r="K9" s="56">
        <v>332379801.60000002</v>
      </c>
      <c r="L9" s="56">
        <v>0</v>
      </c>
      <c r="M9" s="56">
        <v>0</v>
      </c>
      <c r="N9" s="44">
        <v>0</v>
      </c>
      <c r="O9" s="45">
        <v>0</v>
      </c>
      <c r="P9" s="43">
        <v>332379801.60000002</v>
      </c>
      <c r="Q9" s="45">
        <v>0</v>
      </c>
      <c r="R9" s="43">
        <v>332379801.60000002</v>
      </c>
      <c r="S9" s="30">
        <v>430313136</v>
      </c>
      <c r="T9" s="30">
        <v>430313136</v>
      </c>
      <c r="U9" s="30">
        <v>247306.4</v>
      </c>
      <c r="V9" s="43">
        <v>247306.4</v>
      </c>
      <c r="W9" s="43">
        <v>2967676.8</v>
      </c>
      <c r="X9" s="43">
        <v>1740</v>
      </c>
      <c r="Y9" s="43">
        <v>468</v>
      </c>
      <c r="Z9" s="43">
        <v>1272</v>
      </c>
      <c r="AA9" s="43">
        <v>0</v>
      </c>
      <c r="AB9" s="43"/>
      <c r="AC9" s="43">
        <v>0</v>
      </c>
      <c r="AD9" s="43"/>
      <c r="AE9" s="43">
        <v>0</v>
      </c>
      <c r="AF9" s="43">
        <v>145</v>
      </c>
      <c r="AG9" s="43">
        <v>145</v>
      </c>
      <c r="AH9" s="38">
        <v>45300</v>
      </c>
      <c r="AI9" s="38">
        <v>45322</v>
      </c>
      <c r="AJ9" s="38"/>
      <c r="AK9" s="38">
        <v>45331</v>
      </c>
      <c r="AL9" s="38">
        <v>45352</v>
      </c>
      <c r="AM9" s="48"/>
      <c r="AN9" s="42" t="s">
        <v>323</v>
      </c>
      <c r="AO9" s="42" t="s">
        <v>377</v>
      </c>
      <c r="AP9" s="42" t="s">
        <v>378</v>
      </c>
      <c r="AQ9" s="42" t="s">
        <v>379</v>
      </c>
      <c r="AR9" s="42" t="s">
        <v>60</v>
      </c>
      <c r="AS9" s="50">
        <v>0</v>
      </c>
      <c r="AT9" s="39">
        <v>100</v>
      </c>
      <c r="AU9" s="39" t="s">
        <v>83</v>
      </c>
      <c r="AV9" s="49">
        <v>12</v>
      </c>
      <c r="AW9" s="39" t="s">
        <v>62</v>
      </c>
      <c r="AX9" s="39">
        <v>10</v>
      </c>
      <c r="AY9" s="30">
        <v>33237980.16</v>
      </c>
      <c r="AZ9" s="42" t="s">
        <v>97</v>
      </c>
    </row>
    <row r="10" spans="1:52" ht="53.25" customHeight="1" x14ac:dyDescent="0.25">
      <c r="A10" s="46" t="s">
        <v>380</v>
      </c>
      <c r="B10" s="48">
        <v>45166</v>
      </c>
      <c r="C10" s="42">
        <v>545</v>
      </c>
      <c r="D10" s="37" t="s">
        <v>381</v>
      </c>
      <c r="E10" s="41" t="s">
        <v>382</v>
      </c>
      <c r="F10" s="38">
        <v>45201</v>
      </c>
      <c r="G10" s="39" t="s">
        <v>383</v>
      </c>
      <c r="H10" s="42" t="s">
        <v>88</v>
      </c>
      <c r="I10" s="42" t="s">
        <v>384</v>
      </c>
      <c r="J10" s="56">
        <v>689040000</v>
      </c>
      <c r="K10" s="56">
        <v>689040000</v>
      </c>
      <c r="L10" s="56">
        <v>0</v>
      </c>
      <c r="M10" s="56">
        <v>0</v>
      </c>
      <c r="N10" s="44">
        <v>0</v>
      </c>
      <c r="O10" s="45">
        <v>0</v>
      </c>
      <c r="P10" s="43">
        <v>689040000</v>
      </c>
      <c r="Q10" s="45">
        <v>0</v>
      </c>
      <c r="R10" s="43">
        <v>689040000</v>
      </c>
      <c r="S10" s="30">
        <v>895752000</v>
      </c>
      <c r="T10" s="30">
        <v>895752000</v>
      </c>
      <c r="U10" s="30">
        <v>15950</v>
      </c>
      <c r="V10" s="43">
        <v>15950</v>
      </c>
      <c r="W10" s="43">
        <v>957000</v>
      </c>
      <c r="X10" s="43">
        <v>56160</v>
      </c>
      <c r="Y10" s="43">
        <v>56160</v>
      </c>
      <c r="Z10" s="43">
        <v>0</v>
      </c>
      <c r="AA10" s="43">
        <v>0</v>
      </c>
      <c r="AB10" s="43"/>
      <c r="AC10" s="43">
        <v>0</v>
      </c>
      <c r="AD10" s="43"/>
      <c r="AE10" s="43">
        <v>0</v>
      </c>
      <c r="AF10" s="43">
        <v>936</v>
      </c>
      <c r="AG10" s="43">
        <v>936</v>
      </c>
      <c r="AH10" s="38">
        <v>45322</v>
      </c>
      <c r="AI10" s="38"/>
      <c r="AJ10" s="38"/>
      <c r="AK10" s="38">
        <v>45352</v>
      </c>
      <c r="AL10" s="38"/>
      <c r="AM10" s="48"/>
      <c r="AN10" s="42" t="s">
        <v>323</v>
      </c>
      <c r="AO10" s="42" t="s">
        <v>385</v>
      </c>
      <c r="AP10" s="42" t="s">
        <v>386</v>
      </c>
      <c r="AQ10" s="42" t="s">
        <v>387</v>
      </c>
      <c r="AR10" s="42" t="s">
        <v>388</v>
      </c>
      <c r="AS10" s="50">
        <v>0</v>
      </c>
      <c r="AT10" s="39">
        <v>100</v>
      </c>
      <c r="AU10" s="39" t="s">
        <v>389</v>
      </c>
      <c r="AV10" s="49">
        <v>60</v>
      </c>
      <c r="AW10" s="39" t="s">
        <v>62</v>
      </c>
      <c r="AX10" s="39">
        <v>10</v>
      </c>
      <c r="AY10" s="30">
        <v>68904000</v>
      </c>
      <c r="AZ10" s="42" t="s">
        <v>97</v>
      </c>
    </row>
    <row r="11" spans="1:52" ht="43.5" customHeight="1" x14ac:dyDescent="0.25">
      <c r="A11" s="46" t="s">
        <v>390</v>
      </c>
      <c r="B11" s="48">
        <v>45167</v>
      </c>
      <c r="C11" s="42">
        <v>545</v>
      </c>
      <c r="D11" s="37" t="s">
        <v>391</v>
      </c>
      <c r="E11" s="41" t="s">
        <v>392</v>
      </c>
      <c r="F11" s="38">
        <v>45198</v>
      </c>
      <c r="G11" s="39" t="s">
        <v>393</v>
      </c>
      <c r="H11" s="42" t="s">
        <v>88</v>
      </c>
      <c r="I11" s="42" t="s">
        <v>394</v>
      </c>
      <c r="J11" s="56">
        <v>323280775.83999997</v>
      </c>
      <c r="K11" s="56">
        <v>323280775.83999997</v>
      </c>
      <c r="L11" s="56">
        <v>0</v>
      </c>
      <c r="M11" s="56">
        <v>0</v>
      </c>
      <c r="N11" s="44">
        <v>0</v>
      </c>
      <c r="O11" s="45">
        <v>0</v>
      </c>
      <c r="P11" s="43">
        <v>323280775.83999997</v>
      </c>
      <c r="Q11" s="45">
        <v>0</v>
      </c>
      <c r="R11" s="43">
        <v>323280775.83999997</v>
      </c>
      <c r="S11" s="30">
        <v>419765947.36000001</v>
      </c>
      <c r="T11" s="30">
        <v>419765947.36000001</v>
      </c>
      <c r="U11" s="30">
        <v>554512.48</v>
      </c>
      <c r="V11" s="43">
        <v>554512.48</v>
      </c>
      <c r="W11" s="43">
        <v>554512.48</v>
      </c>
      <c r="X11" s="43">
        <v>757</v>
      </c>
      <c r="Y11" s="43">
        <v>757</v>
      </c>
      <c r="Z11" s="43">
        <v>0</v>
      </c>
      <c r="AA11" s="43">
        <v>0</v>
      </c>
      <c r="AB11" s="43"/>
      <c r="AC11" s="43">
        <v>0</v>
      </c>
      <c r="AD11" s="43"/>
      <c r="AE11" s="43">
        <v>0</v>
      </c>
      <c r="AF11" s="43">
        <v>757</v>
      </c>
      <c r="AG11" s="43">
        <v>757</v>
      </c>
      <c r="AH11" s="38">
        <v>45300</v>
      </c>
      <c r="AI11" s="38"/>
      <c r="AJ11" s="38"/>
      <c r="AK11" s="38">
        <v>45331</v>
      </c>
      <c r="AL11" s="38"/>
      <c r="AM11" s="48"/>
      <c r="AN11" s="42" t="s">
        <v>323</v>
      </c>
      <c r="AO11" s="42" t="s">
        <v>292</v>
      </c>
      <c r="AP11" s="42" t="s">
        <v>395</v>
      </c>
      <c r="AQ11" s="42" t="s">
        <v>294</v>
      </c>
      <c r="AR11" s="42" t="s">
        <v>295</v>
      </c>
      <c r="AS11" s="50">
        <v>0</v>
      </c>
      <c r="AT11" s="39">
        <v>100</v>
      </c>
      <c r="AU11" s="39" t="s">
        <v>83</v>
      </c>
      <c r="AV11" s="49">
        <v>1</v>
      </c>
      <c r="AW11" s="39" t="s">
        <v>62</v>
      </c>
      <c r="AX11" s="39">
        <v>10</v>
      </c>
      <c r="AY11" s="30">
        <v>32328077.583999995</v>
      </c>
      <c r="AZ11" s="42" t="s">
        <v>97</v>
      </c>
    </row>
    <row r="12" spans="1:52" ht="43.5" customHeight="1" x14ac:dyDescent="0.25">
      <c r="A12" s="46" t="s">
        <v>396</v>
      </c>
      <c r="B12" s="48">
        <v>45167</v>
      </c>
      <c r="C12" s="42">
        <v>545</v>
      </c>
      <c r="D12" s="37" t="s">
        <v>397</v>
      </c>
      <c r="E12" s="41" t="s">
        <v>398</v>
      </c>
      <c r="F12" s="38">
        <v>45198</v>
      </c>
      <c r="G12" s="39" t="s">
        <v>399</v>
      </c>
      <c r="H12" s="42" t="s">
        <v>88</v>
      </c>
      <c r="I12" s="42" t="s">
        <v>400</v>
      </c>
      <c r="J12" s="56">
        <v>1035540624</v>
      </c>
      <c r="K12" s="56">
        <v>1035540624</v>
      </c>
      <c r="L12" s="56">
        <v>0</v>
      </c>
      <c r="M12" s="56">
        <v>0</v>
      </c>
      <c r="N12" s="44">
        <v>0</v>
      </c>
      <c r="O12" s="45">
        <v>0</v>
      </c>
      <c r="P12" s="43">
        <v>1035540624</v>
      </c>
      <c r="Q12" s="45">
        <v>0</v>
      </c>
      <c r="R12" s="43">
        <v>1035540624</v>
      </c>
      <c r="S12" s="30">
        <v>1231300358.4000001</v>
      </c>
      <c r="T12" s="30">
        <v>1231300358.4000001</v>
      </c>
      <c r="U12" s="30">
        <v>47284.960000000006</v>
      </c>
      <c r="V12" s="43">
        <v>47284.960000000006</v>
      </c>
      <c r="W12" s="43">
        <v>472849.60000000009</v>
      </c>
      <c r="X12" s="43">
        <v>26040</v>
      </c>
      <c r="Y12" s="43">
        <v>26040</v>
      </c>
      <c r="Z12" s="43">
        <v>0</v>
      </c>
      <c r="AA12" s="43">
        <v>0</v>
      </c>
      <c r="AB12" s="43"/>
      <c r="AC12" s="43">
        <v>0</v>
      </c>
      <c r="AD12" s="43"/>
      <c r="AE12" s="43">
        <v>0</v>
      </c>
      <c r="AF12" s="43">
        <v>2604</v>
      </c>
      <c r="AG12" s="43">
        <v>2604</v>
      </c>
      <c r="AH12" s="38">
        <v>45322</v>
      </c>
      <c r="AI12" s="38"/>
      <c r="AJ12" s="38"/>
      <c r="AK12" s="38">
        <v>45352</v>
      </c>
      <c r="AL12" s="38"/>
      <c r="AM12" s="48"/>
      <c r="AN12" s="42" t="s">
        <v>323</v>
      </c>
      <c r="AO12" s="42" t="s">
        <v>401</v>
      </c>
      <c r="AP12" s="42" t="s">
        <v>402</v>
      </c>
      <c r="AQ12" s="42" t="s">
        <v>403</v>
      </c>
      <c r="AR12" s="42" t="s">
        <v>404</v>
      </c>
      <c r="AS12" s="50">
        <v>0</v>
      </c>
      <c r="AT12" s="39">
        <v>100</v>
      </c>
      <c r="AU12" s="39" t="s">
        <v>83</v>
      </c>
      <c r="AV12" s="49">
        <v>10</v>
      </c>
      <c r="AW12" s="39" t="s">
        <v>62</v>
      </c>
      <c r="AX12" s="39">
        <v>10</v>
      </c>
      <c r="AY12" s="30">
        <v>103554062.40000001</v>
      </c>
      <c r="AZ12" s="42" t="s">
        <v>405</v>
      </c>
    </row>
    <row r="13" spans="1:52" ht="50.25" customHeight="1" x14ac:dyDescent="0.25">
      <c r="A13" s="46" t="s">
        <v>406</v>
      </c>
      <c r="B13" s="38">
        <v>45170</v>
      </c>
      <c r="C13" s="42">
        <v>545</v>
      </c>
      <c r="D13" s="37" t="s">
        <v>407</v>
      </c>
      <c r="E13" s="41" t="s">
        <v>408</v>
      </c>
      <c r="F13" s="38">
        <v>45203</v>
      </c>
      <c r="G13" s="39" t="s">
        <v>409</v>
      </c>
      <c r="H13" s="42" t="s">
        <v>88</v>
      </c>
      <c r="I13" s="42" t="s">
        <v>410</v>
      </c>
      <c r="J13" s="43">
        <v>1882610400</v>
      </c>
      <c r="K13" s="43">
        <v>1882610400</v>
      </c>
      <c r="L13" s="56">
        <v>0</v>
      </c>
      <c r="M13" s="56">
        <v>0</v>
      </c>
      <c r="N13" s="44">
        <v>0</v>
      </c>
      <c r="O13" s="45">
        <v>0</v>
      </c>
      <c r="P13" s="43">
        <v>1882610400</v>
      </c>
      <c r="Q13" s="45">
        <v>0</v>
      </c>
      <c r="R13" s="43">
        <v>1882610400</v>
      </c>
      <c r="S13" s="30">
        <v>2447240400</v>
      </c>
      <c r="T13" s="30">
        <v>2447240400</v>
      </c>
      <c r="U13" s="30">
        <v>6380</v>
      </c>
      <c r="V13" s="43">
        <v>6380</v>
      </c>
      <c r="W13" s="43">
        <v>382800</v>
      </c>
      <c r="X13" s="43">
        <v>383580</v>
      </c>
      <c r="Y13" s="43">
        <v>383580</v>
      </c>
      <c r="Z13" s="43">
        <v>0</v>
      </c>
      <c r="AA13" s="43">
        <v>0</v>
      </c>
      <c r="AB13" s="43"/>
      <c r="AC13" s="43">
        <v>0</v>
      </c>
      <c r="AD13" s="43"/>
      <c r="AE13" s="43">
        <v>0</v>
      </c>
      <c r="AF13" s="43">
        <v>6393</v>
      </c>
      <c r="AG13" s="43">
        <v>6393</v>
      </c>
      <c r="AH13" s="38">
        <v>45322</v>
      </c>
      <c r="AI13" s="38"/>
      <c r="AJ13" s="38"/>
      <c r="AK13" s="38">
        <v>45352</v>
      </c>
      <c r="AL13" s="38"/>
      <c r="AM13" s="48"/>
      <c r="AN13" s="42" t="s">
        <v>323</v>
      </c>
      <c r="AO13" s="42" t="s">
        <v>385</v>
      </c>
      <c r="AP13" s="42" t="s">
        <v>411</v>
      </c>
      <c r="AQ13" s="42" t="s">
        <v>387</v>
      </c>
      <c r="AR13" s="42" t="s">
        <v>388</v>
      </c>
      <c r="AS13" s="50">
        <v>0</v>
      </c>
      <c r="AT13" s="39">
        <v>100</v>
      </c>
      <c r="AU13" s="39" t="s">
        <v>389</v>
      </c>
      <c r="AV13" s="49">
        <v>60</v>
      </c>
      <c r="AW13" s="39" t="s">
        <v>62</v>
      </c>
      <c r="AX13" s="39">
        <v>10</v>
      </c>
      <c r="AY13" s="30">
        <v>188261040</v>
      </c>
      <c r="AZ13" s="42" t="s">
        <v>97</v>
      </c>
    </row>
    <row r="14" spans="1:52" ht="50.25" customHeight="1" x14ac:dyDescent="0.25">
      <c r="A14" s="46" t="s">
        <v>412</v>
      </c>
      <c r="B14" s="38">
        <v>45170</v>
      </c>
      <c r="C14" s="42">
        <v>545</v>
      </c>
      <c r="D14" s="37" t="s">
        <v>413</v>
      </c>
      <c r="E14" s="41" t="s">
        <v>414</v>
      </c>
      <c r="F14" s="38">
        <v>45202</v>
      </c>
      <c r="G14" s="39" t="s">
        <v>415</v>
      </c>
      <c r="H14" s="42" t="s">
        <v>88</v>
      </c>
      <c r="I14" s="42" t="s">
        <v>416</v>
      </c>
      <c r="J14" s="43">
        <v>789501921.45000005</v>
      </c>
      <c r="K14" s="43">
        <v>789501921.45000005</v>
      </c>
      <c r="L14" s="56">
        <v>0</v>
      </c>
      <c r="M14" s="56">
        <v>0</v>
      </c>
      <c r="N14" s="44">
        <v>0</v>
      </c>
      <c r="O14" s="45">
        <v>0</v>
      </c>
      <c r="P14" s="43">
        <v>789501921.45000005</v>
      </c>
      <c r="Q14" s="45">
        <v>0</v>
      </c>
      <c r="R14" s="43">
        <v>789501921.45000005</v>
      </c>
      <c r="S14" s="30">
        <v>1023758254.2</v>
      </c>
      <c r="T14" s="30">
        <v>1023758254.2</v>
      </c>
      <c r="U14" s="30">
        <v>25813.370000000003</v>
      </c>
      <c r="V14" s="43">
        <v>25813.370000000003</v>
      </c>
      <c r="W14" s="43">
        <v>387200.55000000005</v>
      </c>
      <c r="X14" s="43">
        <v>39660</v>
      </c>
      <c r="Y14" s="43">
        <v>25005</v>
      </c>
      <c r="Z14" s="43">
        <v>14655</v>
      </c>
      <c r="AA14" s="43">
        <v>0</v>
      </c>
      <c r="AB14" s="43"/>
      <c r="AC14" s="43">
        <v>0</v>
      </c>
      <c r="AD14" s="43"/>
      <c r="AE14" s="43">
        <v>0</v>
      </c>
      <c r="AF14" s="43">
        <v>2644</v>
      </c>
      <c r="AG14" s="43">
        <v>2644</v>
      </c>
      <c r="AH14" s="38">
        <v>45300</v>
      </c>
      <c r="AI14" s="38">
        <v>45337</v>
      </c>
      <c r="AJ14" s="38"/>
      <c r="AK14" s="38">
        <v>45331</v>
      </c>
      <c r="AL14" s="38">
        <v>45366</v>
      </c>
      <c r="AM14" s="48"/>
      <c r="AN14" s="42" t="s">
        <v>323</v>
      </c>
      <c r="AO14" s="42" t="s">
        <v>342</v>
      </c>
      <c r="AP14" s="42" t="s">
        <v>417</v>
      </c>
      <c r="AQ14" s="42" t="s">
        <v>418</v>
      </c>
      <c r="AR14" s="42" t="s">
        <v>345</v>
      </c>
      <c r="AS14" s="50">
        <v>0</v>
      </c>
      <c r="AT14" s="39">
        <v>100</v>
      </c>
      <c r="AU14" s="39" t="s">
        <v>346</v>
      </c>
      <c r="AV14" s="49">
        <v>15</v>
      </c>
      <c r="AW14" s="39" t="s">
        <v>62</v>
      </c>
      <c r="AX14" s="39">
        <v>10</v>
      </c>
      <c r="AY14" s="30">
        <v>78950192.144999996</v>
      </c>
      <c r="AZ14" s="42" t="s">
        <v>328</v>
      </c>
    </row>
    <row r="15" spans="1:52" ht="50.25" customHeight="1" x14ac:dyDescent="0.25">
      <c r="A15" s="46" t="s">
        <v>419</v>
      </c>
      <c r="B15" s="38">
        <v>45170</v>
      </c>
      <c r="C15" s="42">
        <v>545</v>
      </c>
      <c r="D15" s="37" t="s">
        <v>420</v>
      </c>
      <c r="E15" s="41" t="s">
        <v>421</v>
      </c>
      <c r="F15" s="38">
        <v>45201</v>
      </c>
      <c r="G15" s="39" t="s">
        <v>422</v>
      </c>
      <c r="H15" s="42" t="s">
        <v>88</v>
      </c>
      <c r="I15" s="42" t="s">
        <v>423</v>
      </c>
      <c r="J15" s="43">
        <v>653594528.39999998</v>
      </c>
      <c r="K15" s="43">
        <v>653594528.39999998</v>
      </c>
      <c r="L15" s="56">
        <v>0</v>
      </c>
      <c r="M15" s="56">
        <v>0</v>
      </c>
      <c r="N15" s="44">
        <v>0</v>
      </c>
      <c r="O15" s="45">
        <v>0</v>
      </c>
      <c r="P15" s="43">
        <v>653594528.39999998</v>
      </c>
      <c r="Q15" s="45">
        <v>0</v>
      </c>
      <c r="R15" s="43">
        <v>653594528.39999998</v>
      </c>
      <c r="S15" s="30">
        <v>848743605.60000002</v>
      </c>
      <c r="T15" s="30">
        <v>848743605.60000002</v>
      </c>
      <c r="U15" s="30">
        <v>25813.37</v>
      </c>
      <c r="V15" s="43">
        <v>25813.37</v>
      </c>
      <c r="W15" s="43">
        <v>3097604.4</v>
      </c>
      <c r="X15" s="43">
        <v>32880</v>
      </c>
      <c r="Y15" s="43">
        <v>12960</v>
      </c>
      <c r="Z15" s="43">
        <v>19920</v>
      </c>
      <c r="AA15" s="43">
        <v>0</v>
      </c>
      <c r="AB15" s="43"/>
      <c r="AC15" s="43">
        <v>0</v>
      </c>
      <c r="AD15" s="43"/>
      <c r="AE15" s="43">
        <v>0</v>
      </c>
      <c r="AF15" s="43">
        <v>274</v>
      </c>
      <c r="AG15" s="43">
        <v>274</v>
      </c>
      <c r="AH15" s="38">
        <v>45300</v>
      </c>
      <c r="AI15" s="38">
        <v>45382</v>
      </c>
      <c r="AJ15" s="38"/>
      <c r="AK15" s="38">
        <v>45331</v>
      </c>
      <c r="AL15" s="38">
        <v>45413</v>
      </c>
      <c r="AM15" s="48"/>
      <c r="AN15" s="42" t="s">
        <v>323</v>
      </c>
      <c r="AO15" s="42" t="s">
        <v>342</v>
      </c>
      <c r="AP15" s="42" t="s">
        <v>424</v>
      </c>
      <c r="AQ15" s="42" t="s">
        <v>344</v>
      </c>
      <c r="AR15" s="42" t="s">
        <v>345</v>
      </c>
      <c r="AS15" s="50">
        <v>0</v>
      </c>
      <c r="AT15" s="39">
        <v>100</v>
      </c>
      <c r="AU15" s="39" t="s">
        <v>346</v>
      </c>
      <c r="AV15" s="49">
        <v>120</v>
      </c>
      <c r="AW15" s="39" t="s">
        <v>62</v>
      </c>
      <c r="AX15" s="39">
        <v>10</v>
      </c>
      <c r="AY15" s="30">
        <v>65359452.840000004</v>
      </c>
      <c r="AZ15" s="42" t="s">
        <v>328</v>
      </c>
    </row>
    <row r="16" spans="1:52" ht="50.25" customHeight="1" x14ac:dyDescent="0.25">
      <c r="A16" s="46" t="s">
        <v>425</v>
      </c>
      <c r="B16" s="38">
        <v>45173</v>
      </c>
      <c r="C16" s="42">
        <v>545</v>
      </c>
      <c r="D16" s="37" t="s">
        <v>426</v>
      </c>
      <c r="E16" s="41" t="s">
        <v>427</v>
      </c>
      <c r="F16" s="38">
        <v>45194</v>
      </c>
      <c r="G16" s="39" t="s">
        <v>428</v>
      </c>
      <c r="H16" s="42" t="s">
        <v>271</v>
      </c>
      <c r="I16" s="42" t="s">
        <v>429</v>
      </c>
      <c r="J16" s="43">
        <v>21558787.800000001</v>
      </c>
      <c r="K16" s="43">
        <v>21558787.800000001</v>
      </c>
      <c r="L16" s="56">
        <v>0</v>
      </c>
      <c r="M16" s="56">
        <v>0</v>
      </c>
      <c r="N16" s="44">
        <v>0</v>
      </c>
      <c r="O16" s="45">
        <v>0</v>
      </c>
      <c r="P16" s="43">
        <v>21558787.800000001</v>
      </c>
      <c r="Q16" s="45">
        <v>0</v>
      </c>
      <c r="R16" s="43">
        <v>21558787.800000001</v>
      </c>
      <c r="S16" s="30">
        <v>27616629</v>
      </c>
      <c r="T16" s="30">
        <v>27616629</v>
      </c>
      <c r="U16" s="30">
        <v>2969.53</v>
      </c>
      <c r="V16" s="43">
        <v>2969.53</v>
      </c>
      <c r="W16" s="43">
        <v>178171.80000000002</v>
      </c>
      <c r="X16" s="43">
        <v>9300</v>
      </c>
      <c r="Y16" s="43">
        <v>9300</v>
      </c>
      <c r="Z16" s="43">
        <v>0</v>
      </c>
      <c r="AA16" s="43">
        <v>0</v>
      </c>
      <c r="AB16" s="43"/>
      <c r="AC16" s="43">
        <v>0</v>
      </c>
      <c r="AD16" s="43"/>
      <c r="AE16" s="43">
        <v>0</v>
      </c>
      <c r="AF16" s="43">
        <v>155</v>
      </c>
      <c r="AG16" s="43">
        <v>155</v>
      </c>
      <c r="AH16" s="38">
        <v>45300</v>
      </c>
      <c r="AI16" s="38"/>
      <c r="AJ16" s="38"/>
      <c r="AK16" s="38">
        <v>45331</v>
      </c>
      <c r="AL16" s="38"/>
      <c r="AM16" s="48"/>
      <c r="AN16" s="42" t="s">
        <v>323</v>
      </c>
      <c r="AO16" s="42" t="s">
        <v>430</v>
      </c>
      <c r="AP16" s="42" t="s">
        <v>431</v>
      </c>
      <c r="AQ16" s="42" t="s">
        <v>432</v>
      </c>
      <c r="AR16" s="42" t="s">
        <v>94</v>
      </c>
      <c r="AS16" s="50">
        <v>0</v>
      </c>
      <c r="AT16" s="39">
        <v>100</v>
      </c>
      <c r="AU16" s="39" t="s">
        <v>389</v>
      </c>
      <c r="AV16" s="49">
        <v>60</v>
      </c>
      <c r="AW16" s="39" t="s">
        <v>62</v>
      </c>
      <c r="AX16" s="39">
        <v>10</v>
      </c>
      <c r="AY16" s="30">
        <v>2155878.7799999998</v>
      </c>
      <c r="AZ16" s="42" t="s">
        <v>97</v>
      </c>
    </row>
    <row r="17" spans="1:52" ht="50.25" customHeight="1" x14ac:dyDescent="0.25">
      <c r="A17" s="46" t="s">
        <v>438</v>
      </c>
      <c r="B17" s="38">
        <v>45175</v>
      </c>
      <c r="C17" s="42">
        <v>545</v>
      </c>
      <c r="D17" s="37" t="s">
        <v>439</v>
      </c>
      <c r="E17" s="41" t="s">
        <v>440</v>
      </c>
      <c r="F17" s="38">
        <v>45198</v>
      </c>
      <c r="G17" s="39" t="s">
        <v>441</v>
      </c>
      <c r="H17" s="42" t="s">
        <v>271</v>
      </c>
      <c r="I17" s="42" t="s">
        <v>442</v>
      </c>
      <c r="J17" s="43">
        <v>42364594.799999997</v>
      </c>
      <c r="K17" s="43">
        <v>42364594.799999997</v>
      </c>
      <c r="L17" s="43">
        <v>0</v>
      </c>
      <c r="M17" s="43">
        <v>0</v>
      </c>
      <c r="N17" s="44">
        <v>0</v>
      </c>
      <c r="O17" s="45">
        <v>0</v>
      </c>
      <c r="P17" s="43">
        <v>42364594.799999997</v>
      </c>
      <c r="Q17" s="45">
        <v>0</v>
      </c>
      <c r="R17" s="43">
        <v>42364594.799999997</v>
      </c>
      <c r="S17" s="30">
        <v>46004164.799999997</v>
      </c>
      <c r="T17" s="30">
        <v>46004164.799999997</v>
      </c>
      <c r="U17" s="30">
        <v>2426.3799999999997</v>
      </c>
      <c r="V17" s="43">
        <v>2426.3799999999997</v>
      </c>
      <c r="W17" s="43">
        <v>72791.399999999994</v>
      </c>
      <c r="X17" s="43">
        <v>18960</v>
      </c>
      <c r="Y17" s="43">
        <v>18960</v>
      </c>
      <c r="Z17" s="43">
        <v>0</v>
      </c>
      <c r="AA17" s="43">
        <v>0</v>
      </c>
      <c r="AB17" s="43"/>
      <c r="AC17" s="43">
        <v>0</v>
      </c>
      <c r="AD17" s="43"/>
      <c r="AE17" s="43">
        <v>0</v>
      </c>
      <c r="AF17" s="43">
        <v>632</v>
      </c>
      <c r="AG17" s="43">
        <v>632</v>
      </c>
      <c r="AH17" s="38">
        <v>45300</v>
      </c>
      <c r="AI17" s="38"/>
      <c r="AJ17" s="38"/>
      <c r="AK17" s="38">
        <v>45331</v>
      </c>
      <c r="AL17" s="38"/>
      <c r="AM17" s="48"/>
      <c r="AN17" s="42" t="s">
        <v>323</v>
      </c>
      <c r="AO17" s="42" t="s">
        <v>443</v>
      </c>
      <c r="AP17" s="42" t="s">
        <v>444</v>
      </c>
      <c r="AQ17" s="42" t="s">
        <v>445</v>
      </c>
      <c r="AR17" s="42" t="s">
        <v>295</v>
      </c>
      <c r="AS17" s="50">
        <v>0</v>
      </c>
      <c r="AT17" s="39">
        <v>100</v>
      </c>
      <c r="AU17" s="39" t="s">
        <v>389</v>
      </c>
      <c r="AV17" s="49">
        <v>30</v>
      </c>
      <c r="AW17" s="39" t="s">
        <v>62</v>
      </c>
      <c r="AX17" s="39">
        <v>10</v>
      </c>
      <c r="AY17" s="30">
        <v>4236459.4800000004</v>
      </c>
      <c r="AZ17" s="42" t="s">
        <v>97</v>
      </c>
    </row>
    <row r="18" spans="1:52" ht="57" customHeight="1" x14ac:dyDescent="0.25">
      <c r="A18" s="46" t="s">
        <v>446</v>
      </c>
      <c r="B18" s="38">
        <v>45175</v>
      </c>
      <c r="C18" s="42">
        <v>545</v>
      </c>
      <c r="D18" s="37" t="s">
        <v>447</v>
      </c>
      <c r="E18" s="41" t="s">
        <v>448</v>
      </c>
      <c r="F18" s="38">
        <v>45198</v>
      </c>
      <c r="G18" s="39" t="s">
        <v>449</v>
      </c>
      <c r="H18" s="42" t="s">
        <v>271</v>
      </c>
      <c r="I18" s="42" t="s">
        <v>450</v>
      </c>
      <c r="J18" s="43">
        <v>11592979.199999999</v>
      </c>
      <c r="K18" s="43">
        <v>11592979.199999999</v>
      </c>
      <c r="L18" s="43">
        <v>0</v>
      </c>
      <c r="M18" s="43">
        <v>0</v>
      </c>
      <c r="N18" s="44">
        <v>0</v>
      </c>
      <c r="O18" s="45">
        <v>0</v>
      </c>
      <c r="P18" s="43">
        <v>11592979.199999999</v>
      </c>
      <c r="Q18" s="45">
        <v>0</v>
      </c>
      <c r="R18" s="43">
        <v>11592979.199999999</v>
      </c>
      <c r="S18" s="30">
        <v>14491224</v>
      </c>
      <c r="T18" s="30">
        <v>14491224</v>
      </c>
      <c r="U18" s="30">
        <v>2683.56</v>
      </c>
      <c r="V18" s="43">
        <v>2683.56</v>
      </c>
      <c r="W18" s="43">
        <v>161013.6</v>
      </c>
      <c r="X18" s="43">
        <v>5400</v>
      </c>
      <c r="Y18" s="43">
        <v>5400</v>
      </c>
      <c r="Z18" s="43">
        <v>0</v>
      </c>
      <c r="AA18" s="43">
        <v>0</v>
      </c>
      <c r="AB18" s="43"/>
      <c r="AC18" s="43">
        <v>0</v>
      </c>
      <c r="AD18" s="43"/>
      <c r="AE18" s="43">
        <v>0</v>
      </c>
      <c r="AF18" s="43">
        <v>90</v>
      </c>
      <c r="AG18" s="43">
        <v>90</v>
      </c>
      <c r="AH18" s="38">
        <v>45300</v>
      </c>
      <c r="AI18" s="38"/>
      <c r="AJ18" s="38"/>
      <c r="AK18" s="38">
        <v>45331</v>
      </c>
      <c r="AL18" s="38"/>
      <c r="AM18" s="48"/>
      <c r="AN18" s="42" t="s">
        <v>323</v>
      </c>
      <c r="AO18" s="42" t="s">
        <v>430</v>
      </c>
      <c r="AP18" s="42" t="s">
        <v>451</v>
      </c>
      <c r="AQ18" s="42" t="s">
        <v>432</v>
      </c>
      <c r="AR18" s="42" t="s">
        <v>94</v>
      </c>
      <c r="AS18" s="50">
        <v>0</v>
      </c>
      <c r="AT18" s="39">
        <v>100</v>
      </c>
      <c r="AU18" s="39" t="s">
        <v>389</v>
      </c>
      <c r="AV18" s="49">
        <v>60</v>
      </c>
      <c r="AW18" s="39" t="s">
        <v>62</v>
      </c>
      <c r="AX18" s="39">
        <v>10</v>
      </c>
      <c r="AY18" s="30">
        <v>1159297.92</v>
      </c>
      <c r="AZ18" s="42" t="s">
        <v>97</v>
      </c>
    </row>
    <row r="19" spans="1:52" ht="57" customHeight="1" x14ac:dyDescent="0.25">
      <c r="A19" s="46" t="s">
        <v>461</v>
      </c>
      <c r="B19" s="48">
        <v>45176</v>
      </c>
      <c r="C19" s="42">
        <v>545</v>
      </c>
      <c r="D19" s="37" t="s">
        <v>462</v>
      </c>
      <c r="E19" s="41" t="s">
        <v>463</v>
      </c>
      <c r="F19" s="38">
        <v>45201</v>
      </c>
      <c r="G19" s="39" t="s">
        <v>464</v>
      </c>
      <c r="H19" s="42" t="s">
        <v>271</v>
      </c>
      <c r="I19" s="42" t="s">
        <v>465</v>
      </c>
      <c r="J19" s="56">
        <v>33848512.5</v>
      </c>
      <c r="K19" s="56">
        <v>33848512.5</v>
      </c>
      <c r="L19" s="43">
        <v>0</v>
      </c>
      <c r="M19" s="43">
        <v>0</v>
      </c>
      <c r="N19" s="44">
        <v>0</v>
      </c>
      <c r="O19" s="45">
        <v>0</v>
      </c>
      <c r="P19" s="43">
        <v>33848512.5</v>
      </c>
      <c r="Q19" s="45">
        <v>0</v>
      </c>
      <c r="R19" s="43">
        <v>33848512.5</v>
      </c>
      <c r="S19" s="30">
        <v>43937553</v>
      </c>
      <c r="T19" s="30">
        <v>43937553</v>
      </c>
      <c r="U19" s="30">
        <v>1455.85</v>
      </c>
      <c r="V19" s="43">
        <v>1455.85</v>
      </c>
      <c r="W19" s="43">
        <v>43675.5</v>
      </c>
      <c r="X19" s="43">
        <v>30180</v>
      </c>
      <c r="Y19" s="43">
        <v>17730</v>
      </c>
      <c r="Z19" s="43">
        <v>12450</v>
      </c>
      <c r="AA19" s="43">
        <v>0</v>
      </c>
      <c r="AB19" s="43"/>
      <c r="AC19" s="43">
        <v>0</v>
      </c>
      <c r="AD19" s="43"/>
      <c r="AE19" s="43">
        <v>0</v>
      </c>
      <c r="AF19" s="43">
        <v>1006</v>
      </c>
      <c r="AG19" s="43">
        <v>1006</v>
      </c>
      <c r="AH19" s="38">
        <v>45300</v>
      </c>
      <c r="AI19" s="38">
        <v>45443</v>
      </c>
      <c r="AJ19" s="38"/>
      <c r="AK19" s="38">
        <v>45331</v>
      </c>
      <c r="AL19" s="38">
        <v>45474</v>
      </c>
      <c r="AM19" s="48"/>
      <c r="AN19" s="42" t="s">
        <v>323</v>
      </c>
      <c r="AO19" s="42" t="s">
        <v>443</v>
      </c>
      <c r="AP19" s="42" t="s">
        <v>466</v>
      </c>
      <c r="AQ19" s="42" t="s">
        <v>445</v>
      </c>
      <c r="AR19" s="42" t="s">
        <v>295</v>
      </c>
      <c r="AS19" s="50">
        <v>0</v>
      </c>
      <c r="AT19" s="39">
        <v>100</v>
      </c>
      <c r="AU19" s="39" t="s">
        <v>389</v>
      </c>
      <c r="AV19" s="49">
        <v>30</v>
      </c>
      <c r="AW19" s="39" t="s">
        <v>62</v>
      </c>
      <c r="AX19" s="39">
        <v>10</v>
      </c>
      <c r="AY19" s="30">
        <v>3384851.25</v>
      </c>
      <c r="AZ19" s="42" t="s">
        <v>328</v>
      </c>
    </row>
    <row r="20" spans="1:52" ht="57" customHeight="1" x14ac:dyDescent="0.25">
      <c r="A20" s="46" t="s">
        <v>467</v>
      </c>
      <c r="B20" s="48">
        <v>45176</v>
      </c>
      <c r="C20" s="42">
        <v>545</v>
      </c>
      <c r="D20" s="37" t="s">
        <v>468</v>
      </c>
      <c r="E20" s="41" t="s">
        <v>469</v>
      </c>
      <c r="F20" s="38">
        <v>45201</v>
      </c>
      <c r="G20" s="39" t="s">
        <v>470</v>
      </c>
      <c r="H20" s="42" t="s">
        <v>321</v>
      </c>
      <c r="I20" s="42" t="s">
        <v>471</v>
      </c>
      <c r="J20" s="56">
        <v>259547640</v>
      </c>
      <c r="K20" s="56">
        <v>259547640</v>
      </c>
      <c r="L20" s="43">
        <v>0</v>
      </c>
      <c r="M20" s="43">
        <v>0</v>
      </c>
      <c r="N20" s="44">
        <v>0</v>
      </c>
      <c r="O20" s="45">
        <v>0</v>
      </c>
      <c r="P20" s="43">
        <v>259547640</v>
      </c>
      <c r="Q20" s="45">
        <v>0</v>
      </c>
      <c r="R20" s="43">
        <v>259547640</v>
      </c>
      <c r="S20" s="30">
        <v>336682280</v>
      </c>
      <c r="T20" s="30">
        <v>336682280</v>
      </c>
      <c r="U20" s="30">
        <v>521180</v>
      </c>
      <c r="V20" s="43">
        <v>521180</v>
      </c>
      <c r="W20" s="43">
        <v>1042360</v>
      </c>
      <c r="X20" s="43">
        <v>646</v>
      </c>
      <c r="Y20" s="43">
        <v>646</v>
      </c>
      <c r="Z20" s="43">
        <v>0</v>
      </c>
      <c r="AA20" s="43">
        <v>0</v>
      </c>
      <c r="AB20" s="43"/>
      <c r="AC20" s="43">
        <v>0</v>
      </c>
      <c r="AD20" s="43"/>
      <c r="AE20" s="43">
        <v>0</v>
      </c>
      <c r="AF20" s="43">
        <v>323</v>
      </c>
      <c r="AG20" s="43">
        <v>323</v>
      </c>
      <c r="AH20" s="38">
        <v>45300</v>
      </c>
      <c r="AI20" s="38"/>
      <c r="AJ20" s="38"/>
      <c r="AK20" s="38">
        <v>45331</v>
      </c>
      <c r="AL20" s="38"/>
      <c r="AM20" s="48"/>
      <c r="AN20" s="42" t="s">
        <v>323</v>
      </c>
      <c r="AO20" s="42" t="s">
        <v>472</v>
      </c>
      <c r="AP20" s="42" t="s">
        <v>473</v>
      </c>
      <c r="AQ20" s="42" t="s">
        <v>474</v>
      </c>
      <c r="AR20" s="42" t="s">
        <v>94</v>
      </c>
      <c r="AS20" s="50">
        <v>0</v>
      </c>
      <c r="AT20" s="39">
        <v>100</v>
      </c>
      <c r="AU20" s="39" t="s">
        <v>83</v>
      </c>
      <c r="AV20" s="49">
        <v>2</v>
      </c>
      <c r="AW20" s="39" t="s">
        <v>62</v>
      </c>
      <c r="AX20" s="39">
        <v>10</v>
      </c>
      <c r="AY20" s="30">
        <v>25954764</v>
      </c>
      <c r="AZ20" s="42" t="s">
        <v>97</v>
      </c>
    </row>
    <row r="21" spans="1:52" ht="57" customHeight="1" x14ac:dyDescent="0.25">
      <c r="A21" s="46" t="s">
        <v>475</v>
      </c>
      <c r="B21" s="48">
        <v>45176</v>
      </c>
      <c r="C21" s="42">
        <v>545</v>
      </c>
      <c r="D21" s="37" t="s">
        <v>476</v>
      </c>
      <c r="E21" s="41" t="s">
        <v>477</v>
      </c>
      <c r="F21" s="38">
        <v>45201</v>
      </c>
      <c r="G21" s="39" t="s">
        <v>478</v>
      </c>
      <c r="H21" s="42" t="s">
        <v>271</v>
      </c>
      <c r="I21" s="42" t="s">
        <v>479</v>
      </c>
      <c r="J21" s="56">
        <v>294623792.10000002</v>
      </c>
      <c r="K21" s="56">
        <v>294623792.10000002</v>
      </c>
      <c r="L21" s="43">
        <v>0</v>
      </c>
      <c r="M21" s="43">
        <v>0</v>
      </c>
      <c r="N21" s="44">
        <v>0</v>
      </c>
      <c r="O21" s="45">
        <v>0</v>
      </c>
      <c r="P21" s="43">
        <v>294623792.10000002</v>
      </c>
      <c r="Q21" s="45">
        <v>0</v>
      </c>
      <c r="R21" s="43">
        <v>294623792.10000002</v>
      </c>
      <c r="S21" s="30">
        <v>344382865.19999999</v>
      </c>
      <c r="T21" s="30">
        <v>344382865.19999999</v>
      </c>
      <c r="U21" s="30">
        <v>970.53</v>
      </c>
      <c r="V21" s="43">
        <v>970.53</v>
      </c>
      <c r="W21" s="43">
        <v>29115.899999999998</v>
      </c>
      <c r="X21" s="43">
        <v>354840</v>
      </c>
      <c r="Y21" s="43">
        <v>254520</v>
      </c>
      <c r="Z21" s="43">
        <v>100320</v>
      </c>
      <c r="AA21" s="43">
        <v>0</v>
      </c>
      <c r="AB21" s="43"/>
      <c r="AC21" s="43">
        <v>0</v>
      </c>
      <c r="AD21" s="43"/>
      <c r="AE21" s="43">
        <v>0</v>
      </c>
      <c r="AF21" s="43">
        <v>11828</v>
      </c>
      <c r="AG21" s="43">
        <v>11828</v>
      </c>
      <c r="AH21" s="38">
        <v>45300</v>
      </c>
      <c r="AI21" s="38">
        <v>45443</v>
      </c>
      <c r="AJ21" s="38"/>
      <c r="AK21" s="38">
        <v>45331</v>
      </c>
      <c r="AL21" s="38">
        <v>45474</v>
      </c>
      <c r="AM21" s="48"/>
      <c r="AN21" s="42" t="s">
        <v>323</v>
      </c>
      <c r="AO21" s="42" t="s">
        <v>443</v>
      </c>
      <c r="AP21" s="42" t="s">
        <v>480</v>
      </c>
      <c r="AQ21" s="42" t="s">
        <v>445</v>
      </c>
      <c r="AR21" s="42" t="s">
        <v>295</v>
      </c>
      <c r="AS21" s="50">
        <v>0</v>
      </c>
      <c r="AT21" s="39">
        <v>100</v>
      </c>
      <c r="AU21" s="39" t="s">
        <v>389</v>
      </c>
      <c r="AV21" s="49">
        <v>30</v>
      </c>
      <c r="AW21" s="39" t="s">
        <v>62</v>
      </c>
      <c r="AX21" s="39">
        <v>10</v>
      </c>
      <c r="AY21" s="30">
        <v>29462379.210000001</v>
      </c>
      <c r="AZ21" s="42" t="s">
        <v>328</v>
      </c>
    </row>
    <row r="22" spans="1:52" ht="57" customHeight="1" x14ac:dyDescent="0.25">
      <c r="A22" s="46" t="s">
        <v>481</v>
      </c>
      <c r="B22" s="48">
        <v>45177</v>
      </c>
      <c r="C22" s="42">
        <v>545</v>
      </c>
      <c r="D22" s="37" t="s">
        <v>482</v>
      </c>
      <c r="E22" s="41" t="s">
        <v>483</v>
      </c>
      <c r="F22" s="38">
        <v>45201</v>
      </c>
      <c r="G22" s="39" t="s">
        <v>484</v>
      </c>
      <c r="H22" s="42" t="s">
        <v>485</v>
      </c>
      <c r="I22" s="42" t="s">
        <v>486</v>
      </c>
      <c r="J22" s="56">
        <v>215384400</v>
      </c>
      <c r="K22" s="56">
        <v>215384400</v>
      </c>
      <c r="L22" s="43">
        <v>0</v>
      </c>
      <c r="M22" s="43">
        <v>0</v>
      </c>
      <c r="N22" s="44">
        <v>0</v>
      </c>
      <c r="O22" s="45">
        <v>0</v>
      </c>
      <c r="P22" s="43">
        <v>215384400</v>
      </c>
      <c r="Q22" s="45">
        <v>0</v>
      </c>
      <c r="R22" s="43">
        <v>215384400</v>
      </c>
      <c r="S22" s="30">
        <v>279833400</v>
      </c>
      <c r="T22" s="30">
        <v>279833400</v>
      </c>
      <c r="U22" s="30">
        <v>6930</v>
      </c>
      <c r="V22" s="43">
        <v>6930</v>
      </c>
      <c r="W22" s="43">
        <v>415800</v>
      </c>
      <c r="X22" s="43">
        <v>40380</v>
      </c>
      <c r="Y22" s="43">
        <v>40380</v>
      </c>
      <c r="Z22" s="43">
        <v>0</v>
      </c>
      <c r="AA22" s="43">
        <v>0</v>
      </c>
      <c r="AB22" s="43"/>
      <c r="AC22" s="43">
        <v>0</v>
      </c>
      <c r="AD22" s="43"/>
      <c r="AE22" s="43">
        <v>0</v>
      </c>
      <c r="AF22" s="43">
        <v>673</v>
      </c>
      <c r="AG22" s="43">
        <v>673</v>
      </c>
      <c r="AH22" s="38">
        <v>45322</v>
      </c>
      <c r="AI22" s="38"/>
      <c r="AJ22" s="38"/>
      <c r="AK22" s="38">
        <v>45352</v>
      </c>
      <c r="AL22" s="38"/>
      <c r="AM22" s="48"/>
      <c r="AN22" s="42" t="s">
        <v>323</v>
      </c>
      <c r="AO22" s="42" t="s">
        <v>487</v>
      </c>
      <c r="AP22" s="42" t="s">
        <v>488</v>
      </c>
      <c r="AQ22" s="42" t="s">
        <v>489</v>
      </c>
      <c r="AR22" s="42" t="s">
        <v>490</v>
      </c>
      <c r="AS22" s="50">
        <v>0</v>
      </c>
      <c r="AT22" s="39">
        <v>100</v>
      </c>
      <c r="AU22" s="39" t="s">
        <v>389</v>
      </c>
      <c r="AV22" s="49">
        <v>60</v>
      </c>
      <c r="AW22" s="39" t="s">
        <v>62</v>
      </c>
      <c r="AX22" s="39">
        <v>10</v>
      </c>
      <c r="AY22" s="30">
        <v>21538440</v>
      </c>
      <c r="AZ22" s="42" t="s">
        <v>97</v>
      </c>
    </row>
    <row r="23" spans="1:52" ht="57" customHeight="1" x14ac:dyDescent="0.25">
      <c r="A23" s="46" t="s">
        <v>500</v>
      </c>
      <c r="B23" s="48">
        <v>45182</v>
      </c>
      <c r="C23" s="42">
        <v>545</v>
      </c>
      <c r="D23" s="37" t="s">
        <v>501</v>
      </c>
      <c r="E23" s="41" t="s">
        <v>502</v>
      </c>
      <c r="F23" s="38">
        <v>45202</v>
      </c>
      <c r="G23" s="39" t="s">
        <v>503</v>
      </c>
      <c r="H23" s="42" t="s">
        <v>504</v>
      </c>
      <c r="I23" s="42" t="s">
        <v>505</v>
      </c>
      <c r="J23" s="56">
        <v>242453837.5</v>
      </c>
      <c r="K23" s="56">
        <v>242453837.5</v>
      </c>
      <c r="L23" s="56">
        <v>0</v>
      </c>
      <c r="M23" s="56">
        <v>0</v>
      </c>
      <c r="N23" s="44">
        <v>0</v>
      </c>
      <c r="O23" s="45">
        <v>0</v>
      </c>
      <c r="P23" s="43">
        <v>242453837.5</v>
      </c>
      <c r="Q23" s="45">
        <v>0</v>
      </c>
      <c r="R23" s="43">
        <v>242453837.5</v>
      </c>
      <c r="S23" s="30">
        <v>305064714.5</v>
      </c>
      <c r="T23" s="30">
        <v>305064714.5</v>
      </c>
      <c r="U23" s="30">
        <v>1004.99</v>
      </c>
      <c r="V23" s="43">
        <v>1004.99</v>
      </c>
      <c r="W23" s="43">
        <v>50249.5</v>
      </c>
      <c r="X23" s="43">
        <v>303550</v>
      </c>
      <c r="Y23" s="43">
        <v>255600</v>
      </c>
      <c r="Z23" s="43">
        <v>47950</v>
      </c>
      <c r="AA23" s="43">
        <v>0</v>
      </c>
      <c r="AB23" s="43"/>
      <c r="AC23" s="43">
        <v>0</v>
      </c>
      <c r="AD23" s="43"/>
      <c r="AE23" s="43">
        <v>0</v>
      </c>
      <c r="AF23" s="43">
        <v>6071</v>
      </c>
      <c r="AG23" s="43">
        <v>6071</v>
      </c>
      <c r="AH23" s="38">
        <v>45322</v>
      </c>
      <c r="AI23" s="38">
        <v>45412</v>
      </c>
      <c r="AJ23" s="38"/>
      <c r="AK23" s="38">
        <v>45352</v>
      </c>
      <c r="AL23" s="38">
        <v>45442</v>
      </c>
      <c r="AM23" s="48"/>
      <c r="AN23" s="42"/>
      <c r="AO23" s="42" t="s">
        <v>506</v>
      </c>
      <c r="AP23" s="42" t="s">
        <v>507</v>
      </c>
      <c r="AQ23" s="42" t="s">
        <v>508</v>
      </c>
      <c r="AR23" s="42" t="s">
        <v>60</v>
      </c>
      <c r="AS23" s="50">
        <v>0</v>
      </c>
      <c r="AT23" s="39">
        <v>100</v>
      </c>
      <c r="AU23" s="39" t="s">
        <v>327</v>
      </c>
      <c r="AV23" s="49">
        <v>50</v>
      </c>
      <c r="AW23" s="39" t="s">
        <v>62</v>
      </c>
      <c r="AX23" s="39">
        <v>10</v>
      </c>
      <c r="AY23" s="30">
        <v>24245383.75</v>
      </c>
      <c r="AZ23" s="42" t="s">
        <v>405</v>
      </c>
    </row>
    <row r="24" spans="1:52" ht="44.25" customHeight="1" x14ac:dyDescent="0.25">
      <c r="A24" s="46" t="s">
        <v>517</v>
      </c>
      <c r="B24" s="48">
        <v>45211</v>
      </c>
      <c r="C24" s="42">
        <v>545</v>
      </c>
      <c r="D24" s="37" t="s">
        <v>518</v>
      </c>
      <c r="E24" s="41" t="s">
        <v>519</v>
      </c>
      <c r="F24" s="38">
        <v>45230</v>
      </c>
      <c r="G24" s="39" t="s">
        <v>520</v>
      </c>
      <c r="H24" s="42" t="s">
        <v>504</v>
      </c>
      <c r="I24" s="42" t="s">
        <v>521</v>
      </c>
      <c r="J24" s="56">
        <v>7108442.8799999999</v>
      </c>
      <c r="K24" s="56">
        <v>7108442.8799999999</v>
      </c>
      <c r="L24" s="56">
        <v>0</v>
      </c>
      <c r="M24" s="56">
        <v>0</v>
      </c>
      <c r="N24" s="44">
        <v>0</v>
      </c>
      <c r="O24" s="45">
        <v>0</v>
      </c>
      <c r="P24" s="43">
        <v>7108442.8799999999</v>
      </c>
      <c r="Q24" s="45">
        <v>0</v>
      </c>
      <c r="R24" s="43">
        <v>7108442.8799999999</v>
      </c>
      <c r="S24" s="30">
        <v>7108442.8799999999</v>
      </c>
      <c r="T24" s="30">
        <v>7108442.8799999999</v>
      </c>
      <c r="U24" s="30">
        <v>31.9</v>
      </c>
      <c r="V24" s="43">
        <v>31.9</v>
      </c>
      <c r="W24" s="43">
        <v>888555.36</v>
      </c>
      <c r="X24" s="43">
        <v>222835.20000000001</v>
      </c>
      <c r="Y24" s="43">
        <v>222835.20000000001</v>
      </c>
      <c r="Z24" s="43">
        <v>0</v>
      </c>
      <c r="AA24" s="43">
        <v>0</v>
      </c>
      <c r="AB24" s="43"/>
      <c r="AC24" s="43">
        <v>0</v>
      </c>
      <c r="AD24" s="43"/>
      <c r="AE24" s="43">
        <v>0</v>
      </c>
      <c r="AF24" s="43">
        <v>8</v>
      </c>
      <c r="AG24" s="43">
        <v>8</v>
      </c>
      <c r="AH24" s="38">
        <v>45300</v>
      </c>
      <c r="AI24" s="38"/>
      <c r="AJ24" s="38"/>
      <c r="AK24" s="38">
        <v>45332</v>
      </c>
      <c r="AL24" s="38"/>
      <c r="AM24" s="48"/>
      <c r="AN24" s="42"/>
      <c r="AO24" s="42" t="s">
        <v>522</v>
      </c>
      <c r="AP24" s="42" t="s">
        <v>523</v>
      </c>
      <c r="AQ24" s="42" t="s">
        <v>524</v>
      </c>
      <c r="AR24" s="42" t="s">
        <v>525</v>
      </c>
      <c r="AS24" s="50">
        <v>0</v>
      </c>
      <c r="AT24" s="39">
        <v>100</v>
      </c>
      <c r="AU24" s="39" t="s">
        <v>327</v>
      </c>
      <c r="AV24" s="54">
        <v>27854.400000000001</v>
      </c>
      <c r="AW24" s="39" t="s">
        <v>221</v>
      </c>
      <c r="AX24" s="39">
        <v>10</v>
      </c>
      <c r="AY24" s="30">
        <v>710844.28799999994</v>
      </c>
      <c r="AZ24" s="42" t="s">
        <v>97</v>
      </c>
    </row>
    <row r="25" spans="1:52" ht="44.25" customHeight="1" x14ac:dyDescent="0.25">
      <c r="A25" s="46" t="s">
        <v>526</v>
      </c>
      <c r="B25" s="48">
        <v>45211</v>
      </c>
      <c r="C25" s="42">
        <v>545</v>
      </c>
      <c r="D25" s="37" t="s">
        <v>527</v>
      </c>
      <c r="E25" s="41" t="s">
        <v>528</v>
      </c>
      <c r="F25" s="38">
        <v>45230</v>
      </c>
      <c r="G25" s="39" t="s">
        <v>529</v>
      </c>
      <c r="H25" s="42" t="s">
        <v>88</v>
      </c>
      <c r="I25" s="42" t="s">
        <v>530</v>
      </c>
      <c r="J25" s="56">
        <v>17806060.800000001</v>
      </c>
      <c r="K25" s="56">
        <v>17806060.800000001</v>
      </c>
      <c r="L25" s="56">
        <v>0</v>
      </c>
      <c r="M25" s="56">
        <v>0</v>
      </c>
      <c r="N25" s="44">
        <v>0</v>
      </c>
      <c r="O25" s="45">
        <v>0</v>
      </c>
      <c r="P25" s="43">
        <v>17806060.800000001</v>
      </c>
      <c r="Q25" s="45">
        <v>0</v>
      </c>
      <c r="R25" s="43">
        <v>17806060.800000001</v>
      </c>
      <c r="S25" s="30">
        <v>17806060.800000001</v>
      </c>
      <c r="T25" s="30">
        <v>17806060.800000001</v>
      </c>
      <c r="U25" s="30">
        <v>247306.40000000002</v>
      </c>
      <c r="V25" s="43">
        <v>247306.40000000002</v>
      </c>
      <c r="W25" s="43">
        <v>2967676.8000000003</v>
      </c>
      <c r="X25" s="43">
        <v>72</v>
      </c>
      <c r="Y25" s="43">
        <v>72</v>
      </c>
      <c r="Z25" s="43">
        <v>0</v>
      </c>
      <c r="AA25" s="43">
        <v>0</v>
      </c>
      <c r="AB25" s="43"/>
      <c r="AC25" s="43">
        <v>0</v>
      </c>
      <c r="AD25" s="43"/>
      <c r="AE25" s="43">
        <v>0</v>
      </c>
      <c r="AF25" s="43">
        <v>6</v>
      </c>
      <c r="AG25" s="43">
        <v>6</v>
      </c>
      <c r="AH25" s="38">
        <v>45300</v>
      </c>
      <c r="AI25" s="38"/>
      <c r="AJ25" s="38"/>
      <c r="AK25" s="38">
        <v>45331</v>
      </c>
      <c r="AL25" s="38"/>
      <c r="AM25" s="48"/>
      <c r="AN25" s="42" t="s">
        <v>531</v>
      </c>
      <c r="AO25" s="42" t="s">
        <v>377</v>
      </c>
      <c r="AP25" s="42" t="s">
        <v>378</v>
      </c>
      <c r="AQ25" s="42" t="s">
        <v>532</v>
      </c>
      <c r="AR25" s="42" t="s">
        <v>60</v>
      </c>
      <c r="AS25" s="50">
        <v>0</v>
      </c>
      <c r="AT25" s="39">
        <v>100</v>
      </c>
      <c r="AU25" s="39" t="s">
        <v>83</v>
      </c>
      <c r="AV25" s="49">
        <v>12</v>
      </c>
      <c r="AW25" s="39" t="s">
        <v>62</v>
      </c>
      <c r="AX25" s="39">
        <v>10</v>
      </c>
      <c r="AY25" s="30">
        <v>1780606.08</v>
      </c>
      <c r="AZ25" s="42" t="s">
        <v>97</v>
      </c>
    </row>
    <row r="26" spans="1:52" ht="44.25" customHeight="1" x14ac:dyDescent="0.25">
      <c r="A26" s="46" t="s">
        <v>540</v>
      </c>
      <c r="B26" s="48">
        <v>45211</v>
      </c>
      <c r="C26" s="42">
        <v>545</v>
      </c>
      <c r="D26" s="37" t="s">
        <v>541</v>
      </c>
      <c r="E26" s="41" t="s">
        <v>542</v>
      </c>
      <c r="F26" s="38">
        <v>45230</v>
      </c>
      <c r="G26" s="39" t="s">
        <v>543</v>
      </c>
      <c r="H26" s="42" t="s">
        <v>88</v>
      </c>
      <c r="I26" s="42" t="s">
        <v>341</v>
      </c>
      <c r="J26" s="56">
        <v>24780777.600000001</v>
      </c>
      <c r="K26" s="56">
        <v>24780777.600000001</v>
      </c>
      <c r="L26" s="56">
        <v>0</v>
      </c>
      <c r="M26" s="56">
        <v>0</v>
      </c>
      <c r="N26" s="44">
        <v>0</v>
      </c>
      <c r="O26" s="45">
        <v>0</v>
      </c>
      <c r="P26" s="56">
        <v>24780777.600000001</v>
      </c>
      <c r="Q26" s="45">
        <v>0</v>
      </c>
      <c r="R26" s="43">
        <v>24780777.600000001</v>
      </c>
      <c r="S26" s="30">
        <v>24780777.600000001</v>
      </c>
      <c r="T26" s="30">
        <v>24780777.600000001</v>
      </c>
      <c r="U26" s="30">
        <v>25813.31</v>
      </c>
      <c r="V26" s="43">
        <v>25813.31</v>
      </c>
      <c r="W26" s="43">
        <v>774399.3</v>
      </c>
      <c r="X26" s="43">
        <v>960</v>
      </c>
      <c r="Y26" s="43">
        <v>960</v>
      </c>
      <c r="Z26" s="43">
        <v>0</v>
      </c>
      <c r="AA26" s="43">
        <v>0</v>
      </c>
      <c r="AB26" s="43"/>
      <c r="AC26" s="43">
        <v>0</v>
      </c>
      <c r="AD26" s="43"/>
      <c r="AE26" s="43">
        <v>0</v>
      </c>
      <c r="AF26" s="43">
        <v>32</v>
      </c>
      <c r="AG26" s="43">
        <v>32</v>
      </c>
      <c r="AH26" s="38">
        <v>45300</v>
      </c>
      <c r="AI26" s="38"/>
      <c r="AJ26" s="38"/>
      <c r="AK26" s="38">
        <v>45332</v>
      </c>
      <c r="AL26" s="38"/>
      <c r="AM26" s="48"/>
      <c r="AN26" s="42"/>
      <c r="AO26" s="42" t="s">
        <v>342</v>
      </c>
      <c r="AP26" s="42" t="s">
        <v>343</v>
      </c>
      <c r="AQ26" s="42" t="s">
        <v>344</v>
      </c>
      <c r="AR26" s="42" t="s">
        <v>345</v>
      </c>
      <c r="AS26" s="50">
        <v>0</v>
      </c>
      <c r="AT26" s="39">
        <v>100</v>
      </c>
      <c r="AU26" s="39" t="s">
        <v>346</v>
      </c>
      <c r="AV26" s="49">
        <v>30</v>
      </c>
      <c r="AW26" s="39" t="s">
        <v>62</v>
      </c>
      <c r="AX26" s="39">
        <v>10</v>
      </c>
      <c r="AY26" s="30">
        <v>2478077.7599999998</v>
      </c>
      <c r="AZ26" s="42" t="s">
        <v>97</v>
      </c>
    </row>
    <row r="27" spans="1:52" ht="44.25" customHeight="1" x14ac:dyDescent="0.25">
      <c r="A27" s="46" t="s">
        <v>544</v>
      </c>
      <c r="B27" s="48">
        <v>45215</v>
      </c>
      <c r="C27" s="42">
        <v>545</v>
      </c>
      <c r="D27" s="37" t="s">
        <v>545</v>
      </c>
      <c r="E27" s="41" t="s">
        <v>546</v>
      </c>
      <c r="F27" s="38">
        <v>45237</v>
      </c>
      <c r="G27" s="39" t="s">
        <v>547</v>
      </c>
      <c r="H27" s="42" t="s">
        <v>88</v>
      </c>
      <c r="I27" s="42" t="s">
        <v>416</v>
      </c>
      <c r="J27" s="56">
        <v>5420807.7000000002</v>
      </c>
      <c r="K27" s="56">
        <v>5420807.7000000002</v>
      </c>
      <c r="L27" s="56">
        <v>0</v>
      </c>
      <c r="M27" s="56">
        <v>0</v>
      </c>
      <c r="N27" s="44">
        <v>0</v>
      </c>
      <c r="O27" s="45">
        <v>0</v>
      </c>
      <c r="P27" s="43">
        <v>5420807.7000000002</v>
      </c>
      <c r="Q27" s="45">
        <v>0</v>
      </c>
      <c r="R27" s="43">
        <v>5420807.7000000002</v>
      </c>
      <c r="S27" s="30">
        <v>5420807.7000000002</v>
      </c>
      <c r="T27" s="30">
        <v>5420807.7000000002</v>
      </c>
      <c r="U27" s="30">
        <v>25813.370000000003</v>
      </c>
      <c r="V27" s="43">
        <v>25813.370000000003</v>
      </c>
      <c r="W27" s="43">
        <v>387200.55000000005</v>
      </c>
      <c r="X27" s="43">
        <v>210</v>
      </c>
      <c r="Y27" s="43">
        <v>210</v>
      </c>
      <c r="Z27" s="43">
        <v>0</v>
      </c>
      <c r="AA27" s="43">
        <v>0</v>
      </c>
      <c r="AB27" s="43"/>
      <c r="AC27" s="43">
        <v>0</v>
      </c>
      <c r="AD27" s="43"/>
      <c r="AE27" s="43">
        <v>0</v>
      </c>
      <c r="AF27" s="43">
        <v>14</v>
      </c>
      <c r="AG27" s="43">
        <v>14</v>
      </c>
      <c r="AH27" s="38">
        <v>45300</v>
      </c>
      <c r="AI27" s="38"/>
      <c r="AJ27" s="38"/>
      <c r="AK27" s="38">
        <v>45332</v>
      </c>
      <c r="AL27" s="38"/>
      <c r="AM27" s="48"/>
      <c r="AN27" s="42"/>
      <c r="AO27" s="42" t="s">
        <v>342</v>
      </c>
      <c r="AP27" s="42" t="s">
        <v>548</v>
      </c>
      <c r="AQ27" s="42" t="s">
        <v>549</v>
      </c>
      <c r="AR27" s="42" t="s">
        <v>345</v>
      </c>
      <c r="AS27" s="50">
        <v>0</v>
      </c>
      <c r="AT27" s="39">
        <v>100</v>
      </c>
      <c r="AU27" s="39" t="s">
        <v>346</v>
      </c>
      <c r="AV27" s="49">
        <v>15</v>
      </c>
      <c r="AW27" s="39" t="s">
        <v>62</v>
      </c>
      <c r="AX27" s="39">
        <v>10</v>
      </c>
      <c r="AY27" s="30">
        <v>542080.77</v>
      </c>
      <c r="AZ27" s="42" t="s">
        <v>97</v>
      </c>
    </row>
    <row r="28" spans="1:52" ht="126" x14ac:dyDescent="0.25">
      <c r="A28" s="46" t="s">
        <v>550</v>
      </c>
      <c r="B28" s="38">
        <v>45215</v>
      </c>
      <c r="C28" s="39">
        <v>545</v>
      </c>
      <c r="D28" s="37" t="s">
        <v>551</v>
      </c>
      <c r="E28" s="41" t="s">
        <v>552</v>
      </c>
      <c r="F28" s="38">
        <v>45237</v>
      </c>
      <c r="G28" s="39" t="s">
        <v>553</v>
      </c>
      <c r="H28" s="42" t="s">
        <v>88</v>
      </c>
      <c r="I28" s="42" t="s">
        <v>368</v>
      </c>
      <c r="J28" s="43">
        <v>17806060.800000001</v>
      </c>
      <c r="K28" s="43">
        <v>17806060.800000001</v>
      </c>
      <c r="L28" s="56">
        <v>0</v>
      </c>
      <c r="M28" s="56">
        <v>0</v>
      </c>
      <c r="N28" s="44">
        <v>0</v>
      </c>
      <c r="O28" s="45">
        <v>17806060.800000001</v>
      </c>
      <c r="P28" s="43">
        <v>17806060.800000001</v>
      </c>
      <c r="Q28" s="45">
        <v>0</v>
      </c>
      <c r="R28" s="43">
        <v>17806060.800000001</v>
      </c>
      <c r="S28" s="30">
        <v>17806060.800000001</v>
      </c>
      <c r="T28" s="30">
        <v>17806060.800000001</v>
      </c>
      <c r="U28" s="30">
        <v>618266</v>
      </c>
      <c r="V28" s="43">
        <v>618266</v>
      </c>
      <c r="W28" s="43">
        <v>5935353.5999999996</v>
      </c>
      <c r="X28" s="43">
        <v>28.8</v>
      </c>
      <c r="Y28" s="43">
        <v>28.8</v>
      </c>
      <c r="Z28" s="43">
        <v>0</v>
      </c>
      <c r="AA28" s="43">
        <v>0</v>
      </c>
      <c r="AB28" s="43"/>
      <c r="AC28" s="43">
        <v>0</v>
      </c>
      <c r="AD28" s="43"/>
      <c r="AE28" s="43">
        <v>0</v>
      </c>
      <c r="AF28" s="43">
        <v>3</v>
      </c>
      <c r="AG28" s="43">
        <v>3</v>
      </c>
      <c r="AH28" s="38">
        <v>45300</v>
      </c>
      <c r="AI28" s="38"/>
      <c r="AJ28" s="38"/>
      <c r="AK28" s="38">
        <v>45332</v>
      </c>
      <c r="AL28" s="38"/>
      <c r="AM28" s="48"/>
      <c r="AN28" s="42"/>
      <c r="AO28" s="42" t="s">
        <v>369</v>
      </c>
      <c r="AP28" s="42" t="s">
        <v>554</v>
      </c>
      <c r="AQ28" s="42" t="s">
        <v>371</v>
      </c>
      <c r="AR28" s="42" t="s">
        <v>60</v>
      </c>
      <c r="AS28" s="50">
        <v>0</v>
      </c>
      <c r="AT28" s="39">
        <v>100</v>
      </c>
      <c r="AU28" s="39" t="s">
        <v>83</v>
      </c>
      <c r="AV28" s="54">
        <v>9.6</v>
      </c>
      <c r="AW28" s="39" t="s">
        <v>62</v>
      </c>
      <c r="AX28" s="39">
        <v>10</v>
      </c>
      <c r="AY28" s="30">
        <v>1780606.08</v>
      </c>
      <c r="AZ28" s="42" t="s">
        <v>97</v>
      </c>
    </row>
    <row r="29" spans="1:52" ht="85.5" customHeight="1" x14ac:dyDescent="0.25">
      <c r="A29" s="46" t="s">
        <v>555</v>
      </c>
      <c r="B29" s="38">
        <v>45217</v>
      </c>
      <c r="C29" s="39">
        <v>545</v>
      </c>
      <c r="D29" s="37" t="s">
        <v>556</v>
      </c>
      <c r="E29" s="41" t="s">
        <v>557</v>
      </c>
      <c r="F29" s="38">
        <v>45237</v>
      </c>
      <c r="G29" s="39" t="s">
        <v>558</v>
      </c>
      <c r="H29" s="42" t="s">
        <v>504</v>
      </c>
      <c r="I29" s="42" t="s">
        <v>505</v>
      </c>
      <c r="J29" s="43">
        <v>2210956</v>
      </c>
      <c r="K29" s="43">
        <v>2210956</v>
      </c>
      <c r="L29" s="56">
        <v>0</v>
      </c>
      <c r="M29" s="56">
        <v>0</v>
      </c>
      <c r="N29" s="44">
        <v>0</v>
      </c>
      <c r="O29" s="45">
        <v>2210956</v>
      </c>
      <c r="P29" s="43">
        <v>2210956</v>
      </c>
      <c r="Q29" s="45">
        <v>0</v>
      </c>
      <c r="R29" s="43">
        <v>2210956</v>
      </c>
      <c r="S29" s="30">
        <v>2210956</v>
      </c>
      <c r="T29" s="30">
        <v>2210956</v>
      </c>
      <c r="U29" s="30">
        <v>1004.98</v>
      </c>
      <c r="V29" s="43">
        <v>1004.98</v>
      </c>
      <c r="W29" s="43">
        <v>50249</v>
      </c>
      <c r="X29" s="43">
        <v>2200</v>
      </c>
      <c r="Y29" s="43">
        <v>2200</v>
      </c>
      <c r="Z29" s="43">
        <v>0</v>
      </c>
      <c r="AA29" s="43">
        <v>0</v>
      </c>
      <c r="AB29" s="43"/>
      <c r="AC29" s="43">
        <v>0</v>
      </c>
      <c r="AD29" s="43"/>
      <c r="AE29" s="43">
        <v>0</v>
      </c>
      <c r="AF29" s="43">
        <v>44</v>
      </c>
      <c r="AG29" s="43">
        <v>44</v>
      </c>
      <c r="AH29" s="38">
        <v>45300</v>
      </c>
      <c r="AI29" s="38"/>
      <c r="AJ29" s="38"/>
      <c r="AK29" s="38">
        <v>45332</v>
      </c>
      <c r="AL29" s="38"/>
      <c r="AM29" s="48"/>
      <c r="AN29" s="42"/>
      <c r="AO29" s="42" t="s">
        <v>559</v>
      </c>
      <c r="AP29" s="42" t="s">
        <v>560</v>
      </c>
      <c r="AQ29" s="42" t="s">
        <v>561</v>
      </c>
      <c r="AR29" s="42" t="s">
        <v>60</v>
      </c>
      <c r="AS29" s="50">
        <v>0</v>
      </c>
      <c r="AT29" s="39">
        <v>100</v>
      </c>
      <c r="AU29" s="39" t="s">
        <v>327</v>
      </c>
      <c r="AV29" s="49">
        <v>50</v>
      </c>
      <c r="AW29" s="39" t="s">
        <v>221</v>
      </c>
      <c r="AX29" s="39">
        <v>10</v>
      </c>
      <c r="AY29" s="30">
        <v>221095.6</v>
      </c>
      <c r="AZ29" s="42" t="s">
        <v>97</v>
      </c>
    </row>
    <row r="30" spans="1:52" ht="75" x14ac:dyDescent="0.25">
      <c r="A30" s="46" t="s">
        <v>562</v>
      </c>
      <c r="B30" s="38">
        <v>45217</v>
      </c>
      <c r="C30" s="39">
        <v>545</v>
      </c>
      <c r="D30" s="37" t="s">
        <v>563</v>
      </c>
      <c r="E30" s="41" t="s">
        <v>564</v>
      </c>
      <c r="F30" s="38">
        <v>45237</v>
      </c>
      <c r="G30" s="39" t="s">
        <v>565</v>
      </c>
      <c r="H30" s="42" t="s">
        <v>566</v>
      </c>
      <c r="I30" s="42" t="s">
        <v>567</v>
      </c>
      <c r="J30" s="43">
        <v>3519984.6</v>
      </c>
      <c r="K30" s="43">
        <v>3519984.6</v>
      </c>
      <c r="L30" s="56">
        <v>0</v>
      </c>
      <c r="M30" s="56">
        <v>0</v>
      </c>
      <c r="N30" s="44">
        <v>0</v>
      </c>
      <c r="O30" s="45">
        <v>3519984.6</v>
      </c>
      <c r="P30" s="43">
        <v>3519984.6</v>
      </c>
      <c r="Q30" s="45">
        <v>0</v>
      </c>
      <c r="R30" s="43">
        <v>3519984.6</v>
      </c>
      <c r="S30" s="30">
        <v>3519984.6</v>
      </c>
      <c r="T30" s="30">
        <v>3519984.6</v>
      </c>
      <c r="U30" s="30">
        <v>5333.31</v>
      </c>
      <c r="V30" s="43">
        <v>5333.31</v>
      </c>
      <c r="W30" s="43">
        <v>319998.60000000003</v>
      </c>
      <c r="X30" s="43">
        <v>660</v>
      </c>
      <c r="Y30" s="43">
        <v>660</v>
      </c>
      <c r="Z30" s="43">
        <v>0</v>
      </c>
      <c r="AA30" s="43">
        <v>0</v>
      </c>
      <c r="AB30" s="43"/>
      <c r="AC30" s="43">
        <v>0</v>
      </c>
      <c r="AD30" s="43"/>
      <c r="AE30" s="43">
        <v>0</v>
      </c>
      <c r="AF30" s="43">
        <v>11</v>
      </c>
      <c r="AG30" s="43">
        <v>11</v>
      </c>
      <c r="AH30" s="38">
        <v>45300</v>
      </c>
      <c r="AI30" s="38"/>
      <c r="AJ30" s="38"/>
      <c r="AK30" s="38">
        <v>45332</v>
      </c>
      <c r="AL30" s="38"/>
      <c r="AM30" s="48"/>
      <c r="AN30" s="42"/>
      <c r="AO30" s="42" t="s">
        <v>568</v>
      </c>
      <c r="AP30" s="42" t="s">
        <v>569</v>
      </c>
      <c r="AQ30" s="42" t="s">
        <v>570</v>
      </c>
      <c r="AR30" s="42" t="s">
        <v>82</v>
      </c>
      <c r="AS30" s="50">
        <v>100</v>
      </c>
      <c r="AT30" s="39">
        <v>0</v>
      </c>
      <c r="AU30" s="39" t="s">
        <v>389</v>
      </c>
      <c r="AV30" s="49">
        <v>60</v>
      </c>
      <c r="AW30" s="39" t="s">
        <v>62</v>
      </c>
      <c r="AX30" s="39">
        <v>10</v>
      </c>
      <c r="AY30" s="30">
        <v>351998.46</v>
      </c>
      <c r="AZ30" s="42" t="s">
        <v>97</v>
      </c>
    </row>
    <row r="31" spans="1:52" ht="94.5" x14ac:dyDescent="0.25">
      <c r="A31" s="46" t="s">
        <v>571</v>
      </c>
      <c r="B31" s="38">
        <v>45219</v>
      </c>
      <c r="C31" s="39">
        <v>545</v>
      </c>
      <c r="D31" s="37" t="s">
        <v>572</v>
      </c>
      <c r="E31" s="41" t="s">
        <v>573</v>
      </c>
      <c r="F31" s="38">
        <v>45240</v>
      </c>
      <c r="G31" s="39" t="s">
        <v>574</v>
      </c>
      <c r="H31" s="42" t="s">
        <v>321</v>
      </c>
      <c r="I31" s="42" t="s">
        <v>322</v>
      </c>
      <c r="J31" s="43">
        <v>18087484.800000001</v>
      </c>
      <c r="K31" s="43">
        <v>18087484.800000001</v>
      </c>
      <c r="L31" s="56">
        <v>0</v>
      </c>
      <c r="M31" s="56">
        <v>0</v>
      </c>
      <c r="N31" s="44">
        <v>0</v>
      </c>
      <c r="O31" s="45">
        <v>18087484.800000001</v>
      </c>
      <c r="P31" s="43">
        <v>18087484.800000001</v>
      </c>
      <c r="Q31" s="45">
        <v>0</v>
      </c>
      <c r="R31" s="43">
        <v>18087484.800000001</v>
      </c>
      <c r="S31" s="30">
        <v>18087484.800000001</v>
      </c>
      <c r="T31" s="30">
        <v>18087484.800000001</v>
      </c>
      <c r="U31" s="30">
        <v>10766.36</v>
      </c>
      <c r="V31" s="43">
        <v>10766.36</v>
      </c>
      <c r="W31" s="43">
        <v>1507290.4000000001</v>
      </c>
      <c r="X31" s="43">
        <v>1680</v>
      </c>
      <c r="Y31" s="43">
        <v>1680</v>
      </c>
      <c r="Z31" s="43">
        <v>0</v>
      </c>
      <c r="AA31" s="43">
        <v>0</v>
      </c>
      <c r="AB31" s="43"/>
      <c r="AC31" s="43">
        <v>0</v>
      </c>
      <c r="AD31" s="43"/>
      <c r="AE31" s="43">
        <v>0</v>
      </c>
      <c r="AF31" s="43">
        <v>12</v>
      </c>
      <c r="AG31" s="43">
        <v>12</v>
      </c>
      <c r="AH31" s="38">
        <v>45300</v>
      </c>
      <c r="AI31" s="38"/>
      <c r="AJ31" s="38"/>
      <c r="AK31" s="38">
        <v>45332</v>
      </c>
      <c r="AL31" s="38"/>
      <c r="AM31" s="48"/>
      <c r="AN31" s="42" t="s">
        <v>575</v>
      </c>
      <c r="AO31" s="42" t="s">
        <v>324</v>
      </c>
      <c r="AP31" s="42" t="s">
        <v>325</v>
      </c>
      <c r="AQ31" s="42" t="s">
        <v>326</v>
      </c>
      <c r="AR31" s="42" t="s">
        <v>148</v>
      </c>
      <c r="AS31" s="50">
        <v>0</v>
      </c>
      <c r="AT31" s="39">
        <v>100</v>
      </c>
      <c r="AU31" s="39" t="s">
        <v>327</v>
      </c>
      <c r="AV31" s="49">
        <v>140</v>
      </c>
      <c r="AW31" s="39" t="s">
        <v>62</v>
      </c>
      <c r="AX31" s="39">
        <v>10</v>
      </c>
      <c r="AY31" s="30">
        <v>1808748.48</v>
      </c>
      <c r="AZ31" s="42" t="s">
        <v>97</v>
      </c>
    </row>
    <row r="32" spans="1:52" ht="75" x14ac:dyDescent="0.25">
      <c r="A32" s="46" t="s">
        <v>576</v>
      </c>
      <c r="B32" s="38">
        <v>45219</v>
      </c>
      <c r="C32" s="39">
        <v>545</v>
      </c>
      <c r="D32" s="37" t="s">
        <v>577</v>
      </c>
      <c r="E32" s="41" t="s">
        <v>578</v>
      </c>
      <c r="F32" s="38">
        <v>45240</v>
      </c>
      <c r="G32" s="39" t="s">
        <v>579</v>
      </c>
      <c r="H32" s="42" t="s">
        <v>54</v>
      </c>
      <c r="I32" s="42" t="s">
        <v>580</v>
      </c>
      <c r="J32" s="43">
        <v>96768822.079999998</v>
      </c>
      <c r="K32" s="43">
        <v>96768822.079999998</v>
      </c>
      <c r="L32" s="56">
        <v>0</v>
      </c>
      <c r="M32" s="56">
        <v>0</v>
      </c>
      <c r="N32" s="44">
        <v>0</v>
      </c>
      <c r="O32" s="45">
        <v>96768822.079999998</v>
      </c>
      <c r="P32" s="43">
        <v>96768822.079999998</v>
      </c>
      <c r="Q32" s="45">
        <v>0</v>
      </c>
      <c r="R32" s="43">
        <v>96768822.079999998</v>
      </c>
      <c r="S32" s="30">
        <v>125663073.48</v>
      </c>
      <c r="T32" s="30">
        <v>125663073.48</v>
      </c>
      <c r="U32" s="30">
        <v>1281.9100000000001</v>
      </c>
      <c r="V32" s="43">
        <v>1281.9100000000001</v>
      </c>
      <c r="W32" s="43">
        <v>35893.480000000003</v>
      </c>
      <c r="X32" s="43">
        <v>98028</v>
      </c>
      <c r="Y32" s="43">
        <v>98028</v>
      </c>
      <c r="Z32" s="43">
        <v>0</v>
      </c>
      <c r="AA32" s="43">
        <v>0</v>
      </c>
      <c r="AB32" s="43"/>
      <c r="AC32" s="43">
        <v>0</v>
      </c>
      <c r="AD32" s="43"/>
      <c r="AE32" s="43">
        <v>0</v>
      </c>
      <c r="AF32" s="43">
        <v>3501</v>
      </c>
      <c r="AG32" s="43">
        <v>3501</v>
      </c>
      <c r="AH32" s="38">
        <v>45352</v>
      </c>
      <c r="AI32" s="38"/>
      <c r="AJ32" s="38"/>
      <c r="AK32" s="38">
        <v>45383</v>
      </c>
      <c r="AL32" s="38"/>
      <c r="AM32" s="48"/>
      <c r="AN32" s="42" t="s">
        <v>323</v>
      </c>
      <c r="AO32" s="42" t="s">
        <v>581</v>
      </c>
      <c r="AP32" s="42" t="s">
        <v>582</v>
      </c>
      <c r="AQ32" s="42" t="s">
        <v>583</v>
      </c>
      <c r="AR32" s="42" t="s">
        <v>388</v>
      </c>
      <c r="AS32" s="50">
        <v>0</v>
      </c>
      <c r="AT32" s="39">
        <v>100</v>
      </c>
      <c r="AU32" s="39" t="s">
        <v>389</v>
      </c>
      <c r="AV32" s="49">
        <v>28</v>
      </c>
      <c r="AW32" s="39" t="s">
        <v>62</v>
      </c>
      <c r="AX32" s="39">
        <v>10</v>
      </c>
      <c r="AY32" s="30">
        <v>9676882.2079999987</v>
      </c>
      <c r="AZ32" s="42" t="s">
        <v>405</v>
      </c>
    </row>
    <row r="33" spans="1:52" ht="75" x14ac:dyDescent="0.25">
      <c r="A33" s="46" t="s">
        <v>584</v>
      </c>
      <c r="B33" s="38">
        <v>45222</v>
      </c>
      <c r="C33" s="39">
        <v>545</v>
      </c>
      <c r="D33" s="37" t="s">
        <v>585</v>
      </c>
      <c r="E33" s="41" t="s">
        <v>586</v>
      </c>
      <c r="F33" s="38">
        <v>45243</v>
      </c>
      <c r="G33" s="39" t="s">
        <v>587</v>
      </c>
      <c r="H33" s="42" t="s">
        <v>271</v>
      </c>
      <c r="I33" s="42" t="s">
        <v>588</v>
      </c>
      <c r="J33" s="43">
        <v>21516462</v>
      </c>
      <c r="K33" s="43">
        <v>21516462</v>
      </c>
      <c r="L33" s="56">
        <v>0</v>
      </c>
      <c r="M33" s="56">
        <v>0</v>
      </c>
      <c r="N33" s="44">
        <v>0</v>
      </c>
      <c r="O33" s="45">
        <v>21516462</v>
      </c>
      <c r="P33" s="43">
        <v>21516462</v>
      </c>
      <c r="Q33" s="45">
        <v>0</v>
      </c>
      <c r="R33" s="43">
        <v>21516462</v>
      </c>
      <c r="S33" s="30">
        <v>27076896</v>
      </c>
      <c r="T33" s="30">
        <v>27076896</v>
      </c>
      <c r="U33" s="30">
        <v>4029.3</v>
      </c>
      <c r="V33" s="43">
        <v>4029.3</v>
      </c>
      <c r="W33" s="43">
        <v>241758</v>
      </c>
      <c r="X33" s="43">
        <v>6720</v>
      </c>
      <c r="Y33" s="43">
        <v>6720</v>
      </c>
      <c r="Z33" s="43">
        <v>0</v>
      </c>
      <c r="AA33" s="43">
        <v>0</v>
      </c>
      <c r="AB33" s="43"/>
      <c r="AC33" s="43">
        <v>0</v>
      </c>
      <c r="AD33" s="43"/>
      <c r="AE33" s="43">
        <v>0</v>
      </c>
      <c r="AF33" s="43">
        <v>112</v>
      </c>
      <c r="AG33" s="43">
        <v>112</v>
      </c>
      <c r="AH33" s="38">
        <v>45306</v>
      </c>
      <c r="AI33" s="38"/>
      <c r="AJ33" s="38"/>
      <c r="AK33" s="38">
        <v>45337</v>
      </c>
      <c r="AL33" s="38"/>
      <c r="AM33" s="48"/>
      <c r="AN33" s="42" t="s">
        <v>323</v>
      </c>
      <c r="AO33" s="42" t="s">
        <v>589</v>
      </c>
      <c r="AP33" s="42" t="s">
        <v>590</v>
      </c>
      <c r="AQ33" s="42" t="s">
        <v>591</v>
      </c>
      <c r="AR33" s="42" t="s">
        <v>94</v>
      </c>
      <c r="AS33" s="50">
        <v>0</v>
      </c>
      <c r="AT33" s="39">
        <v>100</v>
      </c>
      <c r="AU33" s="39" t="s">
        <v>389</v>
      </c>
      <c r="AV33" s="49">
        <v>60</v>
      </c>
      <c r="AW33" s="39" t="s">
        <v>62</v>
      </c>
      <c r="AX33" s="39">
        <v>10</v>
      </c>
      <c r="AY33" s="30">
        <v>2151646.2000000002</v>
      </c>
      <c r="AZ33" s="42" t="s">
        <v>97</v>
      </c>
    </row>
    <row r="34" spans="1:52" ht="75" x14ac:dyDescent="0.25">
      <c r="A34" s="46" t="s">
        <v>592</v>
      </c>
      <c r="B34" s="38">
        <v>45222</v>
      </c>
      <c r="C34" s="39">
        <v>545</v>
      </c>
      <c r="D34" s="37" t="s">
        <v>434</v>
      </c>
      <c r="E34" s="41" t="s">
        <v>593</v>
      </c>
      <c r="F34" s="38" t="s">
        <v>434</v>
      </c>
      <c r="G34" s="39" t="s">
        <v>434</v>
      </c>
      <c r="H34" s="42" t="s">
        <v>434</v>
      </c>
      <c r="I34" s="42" t="s">
        <v>594</v>
      </c>
      <c r="J34" s="43">
        <v>11962491.300000001</v>
      </c>
      <c r="K34" s="43">
        <v>11962491.300000001</v>
      </c>
      <c r="L34" s="43"/>
      <c r="M34" s="43"/>
      <c r="N34" s="44">
        <v>100</v>
      </c>
      <c r="O34" s="45">
        <v>11962491.300000001</v>
      </c>
      <c r="P34" s="43"/>
      <c r="Q34" s="45">
        <v>11962491.300000001</v>
      </c>
      <c r="R34" s="43">
        <v>0</v>
      </c>
      <c r="S34" s="30">
        <v>0</v>
      </c>
      <c r="T34" s="30">
        <v>0</v>
      </c>
      <c r="U34" s="30" t="e">
        <v>#DIV/0!</v>
      </c>
      <c r="V34" s="43" t="e">
        <v>#DIV/0!</v>
      </c>
      <c r="W34" s="43" t="e">
        <v>#DIV/0!</v>
      </c>
      <c r="X34" s="43">
        <v>0</v>
      </c>
      <c r="Y34" s="43">
        <v>0</v>
      </c>
      <c r="Z34" s="43">
        <v>0</v>
      </c>
      <c r="AA34" s="43">
        <v>0</v>
      </c>
      <c r="AB34" s="43"/>
      <c r="AC34" s="43" t="e">
        <v>#DIV/0!</v>
      </c>
      <c r="AD34" s="43"/>
      <c r="AE34" s="43" t="e">
        <v>#DIV/0!</v>
      </c>
      <c r="AF34" s="43" t="e">
        <v>#DIV/0!</v>
      </c>
      <c r="AG34" s="43" t="e">
        <v>#DIV/0!</v>
      </c>
      <c r="AH34" s="38"/>
      <c r="AI34" s="38"/>
      <c r="AJ34" s="38"/>
      <c r="AK34" s="38"/>
      <c r="AL34" s="38"/>
      <c r="AM34" s="48"/>
      <c r="AN34" s="42"/>
      <c r="AO34" s="42"/>
      <c r="AP34" s="42"/>
      <c r="AQ34" s="42"/>
      <c r="AR34" s="42"/>
      <c r="AS34" s="50"/>
      <c r="AT34" s="39"/>
      <c r="AU34" s="39"/>
      <c r="AV34" s="49"/>
      <c r="AW34" s="39"/>
      <c r="AX34" s="39">
        <v>10</v>
      </c>
      <c r="AY34" s="30">
        <v>1196249.1299999999</v>
      </c>
      <c r="AZ34" s="42" t="s">
        <v>434</v>
      </c>
    </row>
    <row r="35" spans="1:52" ht="75" x14ac:dyDescent="0.25">
      <c r="A35" s="46" t="s">
        <v>595</v>
      </c>
      <c r="B35" s="38">
        <v>45223</v>
      </c>
      <c r="C35" s="39">
        <v>545</v>
      </c>
      <c r="D35" s="37" t="s">
        <v>434</v>
      </c>
      <c r="E35" s="41" t="s">
        <v>596</v>
      </c>
      <c r="F35" s="38" t="s">
        <v>434</v>
      </c>
      <c r="G35" s="39" t="s">
        <v>434</v>
      </c>
      <c r="H35" s="42" t="s">
        <v>434</v>
      </c>
      <c r="I35" s="42" t="s">
        <v>597</v>
      </c>
      <c r="J35" s="43">
        <v>11225026.560000001</v>
      </c>
      <c r="K35" s="43">
        <v>11225026.560000001</v>
      </c>
      <c r="L35" s="43"/>
      <c r="M35" s="43"/>
      <c r="N35" s="44">
        <v>100</v>
      </c>
      <c r="O35" s="45">
        <v>11225026.560000001</v>
      </c>
      <c r="P35" s="43"/>
      <c r="Q35" s="45">
        <v>11225026.560000001</v>
      </c>
      <c r="R35" s="43">
        <v>0</v>
      </c>
      <c r="S35" s="30">
        <v>0</v>
      </c>
      <c r="T35" s="30">
        <v>0</v>
      </c>
      <c r="U35" s="30" t="e">
        <v>#DIV/0!</v>
      </c>
      <c r="V35" s="43" t="e">
        <v>#DIV/0!</v>
      </c>
      <c r="W35" s="43" t="e">
        <v>#DIV/0!</v>
      </c>
      <c r="X35" s="43">
        <v>0</v>
      </c>
      <c r="Y35" s="43">
        <v>0</v>
      </c>
      <c r="Z35" s="43">
        <v>0</v>
      </c>
      <c r="AA35" s="43">
        <v>0</v>
      </c>
      <c r="AB35" s="43"/>
      <c r="AC35" s="43" t="e">
        <v>#DIV/0!</v>
      </c>
      <c r="AD35" s="43"/>
      <c r="AE35" s="43" t="e">
        <v>#DIV/0!</v>
      </c>
      <c r="AF35" s="43" t="e">
        <v>#DIV/0!</v>
      </c>
      <c r="AG35" s="43" t="e">
        <v>#DIV/0!</v>
      </c>
      <c r="AH35" s="38"/>
      <c r="AI35" s="38"/>
      <c r="AJ35" s="38"/>
      <c r="AK35" s="38"/>
      <c r="AL35" s="38"/>
      <c r="AM35" s="48"/>
      <c r="AN35" s="42"/>
      <c r="AO35" s="42"/>
      <c r="AP35" s="42"/>
      <c r="AQ35" s="42"/>
      <c r="AR35" s="42"/>
      <c r="AS35" s="50"/>
      <c r="AT35" s="39"/>
      <c r="AU35" s="39"/>
      <c r="AV35" s="49"/>
      <c r="AW35" s="39"/>
      <c r="AX35" s="39">
        <v>10</v>
      </c>
      <c r="AY35" s="30">
        <v>1122502.6560000002</v>
      </c>
      <c r="AZ35" s="42" t="s">
        <v>434</v>
      </c>
    </row>
    <row r="36" spans="1:52" ht="75" x14ac:dyDescent="0.25">
      <c r="A36" s="46" t="s">
        <v>598</v>
      </c>
      <c r="B36" s="38">
        <v>45225</v>
      </c>
      <c r="C36" s="39">
        <v>545</v>
      </c>
      <c r="D36" s="37" t="s">
        <v>599</v>
      </c>
      <c r="E36" s="41" t="s">
        <v>600</v>
      </c>
      <c r="F36" s="38">
        <v>45254</v>
      </c>
      <c r="G36" s="39" t="s">
        <v>601</v>
      </c>
      <c r="H36" s="42" t="s">
        <v>88</v>
      </c>
      <c r="I36" s="42" t="s">
        <v>602</v>
      </c>
      <c r="J36" s="43">
        <v>12464242.560000001</v>
      </c>
      <c r="K36" s="43">
        <v>12464242.560000001</v>
      </c>
      <c r="L36" s="43">
        <v>0</v>
      </c>
      <c r="M36" s="43">
        <v>0</v>
      </c>
      <c r="N36" s="44">
        <v>0</v>
      </c>
      <c r="O36" s="45">
        <v>12464242.560000001</v>
      </c>
      <c r="P36" s="43">
        <v>12464242.560000001</v>
      </c>
      <c r="Q36" s="45">
        <v>0</v>
      </c>
      <c r="R36" s="43">
        <v>12464242.560000001</v>
      </c>
      <c r="S36" s="30">
        <v>12464242.560000001</v>
      </c>
      <c r="T36" s="30">
        <v>12464242.560000001</v>
      </c>
      <c r="U36" s="30">
        <v>247306.40000000002</v>
      </c>
      <c r="V36" s="43">
        <v>247306.40000000002</v>
      </c>
      <c r="W36" s="43">
        <v>2077373.7600000002</v>
      </c>
      <c r="X36" s="43">
        <v>50.4</v>
      </c>
      <c r="Y36" s="43">
        <v>50.4</v>
      </c>
      <c r="Z36" s="43">
        <v>0</v>
      </c>
      <c r="AA36" s="43">
        <v>0</v>
      </c>
      <c r="AB36" s="43"/>
      <c r="AC36" s="43">
        <v>0</v>
      </c>
      <c r="AD36" s="43"/>
      <c r="AE36" s="43">
        <v>0</v>
      </c>
      <c r="AF36" s="43">
        <v>6</v>
      </c>
      <c r="AG36" s="43">
        <v>6</v>
      </c>
      <c r="AH36" s="38">
        <v>45306</v>
      </c>
      <c r="AI36" s="38">
        <v>45536</v>
      </c>
      <c r="AJ36" s="38"/>
      <c r="AK36" s="38">
        <v>45337</v>
      </c>
      <c r="AL36" s="38">
        <v>45200</v>
      </c>
      <c r="AM36" s="48"/>
      <c r="AN36" s="42" t="s">
        <v>603</v>
      </c>
      <c r="AO36" s="42" t="s">
        <v>604</v>
      </c>
      <c r="AP36" s="42" t="s">
        <v>605</v>
      </c>
      <c r="AQ36" s="42" t="s">
        <v>606</v>
      </c>
      <c r="AR36" s="42" t="s">
        <v>60</v>
      </c>
      <c r="AS36" s="50">
        <v>0</v>
      </c>
      <c r="AT36" s="39">
        <v>100</v>
      </c>
      <c r="AU36" s="39" t="s">
        <v>83</v>
      </c>
      <c r="AV36" s="49">
        <v>8.4</v>
      </c>
      <c r="AW36" s="39" t="s">
        <v>62</v>
      </c>
      <c r="AX36" s="39">
        <v>10</v>
      </c>
      <c r="AY36" s="30">
        <v>1246424.2560000001</v>
      </c>
      <c r="AZ36" s="42" t="s">
        <v>97</v>
      </c>
    </row>
    <row r="37" spans="1:52" ht="69" customHeight="1" x14ac:dyDescent="0.25">
      <c r="A37" s="46" t="s">
        <v>657</v>
      </c>
      <c r="B37" s="48">
        <v>45237</v>
      </c>
      <c r="C37" s="42">
        <v>545</v>
      </c>
      <c r="D37" s="37" t="s">
        <v>658</v>
      </c>
      <c r="E37" s="41" t="s">
        <v>659</v>
      </c>
      <c r="F37" s="38">
        <v>45258</v>
      </c>
      <c r="G37" s="39" t="s">
        <v>660</v>
      </c>
      <c r="H37" s="42" t="s">
        <v>271</v>
      </c>
      <c r="I37" s="42" t="s">
        <v>594</v>
      </c>
      <c r="J37" s="56">
        <v>13158732.6</v>
      </c>
      <c r="K37" s="56">
        <v>13158732.6</v>
      </c>
      <c r="L37" s="43">
        <v>0</v>
      </c>
      <c r="M37" s="43">
        <v>0</v>
      </c>
      <c r="N37" s="44">
        <v>0</v>
      </c>
      <c r="O37" s="45">
        <v>0</v>
      </c>
      <c r="P37" s="43">
        <v>13158732.6</v>
      </c>
      <c r="Q37" s="45">
        <v>0</v>
      </c>
      <c r="R37" s="43">
        <v>13158732.6</v>
      </c>
      <c r="S37" s="30">
        <v>16788727.800000001</v>
      </c>
      <c r="T37" s="30">
        <v>16788727.800000001</v>
      </c>
      <c r="U37" s="30">
        <v>5041.66</v>
      </c>
      <c r="V37" s="43">
        <v>5041.66</v>
      </c>
      <c r="W37" s="43">
        <v>453749.39999999997</v>
      </c>
      <c r="X37" s="43">
        <v>3330</v>
      </c>
      <c r="Y37" s="43">
        <v>1530</v>
      </c>
      <c r="Z37" s="43">
        <v>1800</v>
      </c>
      <c r="AA37" s="43">
        <v>0</v>
      </c>
      <c r="AB37" s="43"/>
      <c r="AC37" s="43">
        <v>0</v>
      </c>
      <c r="AD37" s="43"/>
      <c r="AE37" s="43">
        <v>0</v>
      </c>
      <c r="AF37" s="43">
        <v>37</v>
      </c>
      <c r="AG37" s="43">
        <v>37</v>
      </c>
      <c r="AH37" s="38">
        <v>45322</v>
      </c>
      <c r="AI37" s="38">
        <v>45352</v>
      </c>
      <c r="AJ37" s="38"/>
      <c r="AK37" s="38">
        <v>45382</v>
      </c>
      <c r="AL37" s="38">
        <v>45383</v>
      </c>
      <c r="AM37" s="48"/>
      <c r="AN37" s="42" t="s">
        <v>323</v>
      </c>
      <c r="AO37" s="42" t="s">
        <v>661</v>
      </c>
      <c r="AP37" s="42" t="s">
        <v>662</v>
      </c>
      <c r="AQ37" s="42" t="s">
        <v>663</v>
      </c>
      <c r="AR37" s="42" t="s">
        <v>388</v>
      </c>
      <c r="AS37" s="50">
        <v>0</v>
      </c>
      <c r="AT37" s="39">
        <v>100</v>
      </c>
      <c r="AU37" s="39" t="s">
        <v>389</v>
      </c>
      <c r="AV37" s="49">
        <v>90</v>
      </c>
      <c r="AW37" s="39" t="s">
        <v>62</v>
      </c>
      <c r="AX37" s="39">
        <v>10</v>
      </c>
      <c r="AY37" s="30">
        <v>1315873.26</v>
      </c>
      <c r="AZ37" s="42" t="s">
        <v>328</v>
      </c>
    </row>
    <row r="38" spans="1:52" ht="69" customHeight="1" x14ac:dyDescent="0.25">
      <c r="A38" s="46" t="s">
        <v>664</v>
      </c>
      <c r="B38" s="48">
        <v>45239</v>
      </c>
      <c r="C38" s="42">
        <v>545</v>
      </c>
      <c r="D38" s="37" t="s">
        <v>434</v>
      </c>
      <c r="E38" s="42"/>
      <c r="F38" s="38" t="s">
        <v>434</v>
      </c>
      <c r="G38" s="39" t="s">
        <v>434</v>
      </c>
      <c r="H38" s="42" t="s">
        <v>434</v>
      </c>
      <c r="I38" s="42" t="s">
        <v>665</v>
      </c>
      <c r="J38" s="56">
        <v>4595525000</v>
      </c>
      <c r="K38" s="56">
        <v>4595525000</v>
      </c>
      <c r="L38" s="56"/>
      <c r="M38" s="56"/>
      <c r="N38" s="44">
        <v>100</v>
      </c>
      <c r="O38" s="45">
        <v>4595525000</v>
      </c>
      <c r="P38" s="43"/>
      <c r="Q38" s="45">
        <v>4595525000</v>
      </c>
      <c r="R38" s="43">
        <v>0</v>
      </c>
      <c r="S38" s="30">
        <v>0</v>
      </c>
      <c r="T38" s="30">
        <v>0</v>
      </c>
      <c r="U38" s="30" t="e">
        <v>#DIV/0!</v>
      </c>
      <c r="V38" s="43" t="e">
        <v>#DIV/0!</v>
      </c>
      <c r="W38" s="43" t="e">
        <v>#DIV/0!</v>
      </c>
      <c r="X38" s="43">
        <v>0</v>
      </c>
      <c r="Y38" s="43">
        <v>0</v>
      </c>
      <c r="Z38" s="43">
        <v>0</v>
      </c>
      <c r="AA38" s="43">
        <v>0</v>
      </c>
      <c r="AB38" s="43"/>
      <c r="AC38" s="43" t="e">
        <v>#DIV/0!</v>
      </c>
      <c r="AD38" s="43"/>
      <c r="AE38" s="43" t="e">
        <v>#DIV/0!</v>
      </c>
      <c r="AF38" s="43" t="e">
        <v>#DIV/0!</v>
      </c>
      <c r="AG38" s="43" t="e">
        <v>#DIV/0!</v>
      </c>
      <c r="AH38" s="38">
        <v>45657</v>
      </c>
      <c r="AI38" s="38"/>
      <c r="AJ38" s="38"/>
      <c r="AK38" s="38"/>
      <c r="AL38" s="38"/>
      <c r="AM38" s="48"/>
      <c r="AN38" s="42"/>
      <c r="AO38" s="42"/>
      <c r="AP38" s="42"/>
      <c r="AQ38" s="42"/>
      <c r="AR38" s="42"/>
      <c r="AS38" s="50"/>
      <c r="AT38" s="39"/>
      <c r="AU38" s="39"/>
      <c r="AV38" s="49"/>
      <c r="AW38" s="39"/>
      <c r="AX38" s="39">
        <v>10</v>
      </c>
      <c r="AY38" s="30">
        <v>459552500</v>
      </c>
      <c r="AZ38" s="42" t="s">
        <v>434</v>
      </c>
    </row>
    <row r="39" spans="1:52" ht="60.75" customHeight="1" x14ac:dyDescent="0.25">
      <c r="A39" s="46" t="s">
        <v>757</v>
      </c>
      <c r="B39" s="48">
        <v>45252</v>
      </c>
      <c r="C39" s="42">
        <v>545</v>
      </c>
      <c r="D39" s="37" t="s">
        <v>758</v>
      </c>
      <c r="E39" s="41" t="s">
        <v>759</v>
      </c>
      <c r="F39" s="38">
        <v>45272</v>
      </c>
      <c r="G39" s="39" t="s">
        <v>760</v>
      </c>
      <c r="H39" s="42" t="s">
        <v>271</v>
      </c>
      <c r="I39" s="42" t="s">
        <v>761</v>
      </c>
      <c r="J39" s="56">
        <v>236402362.34999999</v>
      </c>
      <c r="K39" s="56">
        <v>236402362.34999999</v>
      </c>
      <c r="L39" s="56">
        <v>0</v>
      </c>
      <c r="M39" s="56">
        <v>0</v>
      </c>
      <c r="N39" s="44">
        <v>0</v>
      </c>
      <c r="O39" s="45">
        <v>0</v>
      </c>
      <c r="P39" s="43">
        <v>236402362.34999999</v>
      </c>
      <c r="Q39" s="45">
        <v>0</v>
      </c>
      <c r="R39" s="43">
        <v>236402362.34999999</v>
      </c>
      <c r="S39" s="30">
        <v>236402362.34999999</v>
      </c>
      <c r="T39" s="30">
        <v>236402362.34999999</v>
      </c>
      <c r="U39" s="30">
        <v>204411.9</v>
      </c>
      <c r="V39" s="43">
        <v>204411.9</v>
      </c>
      <c r="W39" s="43">
        <v>919853.54999999993</v>
      </c>
      <c r="X39" s="43">
        <v>1156.5</v>
      </c>
      <c r="Y39" s="43">
        <v>1156.5</v>
      </c>
      <c r="Z39" s="43">
        <v>0</v>
      </c>
      <c r="AA39" s="43">
        <v>0</v>
      </c>
      <c r="AB39" s="43"/>
      <c r="AC39" s="43">
        <v>0</v>
      </c>
      <c r="AD39" s="43"/>
      <c r="AE39" s="43">
        <v>0</v>
      </c>
      <c r="AF39" s="43">
        <v>257</v>
      </c>
      <c r="AG39" s="43">
        <v>257</v>
      </c>
      <c r="AH39" s="38">
        <v>45322</v>
      </c>
      <c r="AI39" s="38"/>
      <c r="AJ39" s="38"/>
      <c r="AK39" s="38">
        <v>45352</v>
      </c>
      <c r="AL39" s="38"/>
      <c r="AM39" s="48"/>
      <c r="AN39" s="42"/>
      <c r="AO39" s="42" t="s">
        <v>762</v>
      </c>
      <c r="AP39" s="42" t="s">
        <v>763</v>
      </c>
      <c r="AQ39" s="42" t="s">
        <v>764</v>
      </c>
      <c r="AR39" s="42" t="s">
        <v>148</v>
      </c>
      <c r="AS39" s="50">
        <v>0</v>
      </c>
      <c r="AT39" s="39">
        <v>100</v>
      </c>
      <c r="AU39" s="39" t="s">
        <v>83</v>
      </c>
      <c r="AV39" s="54">
        <v>4.5</v>
      </c>
      <c r="AW39" s="39" t="s">
        <v>62</v>
      </c>
      <c r="AX39" s="39">
        <v>10</v>
      </c>
      <c r="AY39" s="30">
        <v>23640236.234999999</v>
      </c>
      <c r="AZ39" s="42" t="s">
        <v>97</v>
      </c>
    </row>
    <row r="40" spans="1:52" ht="60.75" customHeight="1" x14ac:dyDescent="0.25">
      <c r="A40" s="46" t="s">
        <v>803</v>
      </c>
      <c r="B40" s="48">
        <v>45254</v>
      </c>
      <c r="C40" s="42">
        <v>545</v>
      </c>
      <c r="D40" s="37" t="s">
        <v>804</v>
      </c>
      <c r="E40" s="41" t="s">
        <v>805</v>
      </c>
      <c r="F40" s="38">
        <v>45275</v>
      </c>
      <c r="G40" s="39" t="s">
        <v>806</v>
      </c>
      <c r="H40" s="42" t="s">
        <v>271</v>
      </c>
      <c r="I40" s="42" t="s">
        <v>807</v>
      </c>
      <c r="J40" s="56">
        <v>15491197.199999999</v>
      </c>
      <c r="K40" s="56">
        <v>15491197.199999999</v>
      </c>
      <c r="L40" s="56">
        <v>0</v>
      </c>
      <c r="M40" s="56">
        <v>0</v>
      </c>
      <c r="N40" s="44">
        <v>0</v>
      </c>
      <c r="O40" s="45">
        <v>0</v>
      </c>
      <c r="P40" s="43">
        <v>15491197.199999999</v>
      </c>
      <c r="Q40" s="45">
        <v>0</v>
      </c>
      <c r="R40" s="43">
        <v>15491197.199999999</v>
      </c>
      <c r="S40" s="30">
        <v>19634191.800000001</v>
      </c>
      <c r="T40" s="30">
        <v>19634191.800000001</v>
      </c>
      <c r="U40" s="30">
        <v>3002.17</v>
      </c>
      <c r="V40" s="43">
        <v>3002.17</v>
      </c>
      <c r="W40" s="43">
        <v>180130.2</v>
      </c>
      <c r="X40" s="43">
        <v>6540</v>
      </c>
      <c r="Y40" s="43">
        <v>6540</v>
      </c>
      <c r="Z40" s="43">
        <v>0</v>
      </c>
      <c r="AA40" s="43">
        <v>0</v>
      </c>
      <c r="AB40" s="43"/>
      <c r="AC40" s="43">
        <v>0</v>
      </c>
      <c r="AD40" s="43"/>
      <c r="AE40" s="43">
        <v>0</v>
      </c>
      <c r="AF40" s="43">
        <v>109</v>
      </c>
      <c r="AG40" s="43">
        <v>109</v>
      </c>
      <c r="AH40" s="38">
        <v>45301</v>
      </c>
      <c r="AI40" s="38"/>
      <c r="AJ40" s="38"/>
      <c r="AK40" s="38">
        <v>45332</v>
      </c>
      <c r="AL40" s="38"/>
      <c r="AM40" s="48"/>
      <c r="AN40" s="42" t="s">
        <v>323</v>
      </c>
      <c r="AO40" s="42" t="s">
        <v>430</v>
      </c>
      <c r="AP40" s="42" t="s">
        <v>451</v>
      </c>
      <c r="AQ40" s="42" t="s">
        <v>432</v>
      </c>
      <c r="AR40" s="42" t="s">
        <v>94</v>
      </c>
      <c r="AS40" s="50">
        <v>0</v>
      </c>
      <c r="AT40" s="39">
        <v>100</v>
      </c>
      <c r="AU40" s="39" t="s">
        <v>389</v>
      </c>
      <c r="AV40" s="49">
        <v>60</v>
      </c>
      <c r="AW40" s="39" t="s">
        <v>62</v>
      </c>
      <c r="AX40" s="39">
        <v>10</v>
      </c>
      <c r="AY40" s="30">
        <v>1549119.72</v>
      </c>
      <c r="AZ40" s="42" t="s">
        <v>97</v>
      </c>
    </row>
    <row r="41" spans="1:52" ht="32.450000000000003" customHeight="1" x14ac:dyDescent="0.25">
      <c r="A41" s="46" t="s">
        <v>808</v>
      </c>
      <c r="B41" s="48">
        <v>45258</v>
      </c>
      <c r="C41" s="42">
        <v>545</v>
      </c>
      <c r="D41" s="37" t="s">
        <v>809</v>
      </c>
      <c r="E41" s="41" t="s">
        <v>810</v>
      </c>
      <c r="F41" s="38">
        <v>45278</v>
      </c>
      <c r="G41" s="39" t="s">
        <v>811</v>
      </c>
      <c r="H41" s="42" t="s">
        <v>271</v>
      </c>
      <c r="I41" s="42" t="s">
        <v>429</v>
      </c>
      <c r="J41" s="56">
        <v>9798465.5999999996</v>
      </c>
      <c r="K41" s="56">
        <v>9798465.5999999996</v>
      </c>
      <c r="L41" s="56">
        <v>0</v>
      </c>
      <c r="M41" s="56">
        <v>0</v>
      </c>
      <c r="N41" s="44">
        <v>0</v>
      </c>
      <c r="O41" s="45">
        <v>0</v>
      </c>
      <c r="P41" s="43">
        <v>9798465.5999999996</v>
      </c>
      <c r="Q41" s="45">
        <v>0</v>
      </c>
      <c r="R41" s="43">
        <v>9798465.5999999996</v>
      </c>
      <c r="S41" s="30">
        <v>9798465.5999999996</v>
      </c>
      <c r="T41" s="30">
        <v>9798465.5999999996</v>
      </c>
      <c r="U41" s="30">
        <v>2916.21</v>
      </c>
      <c r="V41" s="43">
        <v>2916.21</v>
      </c>
      <c r="W41" s="43">
        <v>174972.6</v>
      </c>
      <c r="X41" s="43">
        <v>3360</v>
      </c>
      <c r="Y41" s="43">
        <v>3360</v>
      </c>
      <c r="Z41" s="43">
        <v>0</v>
      </c>
      <c r="AA41" s="43">
        <v>0</v>
      </c>
      <c r="AB41" s="43"/>
      <c r="AC41" s="43">
        <v>0</v>
      </c>
      <c r="AD41" s="43"/>
      <c r="AE41" s="43">
        <v>0</v>
      </c>
      <c r="AF41" s="43">
        <v>56</v>
      </c>
      <c r="AG41" s="43">
        <v>56</v>
      </c>
      <c r="AH41" s="38">
        <v>45306</v>
      </c>
      <c r="AI41" s="38"/>
      <c r="AJ41" s="38"/>
      <c r="AK41" s="38">
        <v>45332</v>
      </c>
      <c r="AL41" s="38"/>
      <c r="AM41" s="48"/>
      <c r="AN41" s="42" t="s">
        <v>323</v>
      </c>
      <c r="AO41" s="42" t="s">
        <v>430</v>
      </c>
      <c r="AP41" s="42" t="s">
        <v>431</v>
      </c>
      <c r="AQ41" s="42" t="s">
        <v>432</v>
      </c>
      <c r="AR41" s="42" t="s">
        <v>94</v>
      </c>
      <c r="AS41" s="50">
        <v>0</v>
      </c>
      <c r="AT41" s="39">
        <v>100</v>
      </c>
      <c r="AU41" s="39" t="s">
        <v>389</v>
      </c>
      <c r="AV41" s="49">
        <v>60</v>
      </c>
      <c r="AW41" s="39" t="s">
        <v>62</v>
      </c>
      <c r="AX41" s="39">
        <v>10</v>
      </c>
      <c r="AY41" s="30">
        <v>979846.56</v>
      </c>
      <c r="AZ41" s="42" t="s">
        <v>97</v>
      </c>
    </row>
    <row r="42" spans="1:52" ht="80.25" customHeight="1" x14ac:dyDescent="0.25">
      <c r="A42" s="46" t="s">
        <v>885</v>
      </c>
      <c r="B42" s="48">
        <v>45266</v>
      </c>
      <c r="C42" s="42">
        <v>545</v>
      </c>
      <c r="D42" s="37" t="s">
        <v>886</v>
      </c>
      <c r="E42" s="41" t="s">
        <v>887</v>
      </c>
      <c r="F42" s="38">
        <v>45303</v>
      </c>
      <c r="G42" s="39" t="s">
        <v>888</v>
      </c>
      <c r="H42" s="42" t="s">
        <v>88</v>
      </c>
      <c r="I42" s="42" t="s">
        <v>889</v>
      </c>
      <c r="J42" s="56">
        <v>4675000000</v>
      </c>
      <c r="K42" s="56">
        <v>4675000000</v>
      </c>
      <c r="L42" s="56">
        <v>0</v>
      </c>
      <c r="M42" s="56">
        <v>0</v>
      </c>
      <c r="N42" s="44">
        <v>0</v>
      </c>
      <c r="O42" s="45">
        <v>0</v>
      </c>
      <c r="P42" s="43">
        <v>4675000000</v>
      </c>
      <c r="Q42" s="45">
        <v>0</v>
      </c>
      <c r="R42" s="43">
        <v>4675000000</v>
      </c>
      <c r="S42" s="30">
        <v>4675000000</v>
      </c>
      <c r="T42" s="30">
        <v>4675000000</v>
      </c>
      <c r="U42" s="30">
        <v>93500000</v>
      </c>
      <c r="V42" s="43">
        <v>93500000</v>
      </c>
      <c r="W42" s="43">
        <v>93500000</v>
      </c>
      <c r="X42" s="43">
        <v>50</v>
      </c>
      <c r="Y42" s="43">
        <v>50</v>
      </c>
      <c r="Z42" s="43">
        <v>0</v>
      </c>
      <c r="AA42" s="43">
        <v>0</v>
      </c>
      <c r="AB42" s="43"/>
      <c r="AC42" s="43">
        <v>0</v>
      </c>
      <c r="AD42" s="43"/>
      <c r="AE42" s="43">
        <v>0</v>
      </c>
      <c r="AF42" s="43">
        <v>50</v>
      </c>
      <c r="AG42" s="43">
        <v>50</v>
      </c>
      <c r="AH42" s="38">
        <v>45657</v>
      </c>
      <c r="AI42" s="38"/>
      <c r="AJ42" s="38"/>
      <c r="AK42" s="38"/>
      <c r="AL42" s="38"/>
      <c r="AM42" s="48"/>
      <c r="AN42" s="42"/>
      <c r="AO42" s="42" t="s">
        <v>890</v>
      </c>
      <c r="AP42" s="42" t="s">
        <v>891</v>
      </c>
      <c r="AQ42" s="42" t="s">
        <v>892</v>
      </c>
      <c r="AR42" s="42" t="s">
        <v>388</v>
      </c>
      <c r="AS42" s="50">
        <v>0</v>
      </c>
      <c r="AT42" s="39">
        <v>100</v>
      </c>
      <c r="AU42" s="39" t="s">
        <v>389</v>
      </c>
      <c r="AV42" s="49">
        <v>1</v>
      </c>
      <c r="AW42" s="39" t="s">
        <v>62</v>
      </c>
      <c r="AX42" s="39">
        <v>10</v>
      </c>
      <c r="AY42" s="30">
        <v>467500000</v>
      </c>
      <c r="AZ42" s="42" t="s">
        <v>405</v>
      </c>
    </row>
    <row r="43" spans="1:52" ht="94.5" x14ac:dyDescent="0.25">
      <c r="A43" s="46" t="s">
        <v>1035</v>
      </c>
      <c r="B43" s="48">
        <v>45274</v>
      </c>
      <c r="C43" s="42">
        <v>545</v>
      </c>
      <c r="D43" s="37" t="s">
        <v>1036</v>
      </c>
      <c r="E43" s="41" t="s">
        <v>1037</v>
      </c>
      <c r="F43" s="38">
        <v>45313</v>
      </c>
      <c r="G43" s="39" t="s">
        <v>1038</v>
      </c>
      <c r="H43" s="42" t="s">
        <v>321</v>
      </c>
      <c r="I43" s="42" t="s">
        <v>322</v>
      </c>
      <c r="J43" s="56">
        <v>675266099.20000005</v>
      </c>
      <c r="K43" s="56">
        <v>675266099.20000005</v>
      </c>
      <c r="L43" s="56">
        <v>0</v>
      </c>
      <c r="M43" s="56">
        <v>0</v>
      </c>
      <c r="N43" s="44">
        <v>0</v>
      </c>
      <c r="O43" s="45">
        <v>0</v>
      </c>
      <c r="P43" s="43">
        <v>675266099.20000005</v>
      </c>
      <c r="Q43" s="45">
        <v>0</v>
      </c>
      <c r="R43" s="43">
        <v>675266099.20000005</v>
      </c>
      <c r="S43" s="30">
        <v>675266099.20000005</v>
      </c>
      <c r="T43" s="30">
        <v>675266099.20000005</v>
      </c>
      <c r="U43" s="30">
        <v>10766.36</v>
      </c>
      <c r="V43" s="43">
        <v>10766.36</v>
      </c>
      <c r="W43" s="43">
        <v>1507290.4000000001</v>
      </c>
      <c r="X43" s="43">
        <v>62720</v>
      </c>
      <c r="Y43" s="43">
        <v>35000</v>
      </c>
      <c r="Z43" s="43">
        <v>27720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3">
        <v>448</v>
      </c>
      <c r="AG43" s="43">
        <v>448</v>
      </c>
      <c r="AH43" s="38">
        <v>45444</v>
      </c>
      <c r="AI43" s="38">
        <v>45505</v>
      </c>
      <c r="AJ43" s="38"/>
      <c r="AK43" s="38">
        <v>45474</v>
      </c>
      <c r="AL43" s="38">
        <v>45536</v>
      </c>
      <c r="AM43" s="48"/>
      <c r="AN43" s="42"/>
      <c r="AO43" s="42" t="s">
        <v>324</v>
      </c>
      <c r="AP43" s="42" t="s">
        <v>325</v>
      </c>
      <c r="AQ43" s="42" t="s">
        <v>326</v>
      </c>
      <c r="AR43" s="42" t="s">
        <v>148</v>
      </c>
      <c r="AS43" s="50">
        <v>0</v>
      </c>
      <c r="AT43" s="39">
        <v>100</v>
      </c>
      <c r="AU43" s="39" t="s">
        <v>327</v>
      </c>
      <c r="AV43" s="49">
        <v>140</v>
      </c>
      <c r="AW43" s="39" t="s">
        <v>62</v>
      </c>
      <c r="AX43" s="39">
        <v>10</v>
      </c>
      <c r="AY43" s="30">
        <v>67526609.920000002</v>
      </c>
      <c r="AZ43" s="42" t="s">
        <v>405</v>
      </c>
    </row>
    <row r="44" spans="1:52" ht="66" customHeight="1" x14ac:dyDescent="0.25">
      <c r="A44" s="46" t="s">
        <v>1085</v>
      </c>
      <c r="B44" s="48">
        <v>45278</v>
      </c>
      <c r="C44" s="42">
        <v>545</v>
      </c>
      <c r="D44" s="37" t="s">
        <v>1086</v>
      </c>
      <c r="E44" s="41" t="s">
        <v>1087</v>
      </c>
      <c r="F44" s="38">
        <v>45307</v>
      </c>
      <c r="G44" s="39" t="s">
        <v>1088</v>
      </c>
      <c r="H44" s="42" t="s">
        <v>141</v>
      </c>
      <c r="I44" s="42" t="s">
        <v>1089</v>
      </c>
      <c r="J44" s="56">
        <v>3719931.6</v>
      </c>
      <c r="K44" s="56">
        <v>3719931.6</v>
      </c>
      <c r="L44" s="56">
        <v>0</v>
      </c>
      <c r="M44" s="56">
        <v>0</v>
      </c>
      <c r="N44" s="44">
        <v>0</v>
      </c>
      <c r="O44" s="45">
        <v>0</v>
      </c>
      <c r="P44" s="56">
        <v>3719931.6</v>
      </c>
      <c r="Q44" s="45">
        <v>0</v>
      </c>
      <c r="R44" s="56">
        <v>3719931.6</v>
      </c>
      <c r="S44" s="30">
        <v>4835911.08</v>
      </c>
      <c r="T44" s="30">
        <v>4835911.08</v>
      </c>
      <c r="U44" s="30">
        <v>4428.49</v>
      </c>
      <c r="V44" s="43">
        <v>4428.49</v>
      </c>
      <c r="W44" s="43">
        <v>123997.72</v>
      </c>
      <c r="X44" s="43">
        <v>1092</v>
      </c>
      <c r="Y44" s="43">
        <v>1092</v>
      </c>
      <c r="Z44" s="43">
        <v>0</v>
      </c>
      <c r="AA44" s="43">
        <v>0</v>
      </c>
      <c r="AB44" s="43"/>
      <c r="AC44" s="43">
        <v>0</v>
      </c>
      <c r="AD44" s="43"/>
      <c r="AE44" s="43">
        <v>0</v>
      </c>
      <c r="AF44" s="43">
        <v>39</v>
      </c>
      <c r="AG44" s="43">
        <v>39</v>
      </c>
      <c r="AH44" s="38">
        <v>45337</v>
      </c>
      <c r="AI44" s="38"/>
      <c r="AJ44" s="38"/>
      <c r="AK44" s="38">
        <v>45366</v>
      </c>
      <c r="AL44" s="38"/>
      <c r="AM44" s="48"/>
      <c r="AN44" s="42"/>
      <c r="AO44" s="42" t="s">
        <v>1090</v>
      </c>
      <c r="AP44" s="42" t="s">
        <v>1091</v>
      </c>
      <c r="AQ44" s="42" t="s">
        <v>1092</v>
      </c>
      <c r="AR44" s="42" t="s">
        <v>60</v>
      </c>
      <c r="AS44" s="50">
        <v>0</v>
      </c>
      <c r="AT44" s="39">
        <v>100</v>
      </c>
      <c r="AU44" s="39" t="s">
        <v>389</v>
      </c>
      <c r="AV44" s="49">
        <v>28</v>
      </c>
      <c r="AW44" s="39" t="s">
        <v>62</v>
      </c>
      <c r="AX44" s="39">
        <v>10</v>
      </c>
      <c r="AY44" s="30">
        <v>371993.16</v>
      </c>
      <c r="AZ44" s="42" t="s">
        <v>405</v>
      </c>
    </row>
    <row r="45" spans="1:52" ht="58.5" customHeight="1" x14ac:dyDescent="0.25">
      <c r="A45" s="46" t="s">
        <v>1169</v>
      </c>
      <c r="B45" s="48">
        <v>45280</v>
      </c>
      <c r="C45" s="42">
        <v>545</v>
      </c>
      <c r="D45" s="37" t="s">
        <v>1170</v>
      </c>
      <c r="E45" s="41" t="s">
        <v>1171</v>
      </c>
      <c r="F45" s="38">
        <v>45313</v>
      </c>
      <c r="G45" s="39" t="s">
        <v>1172</v>
      </c>
      <c r="H45" s="42" t="s">
        <v>271</v>
      </c>
      <c r="I45" s="42" t="s">
        <v>1173</v>
      </c>
      <c r="J45" s="56">
        <v>293433282.44999999</v>
      </c>
      <c r="K45" s="56">
        <v>293433282.44999999</v>
      </c>
      <c r="L45" s="56">
        <v>0</v>
      </c>
      <c r="M45" s="56">
        <v>0</v>
      </c>
      <c r="N45" s="44">
        <v>0</v>
      </c>
      <c r="O45" s="45">
        <v>0</v>
      </c>
      <c r="P45" s="43">
        <v>293433282.44999999</v>
      </c>
      <c r="Q45" s="45">
        <v>0</v>
      </c>
      <c r="R45" s="43">
        <v>293433282.44999999</v>
      </c>
      <c r="S45" s="30">
        <v>293433282.44999999</v>
      </c>
      <c r="T45" s="30">
        <v>293433282.44999999</v>
      </c>
      <c r="U45" s="30">
        <v>204411.9</v>
      </c>
      <c r="V45" s="43">
        <v>204411.9</v>
      </c>
      <c r="W45" s="43">
        <v>919853.54999999993</v>
      </c>
      <c r="X45" s="43">
        <v>1435.5</v>
      </c>
      <c r="Y45" s="43">
        <v>1435.5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3">
        <v>319</v>
      </c>
      <c r="AG45" s="43">
        <v>319</v>
      </c>
      <c r="AH45" s="38">
        <v>45352</v>
      </c>
      <c r="AI45" s="38"/>
      <c r="AJ45" s="38"/>
      <c r="AK45" s="38">
        <v>45383</v>
      </c>
      <c r="AL45" s="38"/>
      <c r="AM45" s="48"/>
      <c r="AN45" s="42"/>
      <c r="AO45" s="42" t="s">
        <v>762</v>
      </c>
      <c r="AP45" s="42" t="s">
        <v>1174</v>
      </c>
      <c r="AQ45" s="42" t="s">
        <v>764</v>
      </c>
      <c r="AR45" s="42" t="s">
        <v>148</v>
      </c>
      <c r="AS45" s="50">
        <v>0</v>
      </c>
      <c r="AT45" s="39">
        <v>100</v>
      </c>
      <c r="AU45" s="39" t="s">
        <v>83</v>
      </c>
      <c r="AV45" s="54">
        <v>4.5</v>
      </c>
      <c r="AW45" s="39" t="s">
        <v>62</v>
      </c>
      <c r="AX45" s="39">
        <v>10</v>
      </c>
      <c r="AY45" s="30">
        <v>29343328.245000001</v>
      </c>
      <c r="AZ45" s="42" t="s">
        <v>405</v>
      </c>
    </row>
    <row r="46" spans="1:52" ht="58.5" customHeight="1" x14ac:dyDescent="0.25">
      <c r="A46" s="46" t="s">
        <v>1222</v>
      </c>
      <c r="B46" s="48">
        <v>45287</v>
      </c>
      <c r="C46" s="42">
        <v>545</v>
      </c>
      <c r="D46" s="37" t="s">
        <v>1223</v>
      </c>
      <c r="E46" s="41" t="s">
        <v>1224</v>
      </c>
      <c r="F46" s="38">
        <v>45320</v>
      </c>
      <c r="G46" s="39" t="s">
        <v>1225</v>
      </c>
      <c r="H46" s="42" t="s">
        <v>88</v>
      </c>
      <c r="I46" s="42" t="s">
        <v>384</v>
      </c>
      <c r="J46" s="56">
        <v>445962000</v>
      </c>
      <c r="K46" s="56">
        <v>445962000</v>
      </c>
      <c r="L46" s="56">
        <v>0</v>
      </c>
      <c r="M46" s="56">
        <v>0</v>
      </c>
      <c r="N46" s="44">
        <v>0</v>
      </c>
      <c r="O46" s="45">
        <v>0</v>
      </c>
      <c r="P46" s="43">
        <v>445962000</v>
      </c>
      <c r="Q46" s="45">
        <v>0</v>
      </c>
      <c r="R46" s="43">
        <v>445962000</v>
      </c>
      <c r="S46" s="30">
        <v>445962000</v>
      </c>
      <c r="T46" s="30">
        <v>445962000</v>
      </c>
      <c r="U46" s="30">
        <v>15950</v>
      </c>
      <c r="V46" s="43">
        <v>15950</v>
      </c>
      <c r="W46" s="43">
        <v>957000</v>
      </c>
      <c r="X46" s="43">
        <v>27960</v>
      </c>
      <c r="Y46" s="43">
        <v>27960</v>
      </c>
      <c r="Z46" s="43">
        <v>0</v>
      </c>
      <c r="AA46" s="43">
        <v>0</v>
      </c>
      <c r="AB46" s="43"/>
      <c r="AC46" s="43">
        <v>0</v>
      </c>
      <c r="AD46" s="43"/>
      <c r="AE46" s="43">
        <v>0</v>
      </c>
      <c r="AF46" s="43">
        <v>466</v>
      </c>
      <c r="AG46" s="43">
        <v>466</v>
      </c>
      <c r="AH46" s="38">
        <v>45352</v>
      </c>
      <c r="AI46" s="38"/>
      <c r="AJ46" s="38"/>
      <c r="AK46" s="38">
        <v>45383</v>
      </c>
      <c r="AL46" s="38"/>
      <c r="AM46" s="48"/>
      <c r="AN46" s="42"/>
      <c r="AO46" s="42" t="s">
        <v>385</v>
      </c>
      <c r="AP46" s="42" t="s">
        <v>1226</v>
      </c>
      <c r="AQ46" s="42" t="s">
        <v>387</v>
      </c>
      <c r="AR46" s="42" t="s">
        <v>388</v>
      </c>
      <c r="AS46" s="50">
        <v>100</v>
      </c>
      <c r="AT46" s="39">
        <v>0</v>
      </c>
      <c r="AU46" s="39" t="s">
        <v>389</v>
      </c>
      <c r="AV46" s="49">
        <v>60</v>
      </c>
      <c r="AW46" s="39" t="s">
        <v>62</v>
      </c>
      <c r="AX46" s="39">
        <v>10</v>
      </c>
      <c r="AY46" s="30">
        <v>44596200</v>
      </c>
      <c r="AZ46" s="42" t="s">
        <v>405</v>
      </c>
    </row>
    <row r="47" spans="1:52" ht="58.5" customHeight="1" x14ac:dyDescent="0.25">
      <c r="A47" s="46" t="s">
        <v>1275</v>
      </c>
      <c r="B47" s="48">
        <v>45287</v>
      </c>
      <c r="C47" s="42">
        <v>545</v>
      </c>
      <c r="D47" s="37" t="s">
        <v>1276</v>
      </c>
      <c r="E47" s="41" t="s">
        <v>1277</v>
      </c>
      <c r="F47" s="38">
        <v>45320</v>
      </c>
      <c r="G47" s="39" t="s">
        <v>1278</v>
      </c>
      <c r="H47" s="42" t="s">
        <v>54</v>
      </c>
      <c r="I47" s="42" t="s">
        <v>1279</v>
      </c>
      <c r="J47" s="56">
        <v>9071705.1600000001</v>
      </c>
      <c r="K47" s="56">
        <v>9071705.1600000001</v>
      </c>
      <c r="L47" s="56">
        <v>0</v>
      </c>
      <c r="M47" s="56">
        <v>0</v>
      </c>
      <c r="N47" s="44">
        <v>0</v>
      </c>
      <c r="O47" s="45">
        <v>0</v>
      </c>
      <c r="P47" s="43">
        <v>9071705.1600000001</v>
      </c>
      <c r="Q47" s="45">
        <v>0</v>
      </c>
      <c r="R47" s="43">
        <v>9071705.1600000001</v>
      </c>
      <c r="S47" s="30">
        <v>11663620.92</v>
      </c>
      <c r="T47" s="30">
        <v>11663620.92</v>
      </c>
      <c r="U47" s="30">
        <v>2204.0099999999998</v>
      </c>
      <c r="V47" s="43">
        <v>2204.0099999999998</v>
      </c>
      <c r="W47" s="43">
        <v>185136.83999999997</v>
      </c>
      <c r="X47" s="43">
        <v>5292</v>
      </c>
      <c r="Y47" s="43">
        <v>5292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63</v>
      </c>
      <c r="AG47" s="43">
        <v>63</v>
      </c>
      <c r="AH47" s="38">
        <v>45337</v>
      </c>
      <c r="AI47" s="38"/>
      <c r="AJ47" s="38"/>
      <c r="AK47" s="38">
        <v>45366</v>
      </c>
      <c r="AL47" s="38"/>
      <c r="AM47" s="48"/>
      <c r="AN47" s="42"/>
      <c r="AO47" s="42" t="s">
        <v>581</v>
      </c>
      <c r="AP47" s="42" t="s">
        <v>1280</v>
      </c>
      <c r="AQ47" s="42" t="s">
        <v>847</v>
      </c>
      <c r="AR47" s="42" t="s">
        <v>60</v>
      </c>
      <c r="AS47" s="50">
        <v>0</v>
      </c>
      <c r="AT47" s="39">
        <v>100</v>
      </c>
      <c r="AU47" s="39" t="s">
        <v>389</v>
      </c>
      <c r="AV47" s="49">
        <v>84</v>
      </c>
      <c r="AW47" s="39" t="s">
        <v>62</v>
      </c>
      <c r="AX47" s="39">
        <v>10</v>
      </c>
      <c r="AY47" s="30">
        <v>907170.51599999995</v>
      </c>
      <c r="AZ47" s="42" t="s">
        <v>405</v>
      </c>
    </row>
    <row r="48" spans="1:52" ht="58.5" customHeight="1" x14ac:dyDescent="0.25">
      <c r="A48" s="46" t="s">
        <v>1315</v>
      </c>
      <c r="B48" s="48">
        <v>45287</v>
      </c>
      <c r="C48" s="42">
        <v>545</v>
      </c>
      <c r="D48" s="37" t="s">
        <v>1316</v>
      </c>
      <c r="E48" s="41" t="s">
        <v>1317</v>
      </c>
      <c r="F48" s="38">
        <v>45320</v>
      </c>
      <c r="G48" s="39" t="s">
        <v>1318</v>
      </c>
      <c r="H48" s="42" t="s">
        <v>88</v>
      </c>
      <c r="I48" s="42" t="s">
        <v>1319</v>
      </c>
      <c r="J48" s="56">
        <v>182434602.63</v>
      </c>
      <c r="K48" s="56">
        <v>182434602.63</v>
      </c>
      <c r="L48" s="56">
        <v>0</v>
      </c>
      <c r="M48" s="56">
        <v>0</v>
      </c>
      <c r="N48" s="44">
        <v>0</v>
      </c>
      <c r="O48" s="45">
        <v>0</v>
      </c>
      <c r="P48" s="43">
        <v>182434602.63</v>
      </c>
      <c r="Q48" s="45">
        <v>0</v>
      </c>
      <c r="R48" s="43">
        <v>182434602.63</v>
      </c>
      <c r="S48" s="30">
        <v>217923400.71000001</v>
      </c>
      <c r="T48" s="30">
        <v>217923400.71000001</v>
      </c>
      <c r="U48" s="30">
        <v>554512.47</v>
      </c>
      <c r="V48" s="43">
        <v>554512.47</v>
      </c>
      <c r="W48" s="43">
        <v>554512.47</v>
      </c>
      <c r="X48" s="43">
        <v>393</v>
      </c>
      <c r="Y48" s="43">
        <v>393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3">
        <v>393</v>
      </c>
      <c r="AG48" s="43">
        <v>393</v>
      </c>
      <c r="AH48" s="38">
        <v>45337</v>
      </c>
      <c r="AI48" s="38"/>
      <c r="AJ48" s="38"/>
      <c r="AK48" s="38">
        <v>45366</v>
      </c>
      <c r="AL48" s="38"/>
      <c r="AM48" s="48"/>
      <c r="AN48" s="42"/>
      <c r="AO48" s="42" t="s">
        <v>292</v>
      </c>
      <c r="AP48" s="42" t="s">
        <v>395</v>
      </c>
      <c r="AQ48" s="42" t="s">
        <v>294</v>
      </c>
      <c r="AR48" s="42" t="s">
        <v>295</v>
      </c>
      <c r="AS48" s="50">
        <v>0</v>
      </c>
      <c r="AT48" s="39">
        <v>100</v>
      </c>
      <c r="AU48" s="39" t="s">
        <v>83</v>
      </c>
      <c r="AV48" s="49">
        <v>1</v>
      </c>
      <c r="AW48" s="39" t="s">
        <v>62</v>
      </c>
      <c r="AX48" s="39">
        <v>10</v>
      </c>
      <c r="AY48" s="30">
        <v>18243460.263</v>
      </c>
      <c r="AZ48" s="42" t="s">
        <v>405</v>
      </c>
    </row>
    <row r="49" spans="1:52" ht="58.5" customHeight="1" x14ac:dyDescent="0.25">
      <c r="A49" s="46" t="s">
        <v>1320</v>
      </c>
      <c r="B49" s="48">
        <v>45287</v>
      </c>
      <c r="C49" s="42">
        <v>545</v>
      </c>
      <c r="D49" s="37" t="s">
        <v>1321</v>
      </c>
      <c r="E49" s="41" t="s">
        <v>1322</v>
      </c>
      <c r="F49" s="38">
        <v>45320</v>
      </c>
      <c r="G49" s="39" t="s">
        <v>1323</v>
      </c>
      <c r="H49" s="42" t="s">
        <v>88</v>
      </c>
      <c r="I49" s="42" t="s">
        <v>1324</v>
      </c>
      <c r="J49" s="56">
        <v>183995961.59999999</v>
      </c>
      <c r="K49" s="56">
        <v>183995961.59999999</v>
      </c>
      <c r="L49" s="56">
        <v>0</v>
      </c>
      <c r="M49" s="56">
        <v>0</v>
      </c>
      <c r="N49" s="44">
        <v>0</v>
      </c>
      <c r="O49" s="45">
        <v>0</v>
      </c>
      <c r="P49" s="43">
        <v>183995961.59999999</v>
      </c>
      <c r="Q49" s="45">
        <v>0</v>
      </c>
      <c r="R49" s="43">
        <v>183995961.59999999</v>
      </c>
      <c r="S49" s="30">
        <v>183995961.59999999</v>
      </c>
      <c r="T49" s="30">
        <v>183995961.59999999</v>
      </c>
      <c r="U49" s="30">
        <v>618265.99999999988</v>
      </c>
      <c r="V49" s="43">
        <v>618265.99999999988</v>
      </c>
      <c r="W49" s="43">
        <v>5935353.5999999987</v>
      </c>
      <c r="X49" s="43">
        <v>297.60000000000002</v>
      </c>
      <c r="Y49" s="43">
        <v>297.60000000000002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43">
        <v>31.000000000000004</v>
      </c>
      <c r="AG49" s="43">
        <v>31</v>
      </c>
      <c r="AH49" s="38">
        <v>45337</v>
      </c>
      <c r="AI49" s="38"/>
      <c r="AJ49" s="38"/>
      <c r="AK49" s="38">
        <v>45366</v>
      </c>
      <c r="AL49" s="38"/>
      <c r="AM49" s="48"/>
      <c r="AN49" s="42"/>
      <c r="AO49" s="42" t="s">
        <v>369</v>
      </c>
      <c r="AP49" s="42" t="s">
        <v>554</v>
      </c>
      <c r="AQ49" s="42" t="s">
        <v>371</v>
      </c>
      <c r="AR49" s="42" t="s">
        <v>60</v>
      </c>
      <c r="AS49" s="50">
        <v>0</v>
      </c>
      <c r="AT49" s="39">
        <v>100</v>
      </c>
      <c r="AU49" s="39" t="s">
        <v>83</v>
      </c>
      <c r="AV49" s="54">
        <v>9.6</v>
      </c>
      <c r="AW49" s="39" t="s">
        <v>62</v>
      </c>
      <c r="AX49" s="39">
        <v>10</v>
      </c>
      <c r="AY49" s="30">
        <v>18399596.16</v>
      </c>
      <c r="AZ49" s="42" t="s">
        <v>405</v>
      </c>
    </row>
    <row r="50" spans="1:52" ht="58.5" customHeight="1" x14ac:dyDescent="0.25">
      <c r="A50" s="46" t="s">
        <v>1325</v>
      </c>
      <c r="B50" s="48">
        <v>45287</v>
      </c>
      <c r="C50" s="42">
        <v>545</v>
      </c>
      <c r="D50" s="37" t="s">
        <v>434</v>
      </c>
      <c r="E50" s="41" t="s">
        <v>1326</v>
      </c>
      <c r="F50" s="38" t="s">
        <v>434</v>
      </c>
      <c r="G50" s="39" t="s">
        <v>434</v>
      </c>
      <c r="H50" s="42" t="s">
        <v>434</v>
      </c>
      <c r="I50" s="42" t="s">
        <v>410</v>
      </c>
      <c r="J50" s="56">
        <v>704734800</v>
      </c>
      <c r="K50" s="56">
        <v>704734800</v>
      </c>
      <c r="L50" s="56">
        <v>0</v>
      </c>
      <c r="M50" s="56">
        <v>0</v>
      </c>
      <c r="N50" s="44">
        <v>100</v>
      </c>
      <c r="O50" s="45">
        <v>704734800</v>
      </c>
      <c r="P50" s="43"/>
      <c r="Q50" s="45">
        <v>704734800</v>
      </c>
      <c r="R50" s="43">
        <v>0</v>
      </c>
      <c r="S50" s="30">
        <v>0</v>
      </c>
      <c r="T50" s="30">
        <v>0</v>
      </c>
      <c r="U50" s="30" t="e">
        <v>#DIV/0!</v>
      </c>
      <c r="V50" s="43" t="e">
        <v>#DIV/0!</v>
      </c>
      <c r="W50" s="43" t="e">
        <v>#DIV/0!</v>
      </c>
      <c r="X50" s="43">
        <v>0</v>
      </c>
      <c r="Y50" s="43">
        <v>0</v>
      </c>
      <c r="Z50" s="43">
        <v>0</v>
      </c>
      <c r="AA50" s="43">
        <v>0</v>
      </c>
      <c r="AB50" s="43"/>
      <c r="AC50" s="43" t="e">
        <v>#DIV/0!</v>
      </c>
      <c r="AD50" s="43"/>
      <c r="AE50" s="43" t="e">
        <v>#DIV/0!</v>
      </c>
      <c r="AF50" s="43" t="e">
        <v>#DIV/0!</v>
      </c>
      <c r="AG50" s="43" t="e">
        <v>#DIV/0!</v>
      </c>
      <c r="AH50" s="38">
        <v>45352</v>
      </c>
      <c r="AI50" s="38"/>
      <c r="AJ50" s="38"/>
      <c r="AK50" s="38"/>
      <c r="AL50" s="38"/>
      <c r="AM50" s="48"/>
      <c r="AN50" s="42"/>
      <c r="AO50" s="42"/>
      <c r="AP50" s="42"/>
      <c r="AQ50" s="42"/>
      <c r="AR50" s="42"/>
      <c r="AS50" s="50"/>
      <c r="AT50" s="39"/>
      <c r="AU50" s="39"/>
      <c r="AV50" s="49"/>
      <c r="AW50" s="39"/>
      <c r="AX50" s="39">
        <v>10</v>
      </c>
      <c r="AY50" s="30">
        <v>70473480</v>
      </c>
      <c r="AZ50" s="42" t="s">
        <v>434</v>
      </c>
    </row>
    <row r="51" spans="1:52" ht="58.5" customHeight="1" x14ac:dyDescent="0.25">
      <c r="A51" s="46" t="s">
        <v>1327</v>
      </c>
      <c r="B51" s="48">
        <v>45287</v>
      </c>
      <c r="C51" s="42">
        <v>545</v>
      </c>
      <c r="D51" s="37" t="s">
        <v>434</v>
      </c>
      <c r="E51" s="41" t="s">
        <v>1328</v>
      </c>
      <c r="F51" s="38" t="s">
        <v>434</v>
      </c>
      <c r="G51" s="39" t="s">
        <v>434</v>
      </c>
      <c r="H51" s="42" t="s">
        <v>434</v>
      </c>
      <c r="I51" s="42" t="s">
        <v>1329</v>
      </c>
      <c r="J51" s="56">
        <v>21439906.199999999</v>
      </c>
      <c r="K51" s="56">
        <v>21439906.199999999</v>
      </c>
      <c r="L51" s="56">
        <v>0</v>
      </c>
      <c r="M51" s="56">
        <v>0</v>
      </c>
      <c r="N51" s="44">
        <v>100</v>
      </c>
      <c r="O51" s="45">
        <v>21439906.199999999</v>
      </c>
      <c r="P51" s="43"/>
      <c r="Q51" s="45">
        <v>21439906.199999999</v>
      </c>
      <c r="R51" s="43">
        <v>0</v>
      </c>
      <c r="S51" s="30">
        <v>0</v>
      </c>
      <c r="T51" s="30">
        <v>0</v>
      </c>
      <c r="U51" s="30" t="e">
        <v>#DIV/0!</v>
      </c>
      <c r="V51" s="43" t="e">
        <v>#DIV/0!</v>
      </c>
      <c r="W51" s="43" t="e">
        <v>#DIV/0!</v>
      </c>
      <c r="X51" s="43">
        <v>0</v>
      </c>
      <c r="Y51" s="43">
        <v>0</v>
      </c>
      <c r="Z51" s="43">
        <v>0</v>
      </c>
      <c r="AA51" s="43">
        <v>0</v>
      </c>
      <c r="AB51" s="43"/>
      <c r="AC51" s="43" t="e">
        <v>#DIV/0!</v>
      </c>
      <c r="AD51" s="43"/>
      <c r="AE51" s="43" t="e">
        <v>#DIV/0!</v>
      </c>
      <c r="AF51" s="43" t="e">
        <v>#DIV/0!</v>
      </c>
      <c r="AG51" s="43" t="e">
        <v>#DIV/0!</v>
      </c>
      <c r="AH51" s="38">
        <v>45337</v>
      </c>
      <c r="AI51" s="38"/>
      <c r="AJ51" s="38"/>
      <c r="AK51" s="38"/>
      <c r="AL51" s="38"/>
      <c r="AM51" s="48"/>
      <c r="AN51" s="42"/>
      <c r="AO51" s="42"/>
      <c r="AP51" s="42"/>
      <c r="AQ51" s="42"/>
      <c r="AR51" s="42"/>
      <c r="AS51" s="50"/>
      <c r="AT51" s="39"/>
      <c r="AU51" s="39"/>
      <c r="AV51" s="49"/>
      <c r="AW51" s="39"/>
      <c r="AX51" s="39">
        <v>10</v>
      </c>
      <c r="AY51" s="30">
        <v>2143990.62</v>
      </c>
      <c r="AZ51" s="42" t="s">
        <v>434</v>
      </c>
    </row>
    <row r="52" spans="1:52" ht="58.5" customHeight="1" x14ac:dyDescent="0.25">
      <c r="A52" s="46" t="s">
        <v>1330</v>
      </c>
      <c r="B52" s="48">
        <v>45287</v>
      </c>
      <c r="C52" s="42">
        <v>545</v>
      </c>
      <c r="D52" s="37" t="s">
        <v>1331</v>
      </c>
      <c r="E52" s="41" t="s">
        <v>1332</v>
      </c>
      <c r="F52" s="38">
        <v>45320</v>
      </c>
      <c r="G52" s="39" t="s">
        <v>1333</v>
      </c>
      <c r="H52" s="42" t="s">
        <v>321</v>
      </c>
      <c r="I52" s="42" t="s">
        <v>1334</v>
      </c>
      <c r="J52" s="56">
        <v>77134640</v>
      </c>
      <c r="K52" s="56">
        <v>77134640</v>
      </c>
      <c r="L52" s="56">
        <v>0</v>
      </c>
      <c r="M52" s="56">
        <v>0</v>
      </c>
      <c r="N52" s="44">
        <v>0</v>
      </c>
      <c r="O52" s="45">
        <v>0</v>
      </c>
      <c r="P52" s="43">
        <v>77134640</v>
      </c>
      <c r="Q52" s="45">
        <v>0</v>
      </c>
      <c r="R52" s="43">
        <v>77134640</v>
      </c>
      <c r="S52" s="30">
        <v>92770040</v>
      </c>
      <c r="T52" s="30">
        <v>92770040</v>
      </c>
      <c r="U52" s="30">
        <v>521180</v>
      </c>
      <c r="V52" s="43">
        <v>521180</v>
      </c>
      <c r="W52" s="43">
        <v>1042360</v>
      </c>
      <c r="X52" s="43">
        <v>178</v>
      </c>
      <c r="Y52" s="43">
        <v>178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3">
        <v>0</v>
      </c>
      <c r="AF52" s="43">
        <v>89</v>
      </c>
      <c r="AG52" s="43">
        <v>89</v>
      </c>
      <c r="AH52" s="38">
        <v>45337</v>
      </c>
      <c r="AI52" s="38"/>
      <c r="AJ52" s="38"/>
      <c r="AK52" s="38">
        <v>45366</v>
      </c>
      <c r="AL52" s="38"/>
      <c r="AM52" s="48"/>
      <c r="AN52" s="42"/>
      <c r="AO52" s="42" t="s">
        <v>472</v>
      </c>
      <c r="AP52" s="42" t="s">
        <v>473</v>
      </c>
      <c r="AQ52" s="42" t="s">
        <v>474</v>
      </c>
      <c r="AR52" s="42" t="s">
        <v>94</v>
      </c>
      <c r="AS52" s="50">
        <v>0</v>
      </c>
      <c r="AT52" s="39">
        <v>100</v>
      </c>
      <c r="AU52" s="39" t="s">
        <v>83</v>
      </c>
      <c r="AV52" s="49">
        <v>2</v>
      </c>
      <c r="AW52" s="39" t="s">
        <v>62</v>
      </c>
      <c r="AX52" s="39">
        <v>10</v>
      </c>
      <c r="AY52" s="30">
        <v>7713464</v>
      </c>
      <c r="AZ52" s="42" t="s">
        <v>405</v>
      </c>
    </row>
    <row r="53" spans="1:52" ht="58.5" customHeight="1" x14ac:dyDescent="0.25">
      <c r="A53" s="46" t="s">
        <v>1335</v>
      </c>
      <c r="B53" s="48">
        <v>45288</v>
      </c>
      <c r="C53" s="42">
        <v>545</v>
      </c>
      <c r="D53" s="37" t="s">
        <v>1336</v>
      </c>
      <c r="E53" s="41" t="s">
        <v>1337</v>
      </c>
      <c r="F53" s="38">
        <v>45320</v>
      </c>
      <c r="G53" s="39" t="s">
        <v>1338</v>
      </c>
      <c r="H53" s="42" t="s">
        <v>88</v>
      </c>
      <c r="I53" s="42" t="s">
        <v>1339</v>
      </c>
      <c r="J53" s="56">
        <v>41547475.200000003</v>
      </c>
      <c r="K53" s="56">
        <v>41547475.200000003</v>
      </c>
      <c r="L53" s="56">
        <v>0</v>
      </c>
      <c r="M53" s="56">
        <v>0</v>
      </c>
      <c r="N53" s="44">
        <v>0</v>
      </c>
      <c r="O53" s="45">
        <v>0</v>
      </c>
      <c r="P53" s="43">
        <v>41547475.200000003</v>
      </c>
      <c r="Q53" s="45">
        <v>0</v>
      </c>
      <c r="R53" s="43">
        <v>41547475.200000003</v>
      </c>
      <c r="S53" s="30">
        <v>41547475.200000003</v>
      </c>
      <c r="T53" s="30">
        <v>41547475.200000003</v>
      </c>
      <c r="U53" s="30">
        <v>247306.40000000002</v>
      </c>
      <c r="V53" s="43">
        <v>247306.40000000002</v>
      </c>
      <c r="W53" s="43">
        <v>2967676.8000000003</v>
      </c>
      <c r="X53" s="43">
        <v>168</v>
      </c>
      <c r="Y53" s="43">
        <v>168</v>
      </c>
      <c r="Z53" s="43">
        <v>0</v>
      </c>
      <c r="AA53" s="43">
        <v>0</v>
      </c>
      <c r="AB53" s="43">
        <v>0</v>
      </c>
      <c r="AC53" s="43">
        <v>0</v>
      </c>
      <c r="AD53" s="43">
        <v>0</v>
      </c>
      <c r="AE53" s="43">
        <v>0</v>
      </c>
      <c r="AF53" s="43">
        <v>14</v>
      </c>
      <c r="AG53" s="43">
        <v>14</v>
      </c>
      <c r="AH53" s="38">
        <v>45342</v>
      </c>
      <c r="AI53" s="38"/>
      <c r="AJ53" s="38"/>
      <c r="AK53" s="38">
        <v>45371</v>
      </c>
      <c r="AL53" s="38"/>
      <c r="AM53" s="48"/>
      <c r="AN53" s="42"/>
      <c r="AO53" s="42" t="s">
        <v>369</v>
      </c>
      <c r="AP53" s="42" t="s">
        <v>1340</v>
      </c>
      <c r="AQ53" s="42" t="s">
        <v>371</v>
      </c>
      <c r="AR53" s="42" t="s">
        <v>60</v>
      </c>
      <c r="AS53" s="50">
        <v>0</v>
      </c>
      <c r="AT53" s="39">
        <v>100</v>
      </c>
      <c r="AU53" s="39" t="s">
        <v>83</v>
      </c>
      <c r="AV53" s="49">
        <v>12</v>
      </c>
      <c r="AW53" s="39" t="s">
        <v>62</v>
      </c>
      <c r="AX53" s="39">
        <v>10</v>
      </c>
      <c r="AY53" s="30">
        <v>4154747.52</v>
      </c>
      <c r="AZ53" s="42" t="s">
        <v>405</v>
      </c>
    </row>
    <row r="54" spans="1:52" ht="58.5" customHeight="1" x14ac:dyDescent="0.25">
      <c r="A54" s="46" t="s">
        <v>1519</v>
      </c>
      <c r="B54" s="48">
        <v>45289</v>
      </c>
      <c r="C54" s="42">
        <v>545</v>
      </c>
      <c r="D54" s="37" t="s">
        <v>1520</v>
      </c>
      <c r="E54" s="41" t="s">
        <v>1521</v>
      </c>
      <c r="F54" s="38">
        <v>45321</v>
      </c>
      <c r="G54" s="39" t="s">
        <v>1522</v>
      </c>
      <c r="H54" s="42" t="s">
        <v>141</v>
      </c>
      <c r="I54" s="42" t="s">
        <v>351</v>
      </c>
      <c r="J54" s="56">
        <v>195352434</v>
      </c>
      <c r="K54" s="56">
        <v>195352434</v>
      </c>
      <c r="L54" s="56">
        <v>0</v>
      </c>
      <c r="M54" s="56">
        <v>0</v>
      </c>
      <c r="N54" s="44">
        <v>0</v>
      </c>
      <c r="O54" s="45">
        <v>0</v>
      </c>
      <c r="P54" s="43">
        <v>195352434</v>
      </c>
      <c r="Q54" s="45">
        <v>0</v>
      </c>
      <c r="R54" s="43">
        <v>195352434</v>
      </c>
      <c r="S54" s="30">
        <v>247446416.40000001</v>
      </c>
      <c r="T54" s="30">
        <v>247446416.40000001</v>
      </c>
      <c r="U54" s="30">
        <v>868233.04</v>
      </c>
      <c r="V54" s="43">
        <v>868233.04</v>
      </c>
      <c r="W54" s="43">
        <v>4341165.2</v>
      </c>
      <c r="X54" s="43">
        <v>285</v>
      </c>
      <c r="Y54" s="43">
        <v>285</v>
      </c>
      <c r="Z54" s="43">
        <v>0</v>
      </c>
      <c r="AA54" s="43">
        <v>0</v>
      </c>
      <c r="AB54" s="43">
        <v>0</v>
      </c>
      <c r="AC54" s="43">
        <v>0</v>
      </c>
      <c r="AD54" s="43">
        <v>0</v>
      </c>
      <c r="AE54" s="43">
        <v>0</v>
      </c>
      <c r="AF54" s="43">
        <v>57</v>
      </c>
      <c r="AG54" s="43">
        <v>57</v>
      </c>
      <c r="AH54" s="38">
        <v>45342</v>
      </c>
      <c r="AI54" s="38"/>
      <c r="AJ54" s="38"/>
      <c r="AK54" s="38">
        <v>45371</v>
      </c>
      <c r="AL54" s="38"/>
      <c r="AM54" s="48"/>
      <c r="AN54" s="42"/>
      <c r="AO54" s="42" t="s">
        <v>1523</v>
      </c>
      <c r="AP54" s="42" t="s">
        <v>1524</v>
      </c>
      <c r="AQ54" s="42" t="s">
        <v>1525</v>
      </c>
      <c r="AR54" s="42" t="s">
        <v>148</v>
      </c>
      <c r="AS54" s="50">
        <v>0</v>
      </c>
      <c r="AT54" s="39">
        <v>100</v>
      </c>
      <c r="AU54" s="39" t="s">
        <v>83</v>
      </c>
      <c r="AV54" s="49">
        <v>5</v>
      </c>
      <c r="AW54" s="39" t="s">
        <v>62</v>
      </c>
      <c r="AX54" s="39">
        <v>10</v>
      </c>
      <c r="AY54" s="30">
        <v>19535243.399999999</v>
      </c>
      <c r="AZ54" s="42" t="s">
        <v>405</v>
      </c>
    </row>
    <row r="55" spans="1:52" ht="48.75" customHeight="1" x14ac:dyDescent="0.25">
      <c r="A55" s="61" t="s">
        <v>1602</v>
      </c>
      <c r="B55" s="62">
        <v>45313</v>
      </c>
      <c r="C55" s="42">
        <v>545</v>
      </c>
      <c r="D55" s="37" t="s">
        <v>434</v>
      </c>
      <c r="E55" s="41" t="s">
        <v>1603</v>
      </c>
      <c r="F55" s="38" t="s">
        <v>434</v>
      </c>
      <c r="G55" s="39" t="s">
        <v>434</v>
      </c>
      <c r="H55" s="42" t="s">
        <v>434</v>
      </c>
      <c r="I55" s="39" t="s">
        <v>594</v>
      </c>
      <c r="J55" s="63">
        <v>11343667.5</v>
      </c>
      <c r="K55" s="43">
        <v>0</v>
      </c>
      <c r="L55" s="56">
        <v>0</v>
      </c>
      <c r="M55" s="56">
        <v>0</v>
      </c>
      <c r="N55" s="44">
        <v>100</v>
      </c>
      <c r="O55" s="45">
        <v>11343667.5</v>
      </c>
      <c r="P55" s="43"/>
      <c r="Q55" s="45">
        <v>11343667.5</v>
      </c>
      <c r="R55" s="43">
        <v>0</v>
      </c>
      <c r="S55" s="30">
        <v>0</v>
      </c>
      <c r="T55" s="30">
        <v>0</v>
      </c>
      <c r="U55" s="30" t="e">
        <v>#DIV/0!</v>
      </c>
      <c r="V55" s="43" t="e">
        <v>#DIV/0!</v>
      </c>
      <c r="W55" s="43" t="e">
        <v>#DIV/0!</v>
      </c>
      <c r="X55" s="43">
        <v>0</v>
      </c>
      <c r="Y55" s="43">
        <v>0</v>
      </c>
      <c r="Z55" s="43">
        <v>0</v>
      </c>
      <c r="AA55" s="43">
        <v>0</v>
      </c>
      <c r="AB55" s="43"/>
      <c r="AC55" s="43" t="e">
        <v>#DIV/0!</v>
      </c>
      <c r="AD55" s="43"/>
      <c r="AE55" s="43" t="e">
        <v>#DIV/0!</v>
      </c>
      <c r="AF55" s="43" t="e">
        <v>#DIV/0!</v>
      </c>
      <c r="AG55" s="43" t="e">
        <v>#DIV/0!</v>
      </c>
      <c r="AH55" s="38">
        <v>45383</v>
      </c>
      <c r="AI55" s="38"/>
      <c r="AJ55" s="38"/>
      <c r="AK55" s="38"/>
      <c r="AL55" s="38"/>
      <c r="AM55" s="48"/>
      <c r="AN55" s="42"/>
      <c r="AO55" s="42"/>
      <c r="AP55" s="42"/>
      <c r="AQ55" s="42"/>
      <c r="AR55" s="42"/>
      <c r="AS55" s="50"/>
      <c r="AT55" s="39"/>
      <c r="AU55" s="39"/>
      <c r="AV55" s="49"/>
      <c r="AW55" s="39"/>
      <c r="AX55" s="39">
        <v>10</v>
      </c>
      <c r="AY55" s="30">
        <v>1134366.75</v>
      </c>
      <c r="AZ55" s="42" t="s">
        <v>434</v>
      </c>
    </row>
    <row r="56" spans="1:52" ht="48.75" customHeight="1" x14ac:dyDescent="0.25">
      <c r="A56" s="61" t="s">
        <v>1607</v>
      </c>
      <c r="B56" s="62">
        <v>45315</v>
      </c>
      <c r="C56" s="42">
        <v>545</v>
      </c>
      <c r="D56" s="37"/>
      <c r="E56" s="41" t="s">
        <v>1608</v>
      </c>
      <c r="F56" s="38"/>
      <c r="G56" s="39"/>
      <c r="H56" s="42"/>
      <c r="I56" s="42" t="s">
        <v>341</v>
      </c>
      <c r="J56" s="63">
        <v>395718042.30000001</v>
      </c>
      <c r="K56" s="43">
        <v>0</v>
      </c>
      <c r="L56" s="56">
        <v>0</v>
      </c>
      <c r="M56" s="56">
        <v>0</v>
      </c>
      <c r="N56" s="44">
        <v>100</v>
      </c>
      <c r="O56" s="45">
        <v>395718042.30000001</v>
      </c>
      <c r="P56" s="43"/>
      <c r="Q56" s="45">
        <v>395718042.30000001</v>
      </c>
      <c r="R56" s="43">
        <v>0</v>
      </c>
      <c r="S56" s="30">
        <v>0</v>
      </c>
      <c r="T56" s="30">
        <v>0</v>
      </c>
      <c r="U56" s="30" t="e">
        <v>#DIV/0!</v>
      </c>
      <c r="V56" s="43" t="e">
        <v>#DIV/0!</v>
      </c>
      <c r="W56" s="43" t="e">
        <v>#DIV/0!</v>
      </c>
      <c r="X56" s="43">
        <v>0</v>
      </c>
      <c r="Y56" s="43">
        <v>0</v>
      </c>
      <c r="Z56" s="43">
        <v>0</v>
      </c>
      <c r="AA56" s="43">
        <v>0</v>
      </c>
      <c r="AB56" s="43"/>
      <c r="AC56" s="43" t="e">
        <v>#DIV/0!</v>
      </c>
      <c r="AD56" s="43"/>
      <c r="AE56" s="43" t="e">
        <v>#DIV/0!</v>
      </c>
      <c r="AF56" s="43" t="e">
        <v>#DIV/0!</v>
      </c>
      <c r="AG56" s="43" t="e">
        <v>#DIV/0!</v>
      </c>
      <c r="AH56" s="38">
        <v>45383</v>
      </c>
      <c r="AI56" s="38"/>
      <c r="AJ56" s="38"/>
      <c r="AK56" s="38"/>
      <c r="AL56" s="38"/>
      <c r="AM56" s="48"/>
      <c r="AN56" s="42"/>
      <c r="AO56" s="42"/>
      <c r="AP56" s="42"/>
      <c r="AQ56" s="42"/>
      <c r="AR56" s="42"/>
      <c r="AS56" s="50"/>
      <c r="AT56" s="39"/>
      <c r="AU56" s="39"/>
      <c r="AV56" s="49"/>
      <c r="AW56" s="39"/>
      <c r="AX56" s="39">
        <v>10</v>
      </c>
      <c r="AY56" s="30">
        <v>39571804.229999997</v>
      </c>
      <c r="AZ56" s="42"/>
    </row>
    <row r="57" spans="1:52" ht="48.75" customHeight="1" x14ac:dyDescent="0.25">
      <c r="A57" s="61" t="s">
        <v>1609</v>
      </c>
      <c r="B57" s="62">
        <v>45315</v>
      </c>
      <c r="C57" s="42">
        <v>545</v>
      </c>
      <c r="D57" s="37" t="s">
        <v>1610</v>
      </c>
      <c r="E57" s="41" t="s">
        <v>1611</v>
      </c>
      <c r="F57" s="38">
        <v>45341</v>
      </c>
      <c r="G57" s="39" t="s">
        <v>1612</v>
      </c>
      <c r="H57" s="42" t="s">
        <v>88</v>
      </c>
      <c r="I57" s="42" t="s">
        <v>416</v>
      </c>
      <c r="J57" s="63">
        <v>32524846.199999999</v>
      </c>
      <c r="K57" s="43">
        <v>0</v>
      </c>
      <c r="L57" s="56">
        <v>0</v>
      </c>
      <c r="M57" s="56">
        <v>0</v>
      </c>
      <c r="N57" s="44">
        <v>0</v>
      </c>
      <c r="O57" s="45">
        <v>0</v>
      </c>
      <c r="P57" s="43">
        <v>32524846.199999999</v>
      </c>
      <c r="Q57" s="45">
        <v>0</v>
      </c>
      <c r="R57" s="43">
        <v>32524846.199999999</v>
      </c>
      <c r="S57" s="30">
        <v>32524846.199999999</v>
      </c>
      <c r="T57" s="30">
        <v>32524846.199999999</v>
      </c>
      <c r="U57" s="30">
        <v>25813.37</v>
      </c>
      <c r="V57" s="43">
        <v>25813.37</v>
      </c>
      <c r="W57" s="43">
        <v>387200.55</v>
      </c>
      <c r="X57" s="43">
        <v>1260</v>
      </c>
      <c r="Y57" s="43">
        <v>1260</v>
      </c>
      <c r="Z57" s="43">
        <v>0</v>
      </c>
      <c r="AA57" s="43">
        <v>0</v>
      </c>
      <c r="AB57" s="43"/>
      <c r="AC57" s="43">
        <v>0</v>
      </c>
      <c r="AD57" s="43"/>
      <c r="AE57" s="43">
        <v>0</v>
      </c>
      <c r="AF57" s="43">
        <v>84</v>
      </c>
      <c r="AG57" s="43">
        <v>84</v>
      </c>
      <c r="AH57" s="38">
        <v>45383</v>
      </c>
      <c r="AI57" s="38"/>
      <c r="AJ57" s="38"/>
      <c r="AK57" s="38">
        <v>45413</v>
      </c>
      <c r="AL57" s="38"/>
      <c r="AM57" s="48"/>
      <c r="AN57" s="42"/>
      <c r="AO57" s="42" t="s">
        <v>342</v>
      </c>
      <c r="AP57" s="42" t="s">
        <v>342</v>
      </c>
      <c r="AQ57" s="42" t="s">
        <v>342</v>
      </c>
      <c r="AR57" s="42" t="s">
        <v>345</v>
      </c>
      <c r="AS57" s="50">
        <v>0</v>
      </c>
      <c r="AT57" s="39">
        <v>100</v>
      </c>
      <c r="AU57" s="39" t="s">
        <v>346</v>
      </c>
      <c r="AV57" s="49">
        <v>15</v>
      </c>
      <c r="AW57" s="39" t="s">
        <v>62</v>
      </c>
      <c r="AX57" s="39">
        <v>10</v>
      </c>
      <c r="AY57" s="30">
        <v>3252484.62</v>
      </c>
      <c r="AZ57" s="42" t="s">
        <v>405</v>
      </c>
    </row>
    <row r="58" spans="1:52" ht="48.75" customHeight="1" x14ac:dyDescent="0.25">
      <c r="A58" s="61" t="s">
        <v>1613</v>
      </c>
      <c r="B58" s="62">
        <v>45315</v>
      </c>
      <c r="C58" s="42">
        <v>545</v>
      </c>
      <c r="D58" s="37" t="s">
        <v>1614</v>
      </c>
      <c r="E58" s="41" t="s">
        <v>1615</v>
      </c>
      <c r="F58" s="38">
        <v>45335</v>
      </c>
      <c r="G58" s="39" t="s">
        <v>1616</v>
      </c>
      <c r="H58" s="42" t="s">
        <v>359</v>
      </c>
      <c r="I58" s="42" t="s">
        <v>1617</v>
      </c>
      <c r="J58" s="63">
        <v>80605931.120000005</v>
      </c>
      <c r="K58" s="43">
        <v>0</v>
      </c>
      <c r="L58" s="56">
        <v>0</v>
      </c>
      <c r="M58" s="56">
        <v>0</v>
      </c>
      <c r="N58" s="44">
        <v>0</v>
      </c>
      <c r="O58" s="45">
        <v>0</v>
      </c>
      <c r="P58" s="43">
        <v>80605931.120000005</v>
      </c>
      <c r="Q58" s="45">
        <v>0</v>
      </c>
      <c r="R58" s="43">
        <v>80605931.120000005</v>
      </c>
      <c r="S58" s="30">
        <v>80605931.120000005</v>
      </c>
      <c r="T58" s="30">
        <v>80605931.120000005</v>
      </c>
      <c r="U58" s="30">
        <v>333082.36000000004</v>
      </c>
      <c r="V58" s="43">
        <v>333082.36000000004</v>
      </c>
      <c r="W58" s="43">
        <v>666164.72000000009</v>
      </c>
      <c r="X58" s="43">
        <v>242</v>
      </c>
      <c r="Y58" s="43">
        <v>242</v>
      </c>
      <c r="Z58" s="43">
        <v>0</v>
      </c>
      <c r="AA58" s="43">
        <v>0</v>
      </c>
      <c r="AB58" s="43">
        <v>0</v>
      </c>
      <c r="AC58" s="43">
        <v>0</v>
      </c>
      <c r="AD58" s="43">
        <v>0</v>
      </c>
      <c r="AE58" s="43">
        <v>0</v>
      </c>
      <c r="AF58" s="43">
        <v>121</v>
      </c>
      <c r="AG58" s="43">
        <v>121</v>
      </c>
      <c r="AH58" s="38">
        <v>45352</v>
      </c>
      <c r="AI58" s="38"/>
      <c r="AJ58" s="38"/>
      <c r="AK58" s="38">
        <v>45383</v>
      </c>
      <c r="AL58" s="38"/>
      <c r="AM58" s="48"/>
      <c r="AN58" s="42"/>
      <c r="AO58" s="42" t="s">
        <v>1618</v>
      </c>
      <c r="AP58" s="42" t="s">
        <v>1619</v>
      </c>
      <c r="AQ58" s="42" t="s">
        <v>1620</v>
      </c>
      <c r="AR58" s="42" t="s">
        <v>295</v>
      </c>
      <c r="AS58" s="50">
        <v>0</v>
      </c>
      <c r="AT58" s="39">
        <v>100</v>
      </c>
      <c r="AU58" s="39" t="s">
        <v>346</v>
      </c>
      <c r="AV58" s="49">
        <v>2</v>
      </c>
      <c r="AW58" s="39" t="s">
        <v>62</v>
      </c>
      <c r="AX58" s="39">
        <v>10</v>
      </c>
      <c r="AY58" s="30">
        <v>8060593.1120000007</v>
      </c>
      <c r="AZ58" s="42" t="s">
        <v>405</v>
      </c>
    </row>
    <row r="59" spans="1:52" ht="48.75" customHeight="1" x14ac:dyDescent="0.25">
      <c r="A59" s="61" t="s">
        <v>1841</v>
      </c>
      <c r="B59" s="62">
        <v>45320</v>
      </c>
      <c r="C59" s="42" t="s">
        <v>1842</v>
      </c>
      <c r="D59" s="37" t="s">
        <v>1843</v>
      </c>
      <c r="E59" s="41" t="s">
        <v>1844</v>
      </c>
      <c r="F59" s="38">
        <v>45330</v>
      </c>
      <c r="G59" s="39" t="s">
        <v>1845</v>
      </c>
      <c r="H59" s="42" t="s">
        <v>271</v>
      </c>
      <c r="I59" s="42" t="s">
        <v>465</v>
      </c>
      <c r="J59" s="63">
        <v>3756093</v>
      </c>
      <c r="K59" s="43">
        <v>0</v>
      </c>
      <c r="L59" s="56">
        <v>0</v>
      </c>
      <c r="M59" s="56">
        <v>0</v>
      </c>
      <c r="N59" s="44">
        <v>0</v>
      </c>
      <c r="O59" s="45">
        <v>0</v>
      </c>
      <c r="P59" s="43">
        <v>3756093</v>
      </c>
      <c r="Q59" s="45">
        <v>0</v>
      </c>
      <c r="R59" s="43">
        <v>3756093</v>
      </c>
      <c r="S59" s="30">
        <v>3756093</v>
      </c>
      <c r="T59" s="30">
        <v>3756093</v>
      </c>
      <c r="U59" s="30">
        <v>1455.85</v>
      </c>
      <c r="V59" s="43">
        <v>1455.85</v>
      </c>
      <c r="W59" s="43">
        <v>43675.5</v>
      </c>
      <c r="X59" s="43">
        <v>2580</v>
      </c>
      <c r="Y59" s="43">
        <v>2580</v>
      </c>
      <c r="Z59" s="43">
        <v>0</v>
      </c>
      <c r="AA59" s="43">
        <v>0</v>
      </c>
      <c r="AB59" s="43">
        <v>0</v>
      </c>
      <c r="AC59" s="43">
        <v>0</v>
      </c>
      <c r="AD59" s="43">
        <v>0</v>
      </c>
      <c r="AE59" s="43">
        <v>0</v>
      </c>
      <c r="AF59" s="43">
        <v>86</v>
      </c>
      <c r="AG59" s="43">
        <v>86</v>
      </c>
      <c r="AH59" s="38">
        <v>45352</v>
      </c>
      <c r="AI59" s="38"/>
      <c r="AJ59" s="38"/>
      <c r="AK59" s="38">
        <v>45383</v>
      </c>
      <c r="AL59" s="38"/>
      <c r="AM59" s="48"/>
      <c r="AN59" s="42"/>
      <c r="AO59" s="42" t="s">
        <v>443</v>
      </c>
      <c r="AP59" s="42" t="s">
        <v>466</v>
      </c>
      <c r="AQ59" s="42" t="s">
        <v>445</v>
      </c>
      <c r="AR59" s="42" t="s">
        <v>295</v>
      </c>
      <c r="AS59" s="50">
        <v>0</v>
      </c>
      <c r="AT59" s="39">
        <v>100</v>
      </c>
      <c r="AU59" s="39" t="s">
        <v>389</v>
      </c>
      <c r="AV59" s="49">
        <v>30</v>
      </c>
      <c r="AW59" s="39" t="s">
        <v>221</v>
      </c>
      <c r="AX59" s="39">
        <v>10</v>
      </c>
      <c r="AY59" s="30">
        <v>375609.3</v>
      </c>
      <c r="AZ59" s="42" t="s">
        <v>405</v>
      </c>
    </row>
    <row r="60" spans="1:52" ht="43.5" customHeight="1" x14ac:dyDescent="0.25">
      <c r="A60" s="61" t="s">
        <v>1846</v>
      </c>
      <c r="B60" s="62">
        <v>45320</v>
      </c>
      <c r="C60" s="42">
        <v>545</v>
      </c>
      <c r="D60" s="37" t="s">
        <v>434</v>
      </c>
      <c r="E60" s="41" t="s">
        <v>1847</v>
      </c>
      <c r="F60" s="38" t="s">
        <v>434</v>
      </c>
      <c r="G60" s="39" t="s">
        <v>434</v>
      </c>
      <c r="H60" s="42" t="s">
        <v>434</v>
      </c>
      <c r="I60" s="42" t="s">
        <v>1173</v>
      </c>
      <c r="J60" s="63">
        <v>266757529.5</v>
      </c>
      <c r="K60" s="43">
        <v>0</v>
      </c>
      <c r="L60" s="56">
        <v>0</v>
      </c>
      <c r="M60" s="56">
        <v>0</v>
      </c>
      <c r="N60" s="44">
        <v>100</v>
      </c>
      <c r="O60" s="45">
        <v>266757529.5</v>
      </c>
      <c r="P60" s="43"/>
      <c r="Q60" s="45">
        <v>266757529.5</v>
      </c>
      <c r="R60" s="43">
        <v>0</v>
      </c>
      <c r="S60" s="30">
        <v>0</v>
      </c>
      <c r="T60" s="30">
        <v>0</v>
      </c>
      <c r="U60" s="30">
        <v>204411.9</v>
      </c>
      <c r="V60" s="43">
        <v>0</v>
      </c>
      <c r="W60" s="43">
        <v>0</v>
      </c>
      <c r="X60" s="43">
        <v>1305</v>
      </c>
      <c r="Y60" s="43">
        <v>1305</v>
      </c>
      <c r="Z60" s="43">
        <v>0</v>
      </c>
      <c r="AA60" s="43">
        <v>0</v>
      </c>
      <c r="AB60" s="43"/>
      <c r="AC60" s="43">
        <v>0</v>
      </c>
      <c r="AD60" s="43"/>
      <c r="AE60" s="43">
        <v>0</v>
      </c>
      <c r="AF60" s="43" t="e">
        <v>#DIV/0!</v>
      </c>
      <c r="AG60" s="43" t="e">
        <v>#DIV/0!</v>
      </c>
      <c r="AH60" s="38">
        <v>45366</v>
      </c>
      <c r="AI60" s="38"/>
      <c r="AJ60" s="38"/>
      <c r="AK60" s="38"/>
      <c r="AL60" s="38"/>
      <c r="AM60" s="48"/>
      <c r="AN60" s="42"/>
      <c r="AO60" s="42"/>
      <c r="AP60" s="42"/>
      <c r="AQ60" s="42"/>
      <c r="AR60" s="42"/>
      <c r="AS60" s="50"/>
      <c r="AT60" s="39"/>
      <c r="AU60" s="39"/>
      <c r="AV60" s="49"/>
      <c r="AW60" s="39"/>
      <c r="AX60" s="39">
        <v>10</v>
      </c>
      <c r="AY60" s="30">
        <v>26675752.949999999</v>
      </c>
      <c r="AZ60" s="42" t="s">
        <v>434</v>
      </c>
    </row>
    <row r="61" spans="1:52" ht="48" customHeight="1" x14ac:dyDescent="0.25">
      <c r="A61" s="61" t="s">
        <v>1848</v>
      </c>
      <c r="B61" s="62">
        <v>45320</v>
      </c>
      <c r="C61" s="42">
        <v>545</v>
      </c>
      <c r="D61" s="39" t="s">
        <v>434</v>
      </c>
      <c r="E61" s="41" t="s">
        <v>1849</v>
      </c>
      <c r="F61" s="39" t="s">
        <v>434</v>
      </c>
      <c r="G61" s="39" t="s">
        <v>434</v>
      </c>
      <c r="H61" s="39" t="s">
        <v>434</v>
      </c>
      <c r="I61" s="42" t="s">
        <v>567</v>
      </c>
      <c r="J61" s="63">
        <v>28479928.800000001</v>
      </c>
      <c r="K61" s="43">
        <v>0</v>
      </c>
      <c r="L61" s="56">
        <v>0</v>
      </c>
      <c r="M61" s="56">
        <v>0</v>
      </c>
      <c r="N61" s="44">
        <v>100</v>
      </c>
      <c r="O61" s="45">
        <v>28479928.800000001</v>
      </c>
      <c r="P61" s="43"/>
      <c r="Q61" s="45">
        <v>28479928.800000001</v>
      </c>
      <c r="R61" s="43">
        <v>0</v>
      </c>
      <c r="S61" s="30">
        <v>0</v>
      </c>
      <c r="T61" s="30">
        <v>0</v>
      </c>
      <c r="U61" s="30">
        <v>5333.32</v>
      </c>
      <c r="V61" s="43">
        <v>0</v>
      </c>
      <c r="W61" s="43">
        <v>0</v>
      </c>
      <c r="X61" s="43">
        <v>5340</v>
      </c>
      <c r="Y61" s="43">
        <v>5340</v>
      </c>
      <c r="Z61" s="43">
        <v>0</v>
      </c>
      <c r="AA61" s="43">
        <v>0</v>
      </c>
      <c r="AB61" s="43"/>
      <c r="AC61" s="43">
        <v>0</v>
      </c>
      <c r="AD61" s="43"/>
      <c r="AE61" s="43">
        <v>0</v>
      </c>
      <c r="AF61" s="43" t="e">
        <v>#DIV/0!</v>
      </c>
      <c r="AG61" s="43" t="e">
        <v>#DIV/0!</v>
      </c>
      <c r="AH61" s="38">
        <v>45382</v>
      </c>
      <c r="AI61" s="38"/>
      <c r="AJ61" s="38"/>
      <c r="AK61" s="38"/>
      <c r="AL61" s="38"/>
      <c r="AM61" s="48"/>
      <c r="AN61" s="42"/>
      <c r="AO61" s="42"/>
      <c r="AP61" s="42"/>
      <c r="AQ61" s="42"/>
      <c r="AR61" s="42"/>
      <c r="AS61" s="50"/>
      <c r="AT61" s="39"/>
      <c r="AU61" s="39"/>
      <c r="AV61" s="49"/>
      <c r="AW61" s="39"/>
      <c r="AX61" s="39">
        <v>10</v>
      </c>
      <c r="AY61" s="30">
        <v>2847992.88</v>
      </c>
      <c r="AZ61" s="42" t="s">
        <v>434</v>
      </c>
    </row>
    <row r="62" spans="1:52" ht="48" customHeight="1" x14ac:dyDescent="0.25">
      <c r="A62" s="61" t="s">
        <v>1871</v>
      </c>
      <c r="B62" s="62">
        <v>45322</v>
      </c>
      <c r="C62" s="42">
        <v>545</v>
      </c>
      <c r="D62" s="37"/>
      <c r="E62" s="41" t="s">
        <v>1872</v>
      </c>
      <c r="F62" s="38"/>
      <c r="G62" s="39"/>
      <c r="H62" s="42"/>
      <c r="I62" s="65" t="s">
        <v>410</v>
      </c>
      <c r="J62" s="63">
        <v>19720324.800000001</v>
      </c>
      <c r="K62" s="43">
        <v>0</v>
      </c>
      <c r="L62" s="56">
        <v>0</v>
      </c>
      <c r="M62" s="56">
        <v>0</v>
      </c>
      <c r="N62" s="44">
        <v>100</v>
      </c>
      <c r="O62" s="45">
        <v>19720324.800000001</v>
      </c>
      <c r="P62" s="43"/>
      <c r="Q62" s="45">
        <v>19720324.800000001</v>
      </c>
      <c r="R62" s="43">
        <v>0</v>
      </c>
      <c r="S62" s="30">
        <v>0</v>
      </c>
      <c r="T62" s="30">
        <v>0</v>
      </c>
      <c r="U62" s="30">
        <v>6201.36</v>
      </c>
      <c r="V62" s="43">
        <v>0</v>
      </c>
      <c r="W62" s="43">
        <v>0</v>
      </c>
      <c r="X62" s="43">
        <v>3180</v>
      </c>
      <c r="Y62" s="43">
        <v>3180</v>
      </c>
      <c r="Z62" s="43">
        <v>0</v>
      </c>
      <c r="AA62" s="43">
        <v>0</v>
      </c>
      <c r="AB62" s="43"/>
      <c r="AC62" s="43">
        <v>0</v>
      </c>
      <c r="AD62" s="43"/>
      <c r="AE62" s="43">
        <v>0</v>
      </c>
      <c r="AF62" s="43" t="e">
        <v>#DIV/0!</v>
      </c>
      <c r="AG62" s="43" t="e">
        <v>#DIV/0!</v>
      </c>
      <c r="AH62" s="38">
        <v>45366</v>
      </c>
      <c r="AI62" s="38"/>
      <c r="AJ62" s="38"/>
      <c r="AK62" s="38"/>
      <c r="AL62" s="38"/>
      <c r="AM62" s="48"/>
      <c r="AN62" s="42"/>
      <c r="AO62" s="42"/>
      <c r="AP62" s="42"/>
      <c r="AQ62" s="42"/>
      <c r="AR62" s="42"/>
      <c r="AS62" s="50"/>
      <c r="AT62" s="39"/>
      <c r="AU62" s="39"/>
      <c r="AV62" s="49"/>
      <c r="AW62" s="39" t="s">
        <v>221</v>
      </c>
      <c r="AX62" s="39">
        <v>10</v>
      </c>
      <c r="AY62" s="30">
        <v>1972032.48</v>
      </c>
      <c r="AZ62" s="42"/>
    </row>
    <row r="63" spans="1:52" ht="48" customHeight="1" x14ac:dyDescent="0.25">
      <c r="A63" s="61" t="s">
        <v>1873</v>
      </c>
      <c r="B63" s="62">
        <v>45322</v>
      </c>
      <c r="C63" s="42">
        <v>545</v>
      </c>
      <c r="D63" s="37"/>
      <c r="E63" s="41" t="s">
        <v>1874</v>
      </c>
      <c r="F63" s="38"/>
      <c r="G63" s="39"/>
      <c r="H63" s="42"/>
      <c r="I63" s="65" t="s">
        <v>410</v>
      </c>
      <c r="J63" s="63">
        <v>18231998.399999999</v>
      </c>
      <c r="K63" s="43">
        <v>0</v>
      </c>
      <c r="L63" s="56">
        <v>0</v>
      </c>
      <c r="M63" s="56">
        <v>0</v>
      </c>
      <c r="N63" s="44">
        <v>100</v>
      </c>
      <c r="O63" s="45">
        <v>18231998.399999999</v>
      </c>
      <c r="P63" s="43"/>
      <c r="Q63" s="45">
        <v>18231998.399999999</v>
      </c>
      <c r="R63" s="43">
        <v>0</v>
      </c>
      <c r="S63" s="30">
        <v>0</v>
      </c>
      <c r="T63" s="30">
        <v>0</v>
      </c>
      <c r="U63" s="30">
        <v>6201.36</v>
      </c>
      <c r="V63" s="43">
        <v>0</v>
      </c>
      <c r="W63" s="43">
        <v>0</v>
      </c>
      <c r="X63" s="43">
        <v>2940</v>
      </c>
      <c r="Y63" s="43">
        <v>2940</v>
      </c>
      <c r="Z63" s="43">
        <v>0</v>
      </c>
      <c r="AA63" s="43">
        <v>0</v>
      </c>
      <c r="AB63" s="43"/>
      <c r="AC63" s="43">
        <v>0</v>
      </c>
      <c r="AD63" s="43"/>
      <c r="AE63" s="43">
        <v>0</v>
      </c>
      <c r="AF63" s="43" t="e">
        <v>#DIV/0!</v>
      </c>
      <c r="AG63" s="43" t="e">
        <v>#DIV/0!</v>
      </c>
      <c r="AH63" s="38">
        <v>45366</v>
      </c>
      <c r="AI63" s="38"/>
      <c r="AJ63" s="38"/>
      <c r="AK63" s="38"/>
      <c r="AL63" s="38"/>
      <c r="AM63" s="48"/>
      <c r="AN63" s="42"/>
      <c r="AO63" s="42"/>
      <c r="AP63" s="42"/>
      <c r="AQ63" s="42"/>
      <c r="AR63" s="42"/>
      <c r="AS63" s="50"/>
      <c r="AT63" s="39"/>
      <c r="AU63" s="39"/>
      <c r="AV63" s="49"/>
      <c r="AW63" s="39" t="s">
        <v>221</v>
      </c>
      <c r="AX63" s="39">
        <v>10</v>
      </c>
      <c r="AY63" s="30">
        <v>1823199.84</v>
      </c>
      <c r="AZ63" s="42"/>
    </row>
    <row r="64" spans="1:52" ht="48" customHeight="1" x14ac:dyDescent="0.25">
      <c r="A64" s="61" t="s">
        <v>1875</v>
      </c>
      <c r="B64" s="62">
        <v>45322</v>
      </c>
      <c r="C64" s="42">
        <v>545</v>
      </c>
      <c r="D64" s="37"/>
      <c r="E64" s="41" t="s">
        <v>1876</v>
      </c>
      <c r="F64" s="38"/>
      <c r="G64" s="39"/>
      <c r="H64" s="42"/>
      <c r="I64" s="65" t="s">
        <v>410</v>
      </c>
      <c r="J64" s="63">
        <v>19720324.800000001</v>
      </c>
      <c r="K64" s="43">
        <v>0</v>
      </c>
      <c r="L64" s="56">
        <v>0</v>
      </c>
      <c r="M64" s="56">
        <v>0</v>
      </c>
      <c r="N64" s="44">
        <v>100</v>
      </c>
      <c r="O64" s="45">
        <v>19720324.800000001</v>
      </c>
      <c r="P64" s="43"/>
      <c r="Q64" s="45">
        <v>19720324.800000001</v>
      </c>
      <c r="R64" s="43">
        <v>0</v>
      </c>
      <c r="S64" s="30">
        <v>0</v>
      </c>
      <c r="T64" s="30">
        <v>0</v>
      </c>
      <c r="U64" s="30">
        <v>6201.36</v>
      </c>
      <c r="V64" s="43">
        <v>0</v>
      </c>
      <c r="W64" s="43">
        <v>0</v>
      </c>
      <c r="X64" s="43">
        <v>3180</v>
      </c>
      <c r="Y64" s="43">
        <v>3180</v>
      </c>
      <c r="Z64" s="43">
        <v>0</v>
      </c>
      <c r="AA64" s="43">
        <v>0</v>
      </c>
      <c r="AB64" s="43"/>
      <c r="AC64" s="43">
        <v>0</v>
      </c>
      <c r="AD64" s="43"/>
      <c r="AE64" s="43">
        <v>0</v>
      </c>
      <c r="AF64" s="43" t="e">
        <v>#DIV/0!</v>
      </c>
      <c r="AG64" s="43" t="e">
        <v>#DIV/0!</v>
      </c>
      <c r="AH64" s="38">
        <v>45366</v>
      </c>
      <c r="AI64" s="38"/>
      <c r="AJ64" s="38"/>
      <c r="AK64" s="38"/>
      <c r="AL64" s="38"/>
      <c r="AM64" s="48"/>
      <c r="AN64" s="42"/>
      <c r="AO64" s="42"/>
      <c r="AP64" s="42"/>
      <c r="AQ64" s="42"/>
      <c r="AR64" s="42"/>
      <c r="AS64" s="50"/>
      <c r="AT64" s="39"/>
      <c r="AU64" s="39"/>
      <c r="AV64" s="49"/>
      <c r="AW64" s="39" t="s">
        <v>221</v>
      </c>
      <c r="AX64" s="39">
        <v>10</v>
      </c>
      <c r="AY64" s="30">
        <v>1972032.48</v>
      </c>
      <c r="AZ64" s="42"/>
    </row>
    <row r="65" spans="1:52" ht="48" customHeight="1" x14ac:dyDescent="0.25">
      <c r="A65" s="61" t="s">
        <v>1877</v>
      </c>
      <c r="B65" s="62">
        <v>45322</v>
      </c>
      <c r="C65" s="42">
        <v>545</v>
      </c>
      <c r="D65" s="37"/>
      <c r="E65" s="41" t="s">
        <v>1878</v>
      </c>
      <c r="F65" s="38"/>
      <c r="G65" s="39"/>
      <c r="H65" s="42"/>
      <c r="I65" s="65" t="s">
        <v>410</v>
      </c>
      <c r="J65" s="63">
        <v>19348243.199999999</v>
      </c>
      <c r="K65" s="43">
        <v>0</v>
      </c>
      <c r="L65" s="56">
        <v>0</v>
      </c>
      <c r="M65" s="56">
        <v>0</v>
      </c>
      <c r="N65" s="44">
        <v>100</v>
      </c>
      <c r="O65" s="45">
        <v>19348243.199999999</v>
      </c>
      <c r="P65" s="43"/>
      <c r="Q65" s="45">
        <v>19348243.199999999</v>
      </c>
      <c r="R65" s="43">
        <v>0</v>
      </c>
      <c r="S65" s="30">
        <v>0</v>
      </c>
      <c r="T65" s="30">
        <v>0</v>
      </c>
      <c r="U65" s="30">
        <v>6201.36</v>
      </c>
      <c r="V65" s="43">
        <v>0</v>
      </c>
      <c r="W65" s="43">
        <v>0</v>
      </c>
      <c r="X65" s="43">
        <v>3120</v>
      </c>
      <c r="Y65" s="43">
        <v>3120</v>
      </c>
      <c r="Z65" s="43">
        <v>0</v>
      </c>
      <c r="AA65" s="43">
        <v>0</v>
      </c>
      <c r="AB65" s="43"/>
      <c r="AC65" s="43">
        <v>0</v>
      </c>
      <c r="AD65" s="43"/>
      <c r="AE65" s="43">
        <v>0</v>
      </c>
      <c r="AF65" s="43" t="e">
        <v>#DIV/0!</v>
      </c>
      <c r="AG65" s="43" t="e">
        <v>#DIV/0!</v>
      </c>
      <c r="AH65" s="38">
        <v>45366</v>
      </c>
      <c r="AI65" s="38"/>
      <c r="AJ65" s="38"/>
      <c r="AK65" s="38"/>
      <c r="AL65" s="38"/>
      <c r="AM65" s="48"/>
      <c r="AN65" s="42"/>
      <c r="AO65" s="42"/>
      <c r="AP65" s="42"/>
      <c r="AQ65" s="42"/>
      <c r="AR65" s="42"/>
      <c r="AS65" s="50"/>
      <c r="AT65" s="39"/>
      <c r="AU65" s="39"/>
      <c r="AV65" s="49"/>
      <c r="AW65" s="39" t="s">
        <v>221</v>
      </c>
      <c r="AX65" s="39">
        <v>10</v>
      </c>
      <c r="AY65" s="30">
        <v>1934824.32</v>
      </c>
      <c r="AZ65" s="42"/>
    </row>
    <row r="66" spans="1:52" ht="48" customHeight="1" x14ac:dyDescent="0.25">
      <c r="A66" s="61" t="s">
        <v>1879</v>
      </c>
      <c r="B66" s="62">
        <v>45322</v>
      </c>
      <c r="C66" s="42">
        <v>545</v>
      </c>
      <c r="D66" s="37"/>
      <c r="E66" s="41" t="s">
        <v>1880</v>
      </c>
      <c r="F66" s="38"/>
      <c r="G66" s="39"/>
      <c r="H66" s="42"/>
      <c r="I66" s="65" t="s">
        <v>410</v>
      </c>
      <c r="J66" s="63">
        <v>19720324.800000001</v>
      </c>
      <c r="K66" s="43">
        <v>0</v>
      </c>
      <c r="L66" s="56">
        <v>0</v>
      </c>
      <c r="M66" s="56">
        <v>0</v>
      </c>
      <c r="N66" s="44">
        <v>100</v>
      </c>
      <c r="O66" s="45">
        <v>19720324.800000001</v>
      </c>
      <c r="P66" s="43"/>
      <c r="Q66" s="45">
        <v>19720324.800000001</v>
      </c>
      <c r="R66" s="43">
        <v>0</v>
      </c>
      <c r="S66" s="30">
        <v>0</v>
      </c>
      <c r="T66" s="30">
        <v>0</v>
      </c>
      <c r="U66" s="30">
        <v>6201.36</v>
      </c>
      <c r="V66" s="43">
        <v>0</v>
      </c>
      <c r="W66" s="43">
        <v>0</v>
      </c>
      <c r="X66" s="43">
        <v>3180</v>
      </c>
      <c r="Y66" s="43">
        <v>3180</v>
      </c>
      <c r="Z66" s="43">
        <v>0</v>
      </c>
      <c r="AA66" s="43">
        <v>0</v>
      </c>
      <c r="AB66" s="43"/>
      <c r="AC66" s="43">
        <v>0</v>
      </c>
      <c r="AD66" s="43"/>
      <c r="AE66" s="43">
        <v>0</v>
      </c>
      <c r="AF66" s="43" t="e">
        <v>#DIV/0!</v>
      </c>
      <c r="AG66" s="43" t="e">
        <v>#DIV/0!</v>
      </c>
      <c r="AH66" s="38">
        <v>45366</v>
      </c>
      <c r="AI66" s="38"/>
      <c r="AJ66" s="38"/>
      <c r="AK66" s="38"/>
      <c r="AL66" s="38"/>
      <c r="AM66" s="48"/>
      <c r="AN66" s="42"/>
      <c r="AO66" s="42"/>
      <c r="AP66" s="42"/>
      <c r="AQ66" s="42"/>
      <c r="AR66" s="42"/>
      <c r="AS66" s="50"/>
      <c r="AT66" s="39"/>
      <c r="AU66" s="39"/>
      <c r="AV66" s="49"/>
      <c r="AW66" s="39" t="s">
        <v>221</v>
      </c>
      <c r="AX66" s="39">
        <v>10</v>
      </c>
      <c r="AY66" s="30">
        <v>1972032.48</v>
      </c>
      <c r="AZ66" s="42"/>
    </row>
    <row r="67" spans="1:52" ht="48" customHeight="1" x14ac:dyDescent="0.25">
      <c r="A67" s="61" t="s">
        <v>1881</v>
      </c>
      <c r="B67" s="62">
        <v>45322</v>
      </c>
      <c r="C67" s="42">
        <v>545</v>
      </c>
      <c r="D67" s="37"/>
      <c r="E67" s="41" t="s">
        <v>1882</v>
      </c>
      <c r="F67" s="38"/>
      <c r="G67" s="39"/>
      <c r="H67" s="42"/>
      <c r="I67" s="65" t="s">
        <v>410</v>
      </c>
      <c r="J67" s="63">
        <v>18604080</v>
      </c>
      <c r="K67" s="43">
        <v>0</v>
      </c>
      <c r="L67" s="56">
        <v>0</v>
      </c>
      <c r="M67" s="56">
        <v>0</v>
      </c>
      <c r="N67" s="44">
        <v>100</v>
      </c>
      <c r="O67" s="45">
        <v>18604080</v>
      </c>
      <c r="P67" s="43"/>
      <c r="Q67" s="45">
        <v>18604080</v>
      </c>
      <c r="R67" s="43">
        <v>0</v>
      </c>
      <c r="S67" s="30">
        <v>0</v>
      </c>
      <c r="T67" s="30">
        <v>0</v>
      </c>
      <c r="U67" s="30">
        <v>6201.36</v>
      </c>
      <c r="V67" s="43">
        <v>0</v>
      </c>
      <c r="W67" s="43">
        <v>0</v>
      </c>
      <c r="X67" s="43">
        <v>3000</v>
      </c>
      <c r="Y67" s="43">
        <v>3000</v>
      </c>
      <c r="Z67" s="43">
        <v>0</v>
      </c>
      <c r="AA67" s="43">
        <v>0</v>
      </c>
      <c r="AB67" s="43"/>
      <c r="AC67" s="43">
        <v>0</v>
      </c>
      <c r="AD67" s="43"/>
      <c r="AE67" s="43">
        <v>0</v>
      </c>
      <c r="AF67" s="43" t="e">
        <v>#DIV/0!</v>
      </c>
      <c r="AG67" s="43" t="e">
        <v>#DIV/0!</v>
      </c>
      <c r="AH67" s="38">
        <v>45366</v>
      </c>
      <c r="AI67" s="38"/>
      <c r="AJ67" s="38"/>
      <c r="AK67" s="38"/>
      <c r="AL67" s="38"/>
      <c r="AM67" s="48"/>
      <c r="AN67" s="42"/>
      <c r="AO67" s="42"/>
      <c r="AP67" s="42"/>
      <c r="AQ67" s="42"/>
      <c r="AR67" s="42"/>
      <c r="AS67" s="50"/>
      <c r="AT67" s="39"/>
      <c r="AU67" s="39"/>
      <c r="AV67" s="49"/>
      <c r="AW67" s="39" t="s">
        <v>221</v>
      </c>
      <c r="AX67" s="39">
        <v>10</v>
      </c>
      <c r="AY67" s="30">
        <v>1860408</v>
      </c>
      <c r="AZ67" s="42"/>
    </row>
    <row r="68" spans="1:52" ht="48" customHeight="1" x14ac:dyDescent="0.25">
      <c r="A68" s="61" t="s">
        <v>1883</v>
      </c>
      <c r="B68" s="62">
        <v>45322</v>
      </c>
      <c r="C68" s="42">
        <v>545</v>
      </c>
      <c r="D68" s="37"/>
      <c r="E68" s="41" t="s">
        <v>1884</v>
      </c>
      <c r="F68" s="38"/>
      <c r="G68" s="39"/>
      <c r="H68" s="42"/>
      <c r="I68" s="65" t="s">
        <v>410</v>
      </c>
      <c r="J68" s="63">
        <v>18231998.399999999</v>
      </c>
      <c r="K68" s="43">
        <v>0</v>
      </c>
      <c r="L68" s="56">
        <v>0</v>
      </c>
      <c r="M68" s="56">
        <v>0</v>
      </c>
      <c r="N68" s="44">
        <v>100</v>
      </c>
      <c r="O68" s="45">
        <v>18231998.399999999</v>
      </c>
      <c r="P68" s="43"/>
      <c r="Q68" s="45">
        <v>18231998.399999999</v>
      </c>
      <c r="R68" s="43">
        <v>0</v>
      </c>
      <c r="S68" s="30">
        <v>0</v>
      </c>
      <c r="T68" s="30">
        <v>0</v>
      </c>
      <c r="U68" s="30">
        <v>6201.36</v>
      </c>
      <c r="V68" s="43">
        <v>0</v>
      </c>
      <c r="W68" s="43">
        <v>0</v>
      </c>
      <c r="X68" s="43">
        <v>2940</v>
      </c>
      <c r="Y68" s="43">
        <v>2940</v>
      </c>
      <c r="Z68" s="43">
        <v>0</v>
      </c>
      <c r="AA68" s="43">
        <v>0</v>
      </c>
      <c r="AB68" s="43"/>
      <c r="AC68" s="43">
        <v>0</v>
      </c>
      <c r="AD68" s="43"/>
      <c r="AE68" s="43">
        <v>0</v>
      </c>
      <c r="AF68" s="43" t="e">
        <v>#DIV/0!</v>
      </c>
      <c r="AG68" s="43" t="e">
        <v>#DIV/0!</v>
      </c>
      <c r="AH68" s="38">
        <v>45366</v>
      </c>
      <c r="AI68" s="38"/>
      <c r="AJ68" s="38"/>
      <c r="AK68" s="38"/>
      <c r="AL68" s="38"/>
      <c r="AM68" s="48"/>
      <c r="AN68" s="42"/>
      <c r="AO68" s="42"/>
      <c r="AP68" s="42"/>
      <c r="AQ68" s="42"/>
      <c r="AR68" s="42"/>
      <c r="AS68" s="50"/>
      <c r="AT68" s="39"/>
      <c r="AU68" s="39"/>
      <c r="AV68" s="49"/>
      <c r="AW68" s="39" t="s">
        <v>221</v>
      </c>
      <c r="AX68" s="39">
        <v>10</v>
      </c>
      <c r="AY68" s="30">
        <v>1823199.84</v>
      </c>
      <c r="AZ68" s="42"/>
    </row>
    <row r="69" spans="1:52" ht="48" customHeight="1" x14ac:dyDescent="0.25">
      <c r="A69" s="61" t="s">
        <v>1901</v>
      </c>
      <c r="B69" s="62">
        <v>45323</v>
      </c>
      <c r="C69" s="42">
        <v>545</v>
      </c>
      <c r="D69" s="37"/>
      <c r="E69" s="41" t="s">
        <v>1902</v>
      </c>
      <c r="F69" s="38"/>
      <c r="G69" s="39"/>
      <c r="H69" s="42"/>
      <c r="I69" s="64" t="s">
        <v>1903</v>
      </c>
      <c r="J69" s="63">
        <v>120806571.59999999</v>
      </c>
      <c r="K69" s="43">
        <v>0</v>
      </c>
      <c r="L69" s="56">
        <v>0</v>
      </c>
      <c r="M69" s="56">
        <v>0</v>
      </c>
      <c r="N69" s="44">
        <v>100</v>
      </c>
      <c r="O69" s="45">
        <v>120806571.59999999</v>
      </c>
      <c r="P69" s="43"/>
      <c r="Q69" s="45">
        <v>120806571.59999999</v>
      </c>
      <c r="R69" s="43">
        <v>0</v>
      </c>
      <c r="S69" s="30">
        <v>0</v>
      </c>
      <c r="T69" s="30">
        <v>0</v>
      </c>
      <c r="U69" s="30">
        <v>25813.37</v>
      </c>
      <c r="V69" s="43">
        <v>0</v>
      </c>
      <c r="W69" s="43">
        <v>0</v>
      </c>
      <c r="X69" s="43">
        <v>4680</v>
      </c>
      <c r="Y69" s="43">
        <v>4680</v>
      </c>
      <c r="Z69" s="43">
        <v>0</v>
      </c>
      <c r="AA69" s="43">
        <v>0</v>
      </c>
      <c r="AB69" s="43"/>
      <c r="AC69" s="43">
        <v>0</v>
      </c>
      <c r="AD69" s="43"/>
      <c r="AE69" s="43">
        <v>0</v>
      </c>
      <c r="AF69" s="43" t="e">
        <v>#DIV/0!</v>
      </c>
      <c r="AG69" s="43" t="e">
        <v>#DIV/0!</v>
      </c>
      <c r="AH69" s="38">
        <v>45366</v>
      </c>
      <c r="AI69" s="38"/>
      <c r="AJ69" s="38"/>
      <c r="AK69" s="38"/>
      <c r="AL69" s="38"/>
      <c r="AM69" s="48"/>
      <c r="AN69" s="42"/>
      <c r="AO69" s="42"/>
      <c r="AP69" s="42"/>
      <c r="AQ69" s="42"/>
      <c r="AR69" s="42"/>
      <c r="AS69" s="50"/>
      <c r="AT69" s="39"/>
      <c r="AU69" s="39"/>
      <c r="AV69" s="49"/>
      <c r="AW69" s="39"/>
      <c r="AX69" s="39">
        <v>10</v>
      </c>
      <c r="AY69" s="30">
        <v>12080657.16</v>
      </c>
      <c r="AZ69" s="42"/>
    </row>
    <row r="70" spans="1:52" ht="39" customHeight="1" x14ac:dyDescent="0.25">
      <c r="A70" s="61" t="s">
        <v>1957</v>
      </c>
      <c r="B70" s="62">
        <v>45328</v>
      </c>
      <c r="C70" s="42">
        <v>545</v>
      </c>
      <c r="D70" s="37"/>
      <c r="E70" s="41" t="s">
        <v>1958</v>
      </c>
      <c r="F70" s="38"/>
      <c r="G70" s="39"/>
      <c r="H70" s="42"/>
      <c r="I70" s="64" t="s">
        <v>1339</v>
      </c>
      <c r="J70" s="63">
        <v>62321212.799999997</v>
      </c>
      <c r="K70" s="43">
        <v>0</v>
      </c>
      <c r="L70" s="56">
        <v>0</v>
      </c>
      <c r="M70" s="56">
        <v>0</v>
      </c>
      <c r="N70" s="44">
        <v>100</v>
      </c>
      <c r="O70" s="45">
        <v>62321212.799999997</v>
      </c>
      <c r="P70" s="43"/>
      <c r="Q70" s="45">
        <v>62321212.799999997</v>
      </c>
      <c r="R70" s="43">
        <v>0</v>
      </c>
      <c r="S70" s="30">
        <v>0</v>
      </c>
      <c r="T70" s="30">
        <v>0</v>
      </c>
      <c r="U70" s="30" t="e">
        <v>#DIV/0!</v>
      </c>
      <c r="V70" s="43" t="e">
        <v>#DIV/0!</v>
      </c>
      <c r="W70" s="43" t="e">
        <v>#DIV/0!</v>
      </c>
      <c r="X70" s="43">
        <v>0</v>
      </c>
      <c r="Y70" s="43">
        <v>0</v>
      </c>
      <c r="Z70" s="43">
        <v>0</v>
      </c>
      <c r="AA70" s="43">
        <v>0</v>
      </c>
      <c r="AB70" s="43"/>
      <c r="AC70" s="43" t="e">
        <v>#DIV/0!</v>
      </c>
      <c r="AD70" s="43"/>
      <c r="AE70" s="43" t="e">
        <v>#DIV/0!</v>
      </c>
      <c r="AF70" s="43" t="e">
        <v>#DIV/0!</v>
      </c>
      <c r="AG70" s="43" t="e">
        <v>#DIV/0!</v>
      </c>
      <c r="AH70" s="38">
        <v>45371</v>
      </c>
      <c r="AI70" s="38"/>
      <c r="AJ70" s="38"/>
      <c r="AK70" s="38"/>
      <c r="AL70" s="38"/>
      <c r="AM70" s="48"/>
      <c r="AN70" s="42"/>
      <c r="AO70" s="42"/>
      <c r="AP70" s="42"/>
      <c r="AQ70" s="42"/>
      <c r="AR70" s="42"/>
      <c r="AS70" s="50"/>
      <c r="AT70" s="39"/>
      <c r="AU70" s="39"/>
      <c r="AV70" s="49"/>
      <c r="AW70" s="39"/>
      <c r="AX70" s="39">
        <v>10</v>
      </c>
      <c r="AY70" s="30">
        <v>6232121.2800000003</v>
      </c>
      <c r="AZ70" s="42"/>
    </row>
    <row r="71" spans="1:52" ht="41.25" customHeight="1" x14ac:dyDescent="0.25">
      <c r="A71" s="37" t="s">
        <v>2047</v>
      </c>
      <c r="B71" s="38">
        <v>45335</v>
      </c>
      <c r="C71" s="42">
        <v>545</v>
      </c>
      <c r="D71" s="39" t="s">
        <v>434</v>
      </c>
      <c r="E71" s="41" t="s">
        <v>2048</v>
      </c>
      <c r="F71" s="39" t="s">
        <v>434</v>
      </c>
      <c r="G71" s="39" t="s">
        <v>434</v>
      </c>
      <c r="H71" s="39" t="s">
        <v>434</v>
      </c>
      <c r="I71" s="57" t="s">
        <v>594</v>
      </c>
      <c r="J71" s="43">
        <v>11343735</v>
      </c>
      <c r="K71" s="43">
        <v>0</v>
      </c>
      <c r="L71" s="56">
        <v>0</v>
      </c>
      <c r="M71" s="56">
        <v>0</v>
      </c>
      <c r="N71" s="44">
        <v>100</v>
      </c>
      <c r="O71" s="45">
        <v>11343735</v>
      </c>
      <c r="P71" s="43"/>
      <c r="Q71" s="45">
        <v>11343735</v>
      </c>
      <c r="R71" s="43">
        <v>0</v>
      </c>
      <c r="S71" s="30">
        <v>0</v>
      </c>
      <c r="T71" s="30">
        <v>0</v>
      </c>
      <c r="U71" s="30" t="e">
        <v>#DIV/0!</v>
      </c>
      <c r="V71" s="43" t="e">
        <v>#DIV/0!</v>
      </c>
      <c r="W71" s="43" t="e">
        <v>#DIV/0!</v>
      </c>
      <c r="X71" s="43">
        <v>0</v>
      </c>
      <c r="Y71" s="43">
        <v>0</v>
      </c>
      <c r="Z71" s="43">
        <v>0</v>
      </c>
      <c r="AA71" s="43">
        <v>0</v>
      </c>
      <c r="AB71" s="43"/>
      <c r="AC71" s="43" t="e">
        <v>#DIV/0!</v>
      </c>
      <c r="AD71" s="43"/>
      <c r="AE71" s="43" t="e">
        <v>#DIV/0!</v>
      </c>
      <c r="AF71" s="43" t="e">
        <v>#DIV/0!</v>
      </c>
      <c r="AG71" s="43" t="e">
        <v>#DIV/0!</v>
      </c>
      <c r="AH71" s="38">
        <v>45371</v>
      </c>
      <c r="AI71" s="38"/>
      <c r="AJ71" s="38"/>
      <c r="AK71" s="38"/>
      <c r="AL71" s="38"/>
      <c r="AM71" s="48"/>
      <c r="AN71" s="42"/>
      <c r="AO71" s="42"/>
      <c r="AP71" s="42"/>
      <c r="AQ71" s="42"/>
      <c r="AR71" s="42"/>
      <c r="AS71" s="50"/>
      <c r="AT71" s="39"/>
      <c r="AU71" s="39"/>
      <c r="AV71" s="49"/>
      <c r="AW71" s="39"/>
      <c r="AX71" s="39">
        <v>10</v>
      </c>
      <c r="AY71" s="30">
        <v>1134373.5</v>
      </c>
      <c r="AZ71" s="42" t="s">
        <v>434</v>
      </c>
    </row>
    <row r="72" spans="1:52" ht="48" customHeight="1" x14ac:dyDescent="0.25">
      <c r="A72" s="61" t="s">
        <v>2104</v>
      </c>
      <c r="B72" s="62">
        <v>45338</v>
      </c>
      <c r="C72" s="39">
        <v>545</v>
      </c>
      <c r="D72" s="37"/>
      <c r="E72" s="42"/>
      <c r="F72" s="38"/>
      <c r="G72" s="39"/>
      <c r="H72" s="42"/>
      <c r="I72" s="65" t="s">
        <v>410</v>
      </c>
      <c r="J72" s="63">
        <v>19348243.199999999</v>
      </c>
      <c r="K72" s="43">
        <v>0</v>
      </c>
      <c r="L72" s="56">
        <v>0</v>
      </c>
      <c r="M72" s="56">
        <v>0</v>
      </c>
      <c r="N72" s="44">
        <v>100</v>
      </c>
      <c r="O72" s="45">
        <v>19348243.199999999</v>
      </c>
      <c r="P72" s="43"/>
      <c r="Q72" s="45">
        <v>19348243.199999999</v>
      </c>
      <c r="R72" s="43">
        <v>0</v>
      </c>
      <c r="S72" s="30">
        <v>0</v>
      </c>
      <c r="T72" s="30">
        <v>0</v>
      </c>
      <c r="U72" s="30" t="e">
        <v>#DIV/0!</v>
      </c>
      <c r="V72" s="43" t="e">
        <v>#DIV/0!</v>
      </c>
      <c r="W72" s="43" t="e">
        <v>#DIV/0!</v>
      </c>
      <c r="X72" s="43">
        <v>0</v>
      </c>
      <c r="Y72" s="43">
        <v>0</v>
      </c>
      <c r="Z72" s="43">
        <v>0</v>
      </c>
      <c r="AA72" s="43">
        <v>0</v>
      </c>
      <c r="AB72" s="43"/>
      <c r="AC72" s="43" t="e">
        <v>#DIV/0!</v>
      </c>
      <c r="AD72" s="43"/>
      <c r="AE72" s="43" t="e">
        <v>#DIV/0!</v>
      </c>
      <c r="AF72" s="43" t="e">
        <v>#DIV/0!</v>
      </c>
      <c r="AG72" s="43" t="e">
        <v>#DIV/0!</v>
      </c>
      <c r="AH72" s="38">
        <v>45376</v>
      </c>
      <c r="AI72" s="38"/>
      <c r="AJ72" s="38"/>
      <c r="AK72" s="38"/>
      <c r="AL72" s="38"/>
      <c r="AM72" s="48"/>
      <c r="AN72" s="42"/>
      <c r="AO72" s="42"/>
      <c r="AP72" s="42"/>
      <c r="AQ72" s="42"/>
      <c r="AR72" s="42"/>
      <c r="AS72" s="50"/>
      <c r="AT72" s="39"/>
      <c r="AU72" s="39"/>
      <c r="AV72" s="49"/>
      <c r="AW72" s="39"/>
      <c r="AX72" s="39">
        <v>10</v>
      </c>
      <c r="AY72" s="30">
        <v>1934824.32</v>
      </c>
      <c r="AZ72" s="42"/>
    </row>
    <row r="73" spans="1:52" ht="48" customHeight="1" x14ac:dyDescent="0.25">
      <c r="A73" s="61" t="s">
        <v>2105</v>
      </c>
      <c r="B73" s="62">
        <v>45338</v>
      </c>
      <c r="C73" s="39">
        <v>545</v>
      </c>
      <c r="D73" s="37"/>
      <c r="E73" s="42"/>
      <c r="F73" s="38"/>
      <c r="G73" s="39"/>
      <c r="H73" s="42"/>
      <c r="I73" s="65" t="s">
        <v>410</v>
      </c>
      <c r="J73" s="63">
        <v>18231998.399999999</v>
      </c>
      <c r="K73" s="43">
        <v>0</v>
      </c>
      <c r="L73" s="56">
        <v>0</v>
      </c>
      <c r="M73" s="56">
        <v>0</v>
      </c>
      <c r="N73" s="44">
        <v>100</v>
      </c>
      <c r="O73" s="45">
        <v>18231998.399999999</v>
      </c>
      <c r="P73" s="43"/>
      <c r="Q73" s="45">
        <v>18231998.399999999</v>
      </c>
      <c r="R73" s="43">
        <v>0</v>
      </c>
      <c r="S73" s="30">
        <v>0</v>
      </c>
      <c r="T73" s="30">
        <v>0</v>
      </c>
      <c r="U73" s="30" t="e">
        <v>#DIV/0!</v>
      </c>
      <c r="V73" s="43" t="e">
        <v>#DIV/0!</v>
      </c>
      <c r="W73" s="43" t="e">
        <v>#DIV/0!</v>
      </c>
      <c r="X73" s="43">
        <v>0</v>
      </c>
      <c r="Y73" s="43">
        <v>0</v>
      </c>
      <c r="Z73" s="43">
        <v>0</v>
      </c>
      <c r="AA73" s="43">
        <v>0</v>
      </c>
      <c r="AB73" s="43"/>
      <c r="AC73" s="43" t="e">
        <v>#DIV/0!</v>
      </c>
      <c r="AD73" s="43"/>
      <c r="AE73" s="43" t="e">
        <v>#DIV/0!</v>
      </c>
      <c r="AF73" s="43" t="e">
        <v>#DIV/0!</v>
      </c>
      <c r="AG73" s="43" t="e">
        <v>#DIV/0!</v>
      </c>
      <c r="AH73" s="38">
        <v>45376</v>
      </c>
      <c r="AI73" s="38"/>
      <c r="AJ73" s="38"/>
      <c r="AK73" s="38"/>
      <c r="AL73" s="38"/>
      <c r="AM73" s="48"/>
      <c r="AN73" s="42"/>
      <c r="AO73" s="42"/>
      <c r="AP73" s="42"/>
      <c r="AQ73" s="42"/>
      <c r="AR73" s="42"/>
      <c r="AS73" s="50"/>
      <c r="AT73" s="39"/>
      <c r="AU73" s="39"/>
      <c r="AV73" s="49"/>
      <c r="AW73" s="39"/>
      <c r="AX73" s="39">
        <v>10</v>
      </c>
      <c r="AY73" s="30">
        <v>1823199.84</v>
      </c>
      <c r="AZ73" s="42"/>
    </row>
    <row r="74" spans="1:52" ht="48" customHeight="1" x14ac:dyDescent="0.25">
      <c r="A74" s="61" t="s">
        <v>2106</v>
      </c>
      <c r="B74" s="62">
        <v>45338</v>
      </c>
      <c r="C74" s="39">
        <v>545</v>
      </c>
      <c r="D74" s="37"/>
      <c r="E74" s="42"/>
      <c r="F74" s="38"/>
      <c r="G74" s="39"/>
      <c r="H74" s="42"/>
      <c r="I74" s="65" t="s">
        <v>410</v>
      </c>
      <c r="J74" s="63">
        <v>18604080</v>
      </c>
      <c r="K74" s="43">
        <v>0</v>
      </c>
      <c r="L74" s="56">
        <v>0</v>
      </c>
      <c r="M74" s="56">
        <v>0</v>
      </c>
      <c r="N74" s="44">
        <v>100</v>
      </c>
      <c r="O74" s="45">
        <v>18604080</v>
      </c>
      <c r="P74" s="43"/>
      <c r="Q74" s="45">
        <v>18604080</v>
      </c>
      <c r="R74" s="43">
        <v>0</v>
      </c>
      <c r="S74" s="30">
        <v>0</v>
      </c>
      <c r="T74" s="30">
        <v>0</v>
      </c>
      <c r="U74" s="30" t="e">
        <v>#DIV/0!</v>
      </c>
      <c r="V74" s="43" t="e">
        <v>#DIV/0!</v>
      </c>
      <c r="W74" s="43" t="e">
        <v>#DIV/0!</v>
      </c>
      <c r="X74" s="43">
        <v>0</v>
      </c>
      <c r="Y74" s="43">
        <v>0</v>
      </c>
      <c r="Z74" s="43">
        <v>0</v>
      </c>
      <c r="AA74" s="43">
        <v>0</v>
      </c>
      <c r="AB74" s="43"/>
      <c r="AC74" s="43" t="e">
        <v>#DIV/0!</v>
      </c>
      <c r="AD74" s="43"/>
      <c r="AE74" s="43" t="e">
        <v>#DIV/0!</v>
      </c>
      <c r="AF74" s="43" t="e">
        <v>#DIV/0!</v>
      </c>
      <c r="AG74" s="43" t="e">
        <v>#DIV/0!</v>
      </c>
      <c r="AH74" s="38">
        <v>45376</v>
      </c>
      <c r="AI74" s="38"/>
      <c r="AJ74" s="38"/>
      <c r="AK74" s="38"/>
      <c r="AL74" s="38"/>
      <c r="AM74" s="48"/>
      <c r="AN74" s="42"/>
      <c r="AO74" s="42"/>
      <c r="AP74" s="42"/>
      <c r="AQ74" s="42"/>
      <c r="AR74" s="42"/>
      <c r="AS74" s="50"/>
      <c r="AT74" s="39"/>
      <c r="AU74" s="39"/>
      <c r="AV74" s="49"/>
      <c r="AW74" s="39"/>
      <c r="AX74" s="39">
        <v>10</v>
      </c>
      <c r="AY74" s="30">
        <v>1860408</v>
      </c>
      <c r="AZ74" s="42"/>
    </row>
    <row r="75" spans="1:52" ht="48" customHeight="1" x14ac:dyDescent="0.25">
      <c r="A75" s="61" t="s">
        <v>2107</v>
      </c>
      <c r="B75" s="62">
        <v>45338</v>
      </c>
      <c r="C75" s="39">
        <v>545</v>
      </c>
      <c r="D75" s="37"/>
      <c r="E75" s="42"/>
      <c r="F75" s="38"/>
      <c r="G75" s="39"/>
      <c r="H75" s="42"/>
      <c r="I75" s="65" t="s">
        <v>410</v>
      </c>
      <c r="J75" s="63">
        <v>19720324.800000001</v>
      </c>
      <c r="K75" s="43">
        <v>0</v>
      </c>
      <c r="L75" s="56">
        <v>0</v>
      </c>
      <c r="M75" s="56">
        <v>0</v>
      </c>
      <c r="N75" s="44">
        <v>100</v>
      </c>
      <c r="O75" s="45">
        <v>19720324.800000001</v>
      </c>
      <c r="P75" s="43"/>
      <c r="Q75" s="45">
        <v>19720324.800000001</v>
      </c>
      <c r="R75" s="43">
        <v>0</v>
      </c>
      <c r="S75" s="30">
        <v>0</v>
      </c>
      <c r="T75" s="30">
        <v>0</v>
      </c>
      <c r="U75" s="30" t="e">
        <v>#DIV/0!</v>
      </c>
      <c r="V75" s="43" t="e">
        <v>#DIV/0!</v>
      </c>
      <c r="W75" s="43" t="e">
        <v>#DIV/0!</v>
      </c>
      <c r="X75" s="43">
        <v>0</v>
      </c>
      <c r="Y75" s="43">
        <v>0</v>
      </c>
      <c r="Z75" s="43">
        <v>0</v>
      </c>
      <c r="AA75" s="43">
        <v>0</v>
      </c>
      <c r="AB75" s="43"/>
      <c r="AC75" s="43" t="e">
        <v>#DIV/0!</v>
      </c>
      <c r="AD75" s="43"/>
      <c r="AE75" s="43" t="e">
        <v>#DIV/0!</v>
      </c>
      <c r="AF75" s="43" t="e">
        <v>#DIV/0!</v>
      </c>
      <c r="AG75" s="43" t="e">
        <v>#DIV/0!</v>
      </c>
      <c r="AH75" s="38">
        <v>45376</v>
      </c>
      <c r="AI75" s="38"/>
      <c r="AJ75" s="38"/>
      <c r="AK75" s="38"/>
      <c r="AL75" s="38"/>
      <c r="AM75" s="48"/>
      <c r="AN75" s="42"/>
      <c r="AO75" s="42"/>
      <c r="AP75" s="42"/>
      <c r="AQ75" s="42"/>
      <c r="AR75" s="42"/>
      <c r="AS75" s="50"/>
      <c r="AT75" s="39"/>
      <c r="AU75" s="39"/>
      <c r="AV75" s="49"/>
      <c r="AW75" s="39"/>
      <c r="AX75" s="39">
        <v>10</v>
      </c>
      <c r="AY75" s="30">
        <v>1972032.48</v>
      </c>
      <c r="AZ75" s="42"/>
    </row>
    <row r="76" spans="1:52" ht="48" customHeight="1" x14ac:dyDescent="0.25">
      <c r="A76" s="61" t="s">
        <v>2108</v>
      </c>
      <c r="B76" s="62">
        <v>45338</v>
      </c>
      <c r="C76" s="39">
        <v>545</v>
      </c>
      <c r="D76" s="37"/>
      <c r="E76" s="42"/>
      <c r="F76" s="38"/>
      <c r="G76" s="39"/>
      <c r="H76" s="42"/>
      <c r="I76" s="65" t="s">
        <v>410</v>
      </c>
      <c r="J76" s="63">
        <v>18976161.600000001</v>
      </c>
      <c r="K76" s="43">
        <v>0</v>
      </c>
      <c r="L76" s="56">
        <v>0</v>
      </c>
      <c r="M76" s="56">
        <v>0</v>
      </c>
      <c r="N76" s="44">
        <v>100</v>
      </c>
      <c r="O76" s="45">
        <v>18976161.600000001</v>
      </c>
      <c r="P76" s="43"/>
      <c r="Q76" s="45">
        <v>18976161.600000001</v>
      </c>
      <c r="R76" s="43">
        <v>0</v>
      </c>
      <c r="S76" s="30">
        <v>0</v>
      </c>
      <c r="T76" s="30">
        <v>0</v>
      </c>
      <c r="U76" s="30" t="e">
        <v>#DIV/0!</v>
      </c>
      <c r="V76" s="43" t="e">
        <v>#DIV/0!</v>
      </c>
      <c r="W76" s="43" t="e">
        <v>#DIV/0!</v>
      </c>
      <c r="X76" s="43">
        <v>0</v>
      </c>
      <c r="Y76" s="43">
        <v>0</v>
      </c>
      <c r="Z76" s="43">
        <v>0</v>
      </c>
      <c r="AA76" s="43">
        <v>0</v>
      </c>
      <c r="AB76" s="43"/>
      <c r="AC76" s="43" t="e">
        <v>#DIV/0!</v>
      </c>
      <c r="AD76" s="43"/>
      <c r="AE76" s="43" t="e">
        <v>#DIV/0!</v>
      </c>
      <c r="AF76" s="43" t="e">
        <v>#DIV/0!</v>
      </c>
      <c r="AG76" s="43" t="e">
        <v>#DIV/0!</v>
      </c>
      <c r="AH76" s="38">
        <v>45376</v>
      </c>
      <c r="AI76" s="38"/>
      <c r="AJ76" s="38"/>
      <c r="AK76" s="38"/>
      <c r="AL76" s="38"/>
      <c r="AM76" s="48"/>
      <c r="AN76" s="42"/>
      <c r="AO76" s="42"/>
      <c r="AP76" s="42"/>
      <c r="AQ76" s="42"/>
      <c r="AR76" s="42"/>
      <c r="AS76" s="50"/>
      <c r="AT76" s="39"/>
      <c r="AU76" s="39"/>
      <c r="AV76" s="49"/>
      <c r="AW76" s="39"/>
      <c r="AX76" s="39">
        <v>10</v>
      </c>
      <c r="AY76" s="30">
        <v>1897616.16</v>
      </c>
      <c r="AZ76" s="42"/>
    </row>
    <row r="77" spans="1:52" ht="48" customHeight="1" x14ac:dyDescent="0.25">
      <c r="A77" s="61" t="s">
        <v>2121</v>
      </c>
      <c r="B77" s="62">
        <v>45338</v>
      </c>
      <c r="C77" s="39">
        <v>545</v>
      </c>
      <c r="D77" s="37"/>
      <c r="E77" s="42"/>
      <c r="F77" s="38"/>
      <c r="G77" s="39"/>
      <c r="H77" s="42"/>
      <c r="I77" s="65" t="s">
        <v>410</v>
      </c>
      <c r="J77" s="63">
        <v>19348243.199999999</v>
      </c>
      <c r="K77" s="43">
        <v>0</v>
      </c>
      <c r="L77" s="56">
        <v>0</v>
      </c>
      <c r="M77" s="56">
        <v>0</v>
      </c>
      <c r="N77" s="44">
        <v>100</v>
      </c>
      <c r="O77" s="45">
        <v>19348243.199999999</v>
      </c>
      <c r="P77" s="43"/>
      <c r="Q77" s="45">
        <v>19348243.199999999</v>
      </c>
      <c r="R77" s="43">
        <v>0</v>
      </c>
      <c r="S77" s="30">
        <v>0</v>
      </c>
      <c r="T77" s="30">
        <v>0</v>
      </c>
      <c r="U77" s="30" t="e">
        <v>#DIV/0!</v>
      </c>
      <c r="V77" s="43" t="e">
        <v>#DIV/0!</v>
      </c>
      <c r="W77" s="43" t="e">
        <v>#DIV/0!</v>
      </c>
      <c r="X77" s="43">
        <v>0</v>
      </c>
      <c r="Y77" s="43">
        <v>0</v>
      </c>
      <c r="Z77" s="43">
        <v>0</v>
      </c>
      <c r="AA77" s="43">
        <v>0</v>
      </c>
      <c r="AB77" s="43"/>
      <c r="AC77" s="43" t="e">
        <v>#DIV/0!</v>
      </c>
      <c r="AD77" s="43"/>
      <c r="AE77" s="43" t="e">
        <v>#DIV/0!</v>
      </c>
      <c r="AF77" s="43" t="e">
        <v>#DIV/0!</v>
      </c>
      <c r="AG77" s="43" t="e">
        <v>#DIV/0!</v>
      </c>
      <c r="AH77" s="38">
        <v>45376</v>
      </c>
      <c r="AI77" s="38"/>
      <c r="AJ77" s="38"/>
      <c r="AK77" s="38"/>
      <c r="AL77" s="38"/>
      <c r="AM77" s="48"/>
      <c r="AN77" s="42"/>
      <c r="AO77" s="42"/>
      <c r="AP77" s="42"/>
      <c r="AQ77" s="42"/>
      <c r="AR77" s="42"/>
      <c r="AS77" s="50"/>
      <c r="AT77" s="39"/>
      <c r="AU77" s="39"/>
      <c r="AV77" s="49"/>
      <c r="AW77" s="39"/>
      <c r="AX77" s="39">
        <v>10</v>
      </c>
      <c r="AY77" s="30">
        <v>1934824.32</v>
      </c>
      <c r="AZ77" s="42"/>
    </row>
    <row r="78" spans="1:52" ht="48" customHeight="1" x14ac:dyDescent="0.25">
      <c r="A78" s="61" t="s">
        <v>2122</v>
      </c>
      <c r="B78" s="62">
        <v>45338</v>
      </c>
      <c r="C78" s="39">
        <v>545</v>
      </c>
      <c r="D78" s="37"/>
      <c r="E78" s="42"/>
      <c r="F78" s="38"/>
      <c r="G78" s="39"/>
      <c r="H78" s="42"/>
      <c r="I78" s="65" t="s">
        <v>410</v>
      </c>
      <c r="J78" s="63">
        <v>19720324.800000001</v>
      </c>
      <c r="K78" s="43">
        <v>0</v>
      </c>
      <c r="L78" s="56">
        <v>0</v>
      </c>
      <c r="M78" s="56">
        <v>0</v>
      </c>
      <c r="N78" s="44">
        <v>100</v>
      </c>
      <c r="O78" s="45">
        <v>19720324.800000001</v>
      </c>
      <c r="P78" s="43"/>
      <c r="Q78" s="45">
        <v>19720324.800000001</v>
      </c>
      <c r="R78" s="43">
        <v>0</v>
      </c>
      <c r="S78" s="30">
        <v>0</v>
      </c>
      <c r="T78" s="30">
        <v>0</v>
      </c>
      <c r="U78" s="30" t="e">
        <v>#DIV/0!</v>
      </c>
      <c r="V78" s="43" t="e">
        <v>#DIV/0!</v>
      </c>
      <c r="W78" s="43" t="e">
        <v>#DIV/0!</v>
      </c>
      <c r="X78" s="43">
        <v>0</v>
      </c>
      <c r="Y78" s="43">
        <v>0</v>
      </c>
      <c r="Z78" s="43">
        <v>0</v>
      </c>
      <c r="AA78" s="43">
        <v>0</v>
      </c>
      <c r="AB78" s="43"/>
      <c r="AC78" s="43" t="e">
        <v>#DIV/0!</v>
      </c>
      <c r="AD78" s="43"/>
      <c r="AE78" s="43" t="e">
        <v>#DIV/0!</v>
      </c>
      <c r="AF78" s="43" t="e">
        <v>#DIV/0!</v>
      </c>
      <c r="AG78" s="43" t="e">
        <v>#DIV/0!</v>
      </c>
      <c r="AH78" s="38">
        <v>45376</v>
      </c>
      <c r="AI78" s="38"/>
      <c r="AJ78" s="38"/>
      <c r="AK78" s="38"/>
      <c r="AL78" s="38"/>
      <c r="AM78" s="48"/>
      <c r="AN78" s="42"/>
      <c r="AO78" s="42"/>
      <c r="AP78" s="42"/>
      <c r="AQ78" s="42"/>
      <c r="AR78" s="42"/>
      <c r="AS78" s="50"/>
      <c r="AT78" s="39"/>
      <c r="AU78" s="39"/>
      <c r="AV78" s="49"/>
      <c r="AW78" s="39"/>
      <c r="AX78" s="39">
        <v>10</v>
      </c>
      <c r="AY78" s="30">
        <v>1972032.48</v>
      </c>
      <c r="AZ78" s="42"/>
    </row>
    <row r="79" spans="1:52" ht="48" customHeight="1" x14ac:dyDescent="0.25">
      <c r="A79" s="61" t="s">
        <v>2123</v>
      </c>
      <c r="B79" s="62">
        <v>45338</v>
      </c>
      <c r="C79" s="39">
        <v>545</v>
      </c>
      <c r="D79" s="37"/>
      <c r="E79" s="42"/>
      <c r="F79" s="38"/>
      <c r="G79" s="39"/>
      <c r="H79" s="42"/>
      <c r="I79" s="65" t="s">
        <v>410</v>
      </c>
      <c r="J79" s="63">
        <v>18231998.399999999</v>
      </c>
      <c r="K79" s="43">
        <v>0</v>
      </c>
      <c r="L79" s="56">
        <v>0</v>
      </c>
      <c r="M79" s="56">
        <v>0</v>
      </c>
      <c r="N79" s="44">
        <v>100</v>
      </c>
      <c r="O79" s="45">
        <v>18231998.399999999</v>
      </c>
      <c r="P79" s="43"/>
      <c r="Q79" s="45">
        <v>18231998.399999999</v>
      </c>
      <c r="R79" s="43">
        <v>0</v>
      </c>
      <c r="S79" s="30">
        <v>0</v>
      </c>
      <c r="T79" s="30">
        <v>0</v>
      </c>
      <c r="U79" s="30" t="e">
        <v>#DIV/0!</v>
      </c>
      <c r="V79" s="43" t="e">
        <v>#DIV/0!</v>
      </c>
      <c r="W79" s="43" t="e">
        <v>#DIV/0!</v>
      </c>
      <c r="X79" s="43">
        <v>0</v>
      </c>
      <c r="Y79" s="43">
        <v>0</v>
      </c>
      <c r="Z79" s="43">
        <v>0</v>
      </c>
      <c r="AA79" s="43">
        <v>0</v>
      </c>
      <c r="AB79" s="43"/>
      <c r="AC79" s="43" t="e">
        <v>#DIV/0!</v>
      </c>
      <c r="AD79" s="43"/>
      <c r="AE79" s="43" t="e">
        <v>#DIV/0!</v>
      </c>
      <c r="AF79" s="43" t="e">
        <v>#DIV/0!</v>
      </c>
      <c r="AG79" s="43" t="e">
        <v>#DIV/0!</v>
      </c>
      <c r="AH79" s="38">
        <v>45376</v>
      </c>
      <c r="AI79" s="38"/>
      <c r="AJ79" s="38"/>
      <c r="AK79" s="38"/>
      <c r="AL79" s="38"/>
      <c r="AM79" s="48"/>
      <c r="AN79" s="42"/>
      <c r="AO79" s="42"/>
      <c r="AP79" s="42"/>
      <c r="AQ79" s="42"/>
      <c r="AR79" s="42"/>
      <c r="AS79" s="50"/>
      <c r="AT79" s="39"/>
      <c r="AU79" s="39"/>
      <c r="AV79" s="49"/>
      <c r="AW79" s="39"/>
      <c r="AX79" s="39">
        <v>10</v>
      </c>
      <c r="AY79" s="30">
        <v>1823199.84</v>
      </c>
      <c r="AZ79" s="42"/>
    </row>
    <row r="80" spans="1:52" ht="48" customHeight="1" x14ac:dyDescent="0.25">
      <c r="A80" s="61" t="s">
        <v>2124</v>
      </c>
      <c r="B80" s="62">
        <v>45338</v>
      </c>
      <c r="C80" s="42" t="s">
        <v>2125</v>
      </c>
      <c r="D80" s="37"/>
      <c r="E80" s="42"/>
      <c r="F80" s="38"/>
      <c r="G80" s="39"/>
      <c r="H80" s="42"/>
      <c r="I80" s="64" t="s">
        <v>2126</v>
      </c>
      <c r="J80" s="63">
        <v>9774108.9600000009</v>
      </c>
      <c r="K80" s="43">
        <v>0</v>
      </c>
      <c r="L80" s="56">
        <v>0</v>
      </c>
      <c r="M80" s="56">
        <v>0</v>
      </c>
      <c r="N80" s="44">
        <v>100</v>
      </c>
      <c r="O80" s="45">
        <v>9774108.9600000009</v>
      </c>
      <c r="P80" s="43"/>
      <c r="Q80" s="45">
        <v>9774108.9600000009</v>
      </c>
      <c r="R80" s="43">
        <v>0</v>
      </c>
      <c r="S80" s="30">
        <v>0</v>
      </c>
      <c r="T80" s="30">
        <v>0</v>
      </c>
      <c r="U80" s="30" t="e">
        <v>#DIV/0!</v>
      </c>
      <c r="V80" s="43" t="e">
        <v>#DIV/0!</v>
      </c>
      <c r="W80" s="43" t="e">
        <v>#DIV/0!</v>
      </c>
      <c r="X80" s="43">
        <v>0</v>
      </c>
      <c r="Y80" s="43">
        <v>0</v>
      </c>
      <c r="Z80" s="43">
        <v>0</v>
      </c>
      <c r="AA80" s="43">
        <v>0</v>
      </c>
      <c r="AB80" s="43"/>
      <c r="AC80" s="43" t="e">
        <v>#DIV/0!</v>
      </c>
      <c r="AD80" s="43"/>
      <c r="AE80" s="43" t="e">
        <v>#DIV/0!</v>
      </c>
      <c r="AF80" s="43" t="e">
        <v>#DIV/0!</v>
      </c>
      <c r="AG80" s="43" t="e">
        <v>#DIV/0!</v>
      </c>
      <c r="AH80" s="38">
        <v>45371</v>
      </c>
      <c r="AI80" s="38"/>
      <c r="AJ80" s="38"/>
      <c r="AK80" s="38"/>
      <c r="AL80" s="38"/>
      <c r="AM80" s="48"/>
      <c r="AN80" s="42"/>
      <c r="AO80" s="42"/>
      <c r="AP80" s="42"/>
      <c r="AQ80" s="42"/>
      <c r="AR80" s="42"/>
      <c r="AS80" s="50"/>
      <c r="AT80" s="39"/>
      <c r="AU80" s="39"/>
      <c r="AV80" s="49"/>
      <c r="AW80" s="39"/>
      <c r="AX80" s="39">
        <v>10</v>
      </c>
      <c r="AY80" s="30">
        <v>977410.89600000007</v>
      </c>
      <c r="AZ80" s="42"/>
    </row>
    <row r="81" spans="1:52" ht="48" customHeight="1" x14ac:dyDescent="0.25">
      <c r="A81" s="61" t="s">
        <v>2127</v>
      </c>
      <c r="B81" s="62">
        <v>45342</v>
      </c>
      <c r="C81" s="42" t="s">
        <v>2125</v>
      </c>
      <c r="D81" s="37"/>
      <c r="E81" s="42"/>
      <c r="F81" s="38"/>
      <c r="G81" s="39"/>
      <c r="H81" s="42"/>
      <c r="I81" s="64" t="s">
        <v>429</v>
      </c>
      <c r="J81" s="63">
        <v>9098575.1999999993</v>
      </c>
      <c r="K81" s="43">
        <v>0</v>
      </c>
      <c r="L81" s="56">
        <v>0</v>
      </c>
      <c r="M81" s="56">
        <v>0</v>
      </c>
      <c r="N81" s="44">
        <v>100</v>
      </c>
      <c r="O81" s="45">
        <v>9098575.1999999993</v>
      </c>
      <c r="P81" s="43"/>
      <c r="Q81" s="45">
        <v>9098575.1999999993</v>
      </c>
      <c r="R81" s="43">
        <v>0</v>
      </c>
      <c r="S81" s="30">
        <v>0</v>
      </c>
      <c r="T81" s="30">
        <v>0</v>
      </c>
      <c r="U81" s="30" t="e">
        <v>#DIV/0!</v>
      </c>
      <c r="V81" s="43" t="e">
        <v>#DIV/0!</v>
      </c>
      <c r="W81" s="43" t="e">
        <v>#DIV/0!</v>
      </c>
      <c r="X81" s="43">
        <v>0</v>
      </c>
      <c r="Y81" s="43">
        <v>0</v>
      </c>
      <c r="Z81" s="43">
        <v>0</v>
      </c>
      <c r="AA81" s="43">
        <v>0</v>
      </c>
      <c r="AB81" s="43"/>
      <c r="AC81" s="43" t="e">
        <v>#DIV/0!</v>
      </c>
      <c r="AD81" s="43"/>
      <c r="AE81" s="43" t="e">
        <v>#DIV/0!</v>
      </c>
      <c r="AF81" s="43" t="e">
        <v>#DIV/0!</v>
      </c>
      <c r="AG81" s="43" t="e">
        <v>#DIV/0!</v>
      </c>
      <c r="AH81" s="38">
        <v>45371</v>
      </c>
      <c r="AI81" s="38"/>
      <c r="AJ81" s="38"/>
      <c r="AK81" s="38"/>
      <c r="AL81" s="38"/>
      <c r="AM81" s="48"/>
      <c r="AN81" s="42"/>
      <c r="AO81" s="42"/>
      <c r="AP81" s="42"/>
      <c r="AQ81" s="42"/>
      <c r="AR81" s="42"/>
      <c r="AS81" s="50"/>
      <c r="AT81" s="39"/>
      <c r="AU81" s="39"/>
      <c r="AV81" s="49"/>
      <c r="AW81" s="39"/>
      <c r="AX81" s="39">
        <v>10</v>
      </c>
      <c r="AY81" s="30">
        <v>909857.52</v>
      </c>
      <c r="AZ81" s="42"/>
    </row>
    <row r="82" spans="1:52" ht="48" customHeight="1" x14ac:dyDescent="0.25">
      <c r="A82" s="61" t="s">
        <v>2128</v>
      </c>
      <c r="B82" s="62">
        <v>45342</v>
      </c>
      <c r="C82" s="42" t="s">
        <v>2125</v>
      </c>
      <c r="D82" s="37"/>
      <c r="E82" s="42"/>
      <c r="F82" s="38"/>
      <c r="G82" s="39"/>
      <c r="H82" s="42"/>
      <c r="I82" s="65" t="s">
        <v>2129</v>
      </c>
      <c r="J82" s="63">
        <v>1454472</v>
      </c>
      <c r="K82" s="43">
        <v>0</v>
      </c>
      <c r="L82" s="56">
        <v>0</v>
      </c>
      <c r="M82" s="56">
        <v>0</v>
      </c>
      <c r="N82" s="44">
        <v>100</v>
      </c>
      <c r="O82" s="45">
        <v>1454472</v>
      </c>
      <c r="P82" s="43"/>
      <c r="Q82" s="45">
        <v>1454472</v>
      </c>
      <c r="R82" s="43">
        <v>0</v>
      </c>
      <c r="S82" s="30">
        <v>0</v>
      </c>
      <c r="T82" s="30">
        <v>0</v>
      </c>
      <c r="U82" s="30" t="e">
        <v>#DIV/0!</v>
      </c>
      <c r="V82" s="43" t="e">
        <v>#DIV/0!</v>
      </c>
      <c r="W82" s="43" t="e">
        <v>#DIV/0!</v>
      </c>
      <c r="X82" s="43">
        <v>0</v>
      </c>
      <c r="Y82" s="43">
        <v>0</v>
      </c>
      <c r="Z82" s="43">
        <v>0</v>
      </c>
      <c r="AA82" s="43">
        <v>0</v>
      </c>
      <c r="AB82" s="43"/>
      <c r="AC82" s="43" t="e">
        <v>#DIV/0!</v>
      </c>
      <c r="AD82" s="43"/>
      <c r="AE82" s="43" t="e">
        <v>#DIV/0!</v>
      </c>
      <c r="AF82" s="43" t="e">
        <v>#DIV/0!</v>
      </c>
      <c r="AG82" s="43" t="e">
        <v>#DIV/0!</v>
      </c>
      <c r="AH82" s="38">
        <v>45366</v>
      </c>
      <c r="AI82" s="38"/>
      <c r="AJ82" s="38"/>
      <c r="AK82" s="38"/>
      <c r="AL82" s="38"/>
      <c r="AM82" s="48"/>
      <c r="AN82" s="42"/>
      <c r="AO82" s="42"/>
      <c r="AP82" s="42"/>
      <c r="AQ82" s="42"/>
      <c r="AR82" s="42"/>
      <c r="AS82" s="50"/>
      <c r="AT82" s="39"/>
      <c r="AU82" s="39"/>
      <c r="AV82" s="49"/>
      <c r="AW82" s="39"/>
      <c r="AX82" s="39">
        <v>10</v>
      </c>
      <c r="AY82" s="30">
        <v>145447.20000000001</v>
      </c>
      <c r="AZ82" s="42"/>
    </row>
    <row r="83" spans="1:52" ht="48" customHeight="1" x14ac:dyDescent="0.25">
      <c r="A83" s="61" t="s">
        <v>2130</v>
      </c>
      <c r="B83" s="62">
        <v>45342</v>
      </c>
      <c r="C83" s="42" t="s">
        <v>2125</v>
      </c>
      <c r="D83" s="37"/>
      <c r="E83" s="42"/>
      <c r="F83" s="38"/>
      <c r="G83" s="39"/>
      <c r="H83" s="42"/>
      <c r="I83" s="64" t="s">
        <v>450</v>
      </c>
      <c r="J83" s="63">
        <v>3615117</v>
      </c>
      <c r="K83" s="43">
        <v>0</v>
      </c>
      <c r="L83" s="56">
        <v>0</v>
      </c>
      <c r="M83" s="56">
        <v>0</v>
      </c>
      <c r="N83" s="44">
        <v>100</v>
      </c>
      <c r="O83" s="45">
        <v>3615117</v>
      </c>
      <c r="P83" s="43"/>
      <c r="Q83" s="45">
        <v>3615117</v>
      </c>
      <c r="R83" s="43">
        <v>0</v>
      </c>
      <c r="S83" s="30">
        <v>0</v>
      </c>
      <c r="T83" s="30">
        <v>0</v>
      </c>
      <c r="U83" s="30" t="e">
        <v>#DIV/0!</v>
      </c>
      <c r="V83" s="43" t="e">
        <v>#DIV/0!</v>
      </c>
      <c r="W83" s="43" t="e">
        <v>#DIV/0!</v>
      </c>
      <c r="X83" s="43">
        <v>0</v>
      </c>
      <c r="Y83" s="43">
        <v>0</v>
      </c>
      <c r="Z83" s="43">
        <v>0</v>
      </c>
      <c r="AA83" s="43">
        <v>0</v>
      </c>
      <c r="AB83" s="43"/>
      <c r="AC83" s="43" t="e">
        <v>#DIV/0!</v>
      </c>
      <c r="AD83" s="43"/>
      <c r="AE83" s="43" t="e">
        <v>#DIV/0!</v>
      </c>
      <c r="AF83" s="43" t="e">
        <v>#DIV/0!</v>
      </c>
      <c r="AG83" s="43" t="e">
        <v>#DIV/0!</v>
      </c>
      <c r="AH83" s="38">
        <v>45371</v>
      </c>
      <c r="AI83" s="38"/>
      <c r="AJ83" s="38"/>
      <c r="AK83" s="38"/>
      <c r="AL83" s="38"/>
      <c r="AM83" s="48"/>
      <c r="AN83" s="42"/>
      <c r="AO83" s="42"/>
      <c r="AP83" s="42"/>
      <c r="AQ83" s="42"/>
      <c r="AR83" s="42"/>
      <c r="AS83" s="50"/>
      <c r="AT83" s="39"/>
      <c r="AU83" s="39"/>
      <c r="AV83" s="49"/>
      <c r="AW83" s="39"/>
      <c r="AX83" s="39">
        <v>10</v>
      </c>
      <c r="AY83" s="30">
        <v>361511.7</v>
      </c>
      <c r="AZ83" s="42"/>
    </row>
    <row r="84" spans="1:52" ht="39" customHeight="1" x14ac:dyDescent="0.25">
      <c r="A84" s="61" t="s">
        <v>2155</v>
      </c>
      <c r="B84" s="62">
        <v>45343</v>
      </c>
      <c r="C84" s="39">
        <v>545</v>
      </c>
      <c r="D84" s="37"/>
      <c r="E84" s="42"/>
      <c r="F84" s="38"/>
      <c r="G84" s="39"/>
      <c r="H84" s="42"/>
      <c r="I84" s="64" t="s">
        <v>567</v>
      </c>
      <c r="J84" s="63">
        <v>40387347</v>
      </c>
      <c r="K84" s="43">
        <v>0</v>
      </c>
      <c r="L84" s="56">
        <v>0</v>
      </c>
      <c r="M84" s="56">
        <v>0</v>
      </c>
      <c r="N84" s="44">
        <v>100</v>
      </c>
      <c r="O84" s="45">
        <v>40387347</v>
      </c>
      <c r="P84" s="43"/>
      <c r="Q84" s="45">
        <v>40387347</v>
      </c>
      <c r="R84" s="43">
        <v>0</v>
      </c>
      <c r="S84" s="30">
        <v>0</v>
      </c>
      <c r="T84" s="30">
        <v>0</v>
      </c>
      <c r="U84" s="30" t="e">
        <v>#DIV/0!</v>
      </c>
      <c r="V84" s="43" t="e">
        <v>#DIV/0!</v>
      </c>
      <c r="W84" s="43" t="e">
        <v>#DIV/0!</v>
      </c>
      <c r="X84" s="43">
        <v>0</v>
      </c>
      <c r="Y84" s="43">
        <v>0</v>
      </c>
      <c r="Z84" s="43">
        <v>0</v>
      </c>
      <c r="AA84" s="43">
        <v>0</v>
      </c>
      <c r="AB84" s="43"/>
      <c r="AC84" s="43" t="e">
        <v>#DIV/0!</v>
      </c>
      <c r="AD84" s="43"/>
      <c r="AE84" s="43" t="e">
        <v>#DIV/0!</v>
      </c>
      <c r="AF84" s="43" t="e">
        <v>#DIV/0!</v>
      </c>
      <c r="AG84" s="43" t="e">
        <v>#DIV/0!</v>
      </c>
      <c r="AH84" s="38">
        <v>45382</v>
      </c>
      <c r="AI84" s="38"/>
      <c r="AJ84" s="38"/>
      <c r="AK84" s="38"/>
      <c r="AL84" s="38"/>
      <c r="AM84" s="48"/>
      <c r="AN84" s="42"/>
      <c r="AO84" s="42"/>
      <c r="AP84" s="42"/>
      <c r="AQ84" s="42"/>
      <c r="AR84" s="42"/>
      <c r="AS84" s="50"/>
      <c r="AT84" s="39"/>
      <c r="AU84" s="39"/>
      <c r="AV84" s="49"/>
      <c r="AW84" s="39"/>
      <c r="AX84" s="39">
        <v>10</v>
      </c>
      <c r="AY84" s="30">
        <v>4038734.7</v>
      </c>
      <c r="AZ84" s="42"/>
    </row>
    <row r="85" spans="1:52" ht="15.75" customHeight="1" x14ac:dyDescent="0.25">
      <c r="A85" s="61" t="s">
        <v>2174</v>
      </c>
      <c r="B85" s="62">
        <v>45344</v>
      </c>
      <c r="C85" s="39">
        <v>545</v>
      </c>
      <c r="D85" s="37"/>
      <c r="E85" s="42"/>
      <c r="F85" s="38"/>
      <c r="G85" s="39"/>
      <c r="H85" s="42"/>
      <c r="I85" s="64" t="s">
        <v>2175</v>
      </c>
      <c r="J85" s="63">
        <v>610782757.20000005</v>
      </c>
      <c r="K85" s="43">
        <v>0</v>
      </c>
      <c r="L85" s="56">
        <v>0</v>
      </c>
      <c r="M85" s="56">
        <v>0</v>
      </c>
      <c r="N85" s="44">
        <v>100</v>
      </c>
      <c r="O85" s="45">
        <v>610782757.20000005</v>
      </c>
      <c r="P85" s="43"/>
      <c r="Q85" s="45">
        <v>610782757.20000005</v>
      </c>
      <c r="R85" s="43">
        <v>0</v>
      </c>
      <c r="S85" s="30">
        <v>0</v>
      </c>
      <c r="T85" s="30">
        <v>0</v>
      </c>
      <c r="U85" s="30" t="e">
        <v>#DIV/0!</v>
      </c>
      <c r="V85" s="43" t="e">
        <v>#DIV/0!</v>
      </c>
      <c r="W85" s="43" t="e">
        <v>#DIV/0!</v>
      </c>
      <c r="X85" s="43">
        <v>0</v>
      </c>
      <c r="Y85" s="43">
        <v>0</v>
      </c>
      <c r="Z85" s="43">
        <v>0</v>
      </c>
      <c r="AA85" s="43">
        <v>0</v>
      </c>
      <c r="AB85" s="43"/>
      <c r="AC85" s="43" t="e">
        <v>#DIV/0!</v>
      </c>
      <c r="AD85" s="43"/>
      <c r="AE85" s="43" t="e">
        <v>#DIV/0!</v>
      </c>
      <c r="AF85" s="43" t="e">
        <v>#DIV/0!</v>
      </c>
      <c r="AG85" s="43" t="e">
        <v>#DIV/0!</v>
      </c>
      <c r="AH85" s="38"/>
      <c r="AI85" s="38"/>
      <c r="AJ85" s="38"/>
      <c r="AK85" s="38"/>
      <c r="AL85" s="38"/>
      <c r="AM85" s="48"/>
      <c r="AN85" s="42"/>
      <c r="AO85" s="42"/>
      <c r="AP85" s="42"/>
      <c r="AQ85" s="42"/>
      <c r="AR85" s="42"/>
      <c r="AS85" s="50"/>
      <c r="AT85" s="39"/>
      <c r="AU85" s="39"/>
      <c r="AV85" s="49"/>
      <c r="AW85" s="39"/>
      <c r="AX85" s="39">
        <v>10</v>
      </c>
      <c r="AY85" s="30">
        <v>61078275.719999999</v>
      </c>
      <c r="AZ85" s="42"/>
    </row>
    <row r="86" spans="1:52" ht="15.75" customHeight="1" x14ac:dyDescent="0.25">
      <c r="A86" s="46"/>
      <c r="B86" s="38"/>
      <c r="C86" s="39"/>
      <c r="D86" s="37"/>
      <c r="E86" s="42"/>
      <c r="F86" s="38"/>
      <c r="G86" s="39"/>
      <c r="H86" s="42"/>
      <c r="I86" s="42"/>
      <c r="J86" s="43">
        <v>0</v>
      </c>
      <c r="K86" s="43">
        <v>0</v>
      </c>
      <c r="L86" s="56">
        <v>0</v>
      </c>
      <c r="M86" s="56">
        <v>0</v>
      </c>
      <c r="N86" s="44" t="e">
        <f t="shared" ref="N67:N112" si="0">((J86-P86)/J86)*100</f>
        <v>#DIV/0!</v>
      </c>
      <c r="O86" s="45">
        <f t="shared" ref="O67:O130" si="1">J86-P86</f>
        <v>0</v>
      </c>
      <c r="P86" s="43"/>
      <c r="Q86" s="45">
        <f t="shared" ref="Q67:Q130" si="2">J86-R86</f>
        <v>0</v>
      </c>
      <c r="R86" s="43">
        <v>0</v>
      </c>
      <c r="S86" s="30">
        <f t="shared" ref="S41:T95" si="3">R86</f>
        <v>0</v>
      </c>
      <c r="T86" s="30">
        <f t="shared" si="3"/>
        <v>0</v>
      </c>
      <c r="U86" s="30" t="e">
        <f>T86/X86</f>
        <v>#DIV/0!</v>
      </c>
      <c r="V86" s="43" t="e">
        <f>T86/X86</f>
        <v>#DIV/0!</v>
      </c>
      <c r="W86" s="43" t="e">
        <f t="shared" ref="W67:W130" si="4">V86*AV86</f>
        <v>#DIV/0!</v>
      </c>
      <c r="X86" s="43">
        <f t="shared" ref="X67:X130" si="5">Y86+Z86+AA86</f>
        <v>0</v>
      </c>
      <c r="Y86" s="43">
        <v>0</v>
      </c>
      <c r="Z86" s="43">
        <v>0</v>
      </c>
      <c r="AA86" s="43">
        <v>0</v>
      </c>
      <c r="AB86" s="43"/>
      <c r="AC86" s="43" t="e">
        <f t="shared" ref="AC67:AC130" si="6">AB86*V86</f>
        <v>#DIV/0!</v>
      </c>
      <c r="AD86" s="43"/>
      <c r="AE86" s="43" t="e">
        <f t="shared" ref="AE67:AE130" si="7">AD86*V86</f>
        <v>#DIV/0!</v>
      </c>
      <c r="AF86" s="43" t="e">
        <f t="shared" ref="AF67:AF129" si="8">X86/AV86</f>
        <v>#DIV/0!</v>
      </c>
      <c r="AG86" s="43" t="e">
        <f t="shared" ref="AG67:AG129" si="9">_xlfn.CEILING.MATH(AF86)</f>
        <v>#DIV/0!</v>
      </c>
      <c r="AH86" s="38"/>
      <c r="AI86" s="38"/>
      <c r="AJ86" s="38"/>
      <c r="AK86" s="38"/>
      <c r="AL86" s="38"/>
      <c r="AM86" s="48"/>
      <c r="AN86" s="42"/>
      <c r="AO86" s="42"/>
      <c r="AP86" s="42"/>
      <c r="AQ86" s="42"/>
      <c r="AR86" s="42"/>
      <c r="AS86" s="50"/>
      <c r="AT86" s="39"/>
      <c r="AU86" s="39"/>
      <c r="AV86" s="49"/>
      <c r="AW86" s="39"/>
      <c r="AX86" s="39">
        <v>10</v>
      </c>
      <c r="AY86" s="30">
        <f>(J86*10)/100</f>
        <v>0</v>
      </c>
      <c r="AZ86" s="42"/>
    </row>
    <row r="87" spans="1:52" ht="15.75" customHeight="1" x14ac:dyDescent="0.25">
      <c r="A87" s="46"/>
      <c r="B87" s="38"/>
      <c r="C87" s="39"/>
      <c r="D87" s="37"/>
      <c r="E87" s="42"/>
      <c r="F87" s="38"/>
      <c r="G87" s="39"/>
      <c r="H87" s="42"/>
      <c r="I87" s="42"/>
      <c r="J87" s="43">
        <v>0</v>
      </c>
      <c r="K87" s="43">
        <v>0</v>
      </c>
      <c r="L87" s="56">
        <v>0</v>
      </c>
      <c r="M87" s="56">
        <v>0</v>
      </c>
      <c r="N87" s="44" t="e">
        <f t="shared" si="0"/>
        <v>#DIV/0!</v>
      </c>
      <c r="O87" s="45">
        <f t="shared" si="1"/>
        <v>0</v>
      </c>
      <c r="P87" s="43"/>
      <c r="Q87" s="45">
        <f t="shared" si="2"/>
        <v>0</v>
      </c>
      <c r="R87" s="43">
        <v>0</v>
      </c>
      <c r="S87" s="30">
        <f t="shared" si="3"/>
        <v>0</v>
      </c>
      <c r="T87" s="30">
        <f t="shared" si="3"/>
        <v>0</v>
      </c>
      <c r="U87" s="30" t="e">
        <f>T87/X87</f>
        <v>#DIV/0!</v>
      </c>
      <c r="V87" s="43" t="e">
        <f>T87/X87</f>
        <v>#DIV/0!</v>
      </c>
      <c r="W87" s="43" t="e">
        <f t="shared" si="4"/>
        <v>#DIV/0!</v>
      </c>
      <c r="X87" s="43">
        <f t="shared" si="5"/>
        <v>0</v>
      </c>
      <c r="Y87" s="43">
        <v>0</v>
      </c>
      <c r="Z87" s="43">
        <v>0</v>
      </c>
      <c r="AA87" s="43">
        <v>0</v>
      </c>
      <c r="AB87" s="43"/>
      <c r="AC87" s="43" t="e">
        <f t="shared" si="6"/>
        <v>#DIV/0!</v>
      </c>
      <c r="AD87" s="43"/>
      <c r="AE87" s="43" t="e">
        <f t="shared" si="7"/>
        <v>#DIV/0!</v>
      </c>
      <c r="AF87" s="43" t="e">
        <f t="shared" si="8"/>
        <v>#DIV/0!</v>
      </c>
      <c r="AG87" s="43" t="e">
        <f t="shared" si="9"/>
        <v>#DIV/0!</v>
      </c>
      <c r="AH87" s="38"/>
      <c r="AI87" s="38"/>
      <c r="AJ87" s="38"/>
      <c r="AK87" s="38"/>
      <c r="AL87" s="38"/>
      <c r="AM87" s="48"/>
      <c r="AN87" s="42"/>
      <c r="AO87" s="42"/>
      <c r="AP87" s="42"/>
      <c r="AQ87" s="42"/>
      <c r="AR87" s="42"/>
      <c r="AS87" s="50"/>
      <c r="AT87" s="39"/>
      <c r="AU87" s="39"/>
      <c r="AV87" s="49"/>
      <c r="AW87" s="39"/>
      <c r="AX87" s="39">
        <v>10</v>
      </c>
      <c r="AY87" s="30">
        <f>(J87*10)/100</f>
        <v>0</v>
      </c>
      <c r="AZ87" s="42"/>
    </row>
    <row r="88" spans="1:52" ht="15.75" customHeight="1" x14ac:dyDescent="0.25">
      <c r="A88" s="46"/>
      <c r="B88" s="38"/>
      <c r="C88" s="39"/>
      <c r="D88" s="37"/>
      <c r="E88" s="42"/>
      <c r="F88" s="38"/>
      <c r="G88" s="39"/>
      <c r="H88" s="42"/>
      <c r="I88" s="42"/>
      <c r="J88" s="43">
        <v>0</v>
      </c>
      <c r="K88" s="43">
        <v>0</v>
      </c>
      <c r="L88" s="56">
        <v>0</v>
      </c>
      <c r="M88" s="56">
        <v>0</v>
      </c>
      <c r="N88" s="44" t="e">
        <f t="shared" si="0"/>
        <v>#DIV/0!</v>
      </c>
      <c r="O88" s="45">
        <f t="shared" si="1"/>
        <v>0</v>
      </c>
      <c r="P88" s="43"/>
      <c r="Q88" s="45">
        <f t="shared" si="2"/>
        <v>0</v>
      </c>
      <c r="R88" s="43">
        <v>0</v>
      </c>
      <c r="S88" s="30">
        <f t="shared" si="3"/>
        <v>0</v>
      </c>
      <c r="T88" s="30">
        <f t="shared" si="3"/>
        <v>0</v>
      </c>
      <c r="U88" s="30" t="e">
        <f>T88/X88</f>
        <v>#DIV/0!</v>
      </c>
      <c r="V88" s="43" t="e">
        <f>T88/X88</f>
        <v>#DIV/0!</v>
      </c>
      <c r="W88" s="43" t="e">
        <f t="shared" si="4"/>
        <v>#DIV/0!</v>
      </c>
      <c r="X88" s="43">
        <f t="shared" si="5"/>
        <v>0</v>
      </c>
      <c r="Y88" s="43">
        <v>0</v>
      </c>
      <c r="Z88" s="43">
        <v>0</v>
      </c>
      <c r="AA88" s="43">
        <v>0</v>
      </c>
      <c r="AB88" s="43"/>
      <c r="AC88" s="43" t="e">
        <f t="shared" si="6"/>
        <v>#DIV/0!</v>
      </c>
      <c r="AD88" s="43"/>
      <c r="AE88" s="43" t="e">
        <f t="shared" si="7"/>
        <v>#DIV/0!</v>
      </c>
      <c r="AF88" s="43" t="e">
        <f t="shared" si="8"/>
        <v>#DIV/0!</v>
      </c>
      <c r="AG88" s="43" t="e">
        <f t="shared" si="9"/>
        <v>#DIV/0!</v>
      </c>
      <c r="AH88" s="38"/>
      <c r="AI88" s="38"/>
      <c r="AJ88" s="38"/>
      <c r="AK88" s="38"/>
      <c r="AL88" s="38"/>
      <c r="AM88" s="48"/>
      <c r="AN88" s="42"/>
      <c r="AO88" s="42"/>
      <c r="AP88" s="42"/>
      <c r="AQ88" s="42"/>
      <c r="AR88" s="42"/>
      <c r="AS88" s="50"/>
      <c r="AT88" s="39"/>
      <c r="AU88" s="39"/>
      <c r="AV88" s="49"/>
      <c r="AW88" s="39"/>
      <c r="AX88" s="39">
        <v>10</v>
      </c>
      <c r="AY88" s="30">
        <f>(J88*10)/100</f>
        <v>0</v>
      </c>
      <c r="AZ88" s="42"/>
    </row>
    <row r="89" spans="1:52" ht="15.75" customHeight="1" x14ac:dyDescent="0.25">
      <c r="A89" s="46"/>
      <c r="B89" s="38"/>
      <c r="C89" s="39"/>
      <c r="D89" s="37"/>
      <c r="E89" s="42"/>
      <c r="F89" s="38"/>
      <c r="G89" s="39"/>
      <c r="H89" s="42"/>
      <c r="I89" s="42"/>
      <c r="J89" s="43">
        <v>0</v>
      </c>
      <c r="K89" s="43">
        <v>0</v>
      </c>
      <c r="L89" s="56">
        <v>0</v>
      </c>
      <c r="M89" s="56">
        <v>0</v>
      </c>
      <c r="N89" s="44" t="e">
        <f t="shared" si="0"/>
        <v>#DIV/0!</v>
      </c>
      <c r="O89" s="45">
        <f t="shared" si="1"/>
        <v>0</v>
      </c>
      <c r="P89" s="43"/>
      <c r="Q89" s="45">
        <f t="shared" si="2"/>
        <v>0</v>
      </c>
      <c r="R89" s="43">
        <v>0</v>
      </c>
      <c r="S89" s="30">
        <f t="shared" si="3"/>
        <v>0</v>
      </c>
      <c r="T89" s="30">
        <f t="shared" si="3"/>
        <v>0</v>
      </c>
      <c r="U89" s="30" t="e">
        <f>T89/X89</f>
        <v>#DIV/0!</v>
      </c>
      <c r="V89" s="43" t="e">
        <f>T89/X89</f>
        <v>#DIV/0!</v>
      </c>
      <c r="W89" s="43" t="e">
        <f t="shared" si="4"/>
        <v>#DIV/0!</v>
      </c>
      <c r="X89" s="43">
        <f t="shared" si="5"/>
        <v>0</v>
      </c>
      <c r="Y89" s="43">
        <v>0</v>
      </c>
      <c r="Z89" s="43">
        <v>0</v>
      </c>
      <c r="AA89" s="43">
        <v>0</v>
      </c>
      <c r="AB89" s="43"/>
      <c r="AC89" s="43" t="e">
        <f t="shared" si="6"/>
        <v>#DIV/0!</v>
      </c>
      <c r="AD89" s="43"/>
      <c r="AE89" s="43" t="e">
        <f t="shared" si="7"/>
        <v>#DIV/0!</v>
      </c>
      <c r="AF89" s="43" t="e">
        <f t="shared" si="8"/>
        <v>#DIV/0!</v>
      </c>
      <c r="AG89" s="43" t="e">
        <f t="shared" si="9"/>
        <v>#DIV/0!</v>
      </c>
      <c r="AH89" s="38"/>
      <c r="AI89" s="38"/>
      <c r="AJ89" s="38"/>
      <c r="AK89" s="38"/>
      <c r="AL89" s="38"/>
      <c r="AM89" s="48"/>
      <c r="AN89" s="42"/>
      <c r="AO89" s="42"/>
      <c r="AP89" s="42"/>
      <c r="AQ89" s="42"/>
      <c r="AR89" s="42"/>
      <c r="AS89" s="50"/>
      <c r="AT89" s="39"/>
      <c r="AU89" s="39"/>
      <c r="AV89" s="49"/>
      <c r="AW89" s="39"/>
      <c r="AX89" s="39">
        <v>10</v>
      </c>
      <c r="AY89" s="30">
        <f>(J89*10)/100</f>
        <v>0</v>
      </c>
      <c r="AZ89" s="42"/>
    </row>
    <row r="90" spans="1:52" ht="15.75" customHeight="1" x14ac:dyDescent="0.25">
      <c r="A90" s="46"/>
      <c r="B90" s="38"/>
      <c r="C90" s="39"/>
      <c r="D90" s="37"/>
      <c r="E90" s="42"/>
      <c r="F90" s="38"/>
      <c r="G90" s="39"/>
      <c r="H90" s="42"/>
      <c r="I90" s="42"/>
      <c r="J90" s="43">
        <v>0</v>
      </c>
      <c r="K90" s="43">
        <v>0</v>
      </c>
      <c r="L90" s="56">
        <v>0</v>
      </c>
      <c r="M90" s="56">
        <v>0</v>
      </c>
      <c r="N90" s="44" t="e">
        <f t="shared" si="0"/>
        <v>#DIV/0!</v>
      </c>
      <c r="O90" s="45">
        <f t="shared" si="1"/>
        <v>0</v>
      </c>
      <c r="P90" s="43"/>
      <c r="Q90" s="45">
        <f t="shared" si="2"/>
        <v>0</v>
      </c>
      <c r="R90" s="43">
        <v>0</v>
      </c>
      <c r="S90" s="30">
        <f t="shared" si="3"/>
        <v>0</v>
      </c>
      <c r="T90" s="30">
        <f t="shared" si="3"/>
        <v>0</v>
      </c>
      <c r="U90" s="30" t="e">
        <f>T90/X90</f>
        <v>#DIV/0!</v>
      </c>
      <c r="V90" s="43" t="e">
        <f>T90/X90</f>
        <v>#DIV/0!</v>
      </c>
      <c r="W90" s="43" t="e">
        <f t="shared" si="4"/>
        <v>#DIV/0!</v>
      </c>
      <c r="X90" s="43">
        <f t="shared" si="5"/>
        <v>0</v>
      </c>
      <c r="Y90" s="43">
        <v>0</v>
      </c>
      <c r="Z90" s="43">
        <v>0</v>
      </c>
      <c r="AA90" s="43">
        <v>0</v>
      </c>
      <c r="AB90" s="43"/>
      <c r="AC90" s="43" t="e">
        <f t="shared" si="6"/>
        <v>#DIV/0!</v>
      </c>
      <c r="AD90" s="43"/>
      <c r="AE90" s="43" t="e">
        <f t="shared" si="7"/>
        <v>#DIV/0!</v>
      </c>
      <c r="AF90" s="43" t="e">
        <f t="shared" si="8"/>
        <v>#DIV/0!</v>
      </c>
      <c r="AG90" s="43" t="e">
        <f t="shared" si="9"/>
        <v>#DIV/0!</v>
      </c>
      <c r="AH90" s="38"/>
      <c r="AI90" s="38"/>
      <c r="AJ90" s="38"/>
      <c r="AK90" s="38"/>
      <c r="AL90" s="38"/>
      <c r="AM90" s="48"/>
      <c r="AN90" s="42"/>
      <c r="AO90" s="42"/>
      <c r="AP90" s="42"/>
      <c r="AQ90" s="42"/>
      <c r="AR90" s="42"/>
      <c r="AS90" s="50"/>
      <c r="AT90" s="39"/>
      <c r="AU90" s="39"/>
      <c r="AV90" s="49"/>
      <c r="AW90" s="39"/>
      <c r="AX90" s="39">
        <v>10</v>
      </c>
      <c r="AY90" s="30">
        <f>(J90*10)/100</f>
        <v>0</v>
      </c>
      <c r="AZ90" s="42"/>
    </row>
    <row r="91" spans="1:52" ht="15.75" customHeight="1" x14ac:dyDescent="0.25">
      <c r="A91" s="46"/>
      <c r="B91" s="38"/>
      <c r="C91" s="39"/>
      <c r="D91" s="37"/>
      <c r="E91" s="42"/>
      <c r="F91" s="38"/>
      <c r="G91" s="39"/>
      <c r="H91" s="42"/>
      <c r="I91" s="42"/>
      <c r="J91" s="43">
        <v>0</v>
      </c>
      <c r="K91" s="43">
        <v>0</v>
      </c>
      <c r="L91" s="56">
        <v>0</v>
      </c>
      <c r="M91" s="56">
        <v>0</v>
      </c>
      <c r="N91" s="44" t="e">
        <f t="shared" si="0"/>
        <v>#DIV/0!</v>
      </c>
      <c r="O91" s="45">
        <f t="shared" si="1"/>
        <v>0</v>
      </c>
      <c r="P91" s="43"/>
      <c r="Q91" s="45">
        <f t="shared" si="2"/>
        <v>0</v>
      </c>
      <c r="R91" s="43">
        <v>0</v>
      </c>
      <c r="S91" s="30">
        <f t="shared" si="3"/>
        <v>0</v>
      </c>
      <c r="T91" s="30">
        <f t="shared" si="3"/>
        <v>0</v>
      </c>
      <c r="U91" s="30" t="e">
        <f>T91/X91</f>
        <v>#DIV/0!</v>
      </c>
      <c r="V91" s="43" t="e">
        <f>T91/X91</f>
        <v>#DIV/0!</v>
      </c>
      <c r="W91" s="43" t="e">
        <f t="shared" si="4"/>
        <v>#DIV/0!</v>
      </c>
      <c r="X91" s="43">
        <f t="shared" si="5"/>
        <v>0</v>
      </c>
      <c r="Y91" s="43">
        <v>0</v>
      </c>
      <c r="Z91" s="43">
        <v>0</v>
      </c>
      <c r="AA91" s="43">
        <v>0</v>
      </c>
      <c r="AB91" s="43"/>
      <c r="AC91" s="43" t="e">
        <f t="shared" si="6"/>
        <v>#DIV/0!</v>
      </c>
      <c r="AD91" s="43"/>
      <c r="AE91" s="43" t="e">
        <f t="shared" si="7"/>
        <v>#DIV/0!</v>
      </c>
      <c r="AF91" s="43" t="e">
        <f t="shared" si="8"/>
        <v>#DIV/0!</v>
      </c>
      <c r="AG91" s="43" t="e">
        <f t="shared" si="9"/>
        <v>#DIV/0!</v>
      </c>
      <c r="AH91" s="38"/>
      <c r="AI91" s="38"/>
      <c r="AJ91" s="38"/>
      <c r="AK91" s="38"/>
      <c r="AL91" s="38"/>
      <c r="AM91" s="48"/>
      <c r="AN91" s="42"/>
      <c r="AO91" s="42"/>
      <c r="AP91" s="42"/>
      <c r="AQ91" s="42"/>
      <c r="AR91" s="42"/>
      <c r="AS91" s="50"/>
      <c r="AT91" s="39"/>
      <c r="AU91" s="39"/>
      <c r="AV91" s="49"/>
      <c r="AW91" s="39"/>
      <c r="AX91" s="39">
        <v>10</v>
      </c>
      <c r="AY91" s="30">
        <f>(J91*10)/100</f>
        <v>0</v>
      </c>
      <c r="AZ91" s="42"/>
    </row>
    <row r="92" spans="1:52" ht="15.75" customHeight="1" x14ac:dyDescent="0.25">
      <c r="A92" s="46"/>
      <c r="B92" s="38"/>
      <c r="C92" s="39"/>
      <c r="D92" s="37"/>
      <c r="E92" s="42"/>
      <c r="F92" s="38"/>
      <c r="G92" s="39"/>
      <c r="H92" s="42"/>
      <c r="I92" s="42"/>
      <c r="J92" s="43">
        <v>0</v>
      </c>
      <c r="K92" s="43">
        <v>0</v>
      </c>
      <c r="L92" s="56">
        <v>0</v>
      </c>
      <c r="M92" s="56">
        <v>0</v>
      </c>
      <c r="N92" s="44" t="e">
        <f t="shared" si="0"/>
        <v>#DIV/0!</v>
      </c>
      <c r="O92" s="45">
        <f t="shared" si="1"/>
        <v>0</v>
      </c>
      <c r="P92" s="43"/>
      <c r="Q92" s="45">
        <f t="shared" si="2"/>
        <v>0</v>
      </c>
      <c r="R92" s="43">
        <v>0</v>
      </c>
      <c r="S92" s="30">
        <f t="shared" si="3"/>
        <v>0</v>
      </c>
      <c r="T92" s="30">
        <f t="shared" si="3"/>
        <v>0</v>
      </c>
      <c r="U92" s="30" t="e">
        <f>T92/X92</f>
        <v>#DIV/0!</v>
      </c>
      <c r="V92" s="43" t="e">
        <f>T92/X92</f>
        <v>#DIV/0!</v>
      </c>
      <c r="W92" s="43" t="e">
        <f t="shared" si="4"/>
        <v>#DIV/0!</v>
      </c>
      <c r="X92" s="43">
        <f t="shared" si="5"/>
        <v>0</v>
      </c>
      <c r="Y92" s="43">
        <v>0</v>
      </c>
      <c r="Z92" s="43">
        <v>0</v>
      </c>
      <c r="AA92" s="43">
        <v>0</v>
      </c>
      <c r="AB92" s="43"/>
      <c r="AC92" s="43" t="e">
        <f t="shared" si="6"/>
        <v>#DIV/0!</v>
      </c>
      <c r="AD92" s="43"/>
      <c r="AE92" s="43" t="e">
        <f t="shared" si="7"/>
        <v>#DIV/0!</v>
      </c>
      <c r="AF92" s="43" t="e">
        <f t="shared" si="8"/>
        <v>#DIV/0!</v>
      </c>
      <c r="AG92" s="43" t="e">
        <f t="shared" si="9"/>
        <v>#DIV/0!</v>
      </c>
      <c r="AH92" s="38"/>
      <c r="AI92" s="38"/>
      <c r="AJ92" s="38"/>
      <c r="AK92" s="38"/>
      <c r="AL92" s="38"/>
      <c r="AM92" s="48"/>
      <c r="AN92" s="42"/>
      <c r="AO92" s="42"/>
      <c r="AP92" s="42"/>
      <c r="AQ92" s="42"/>
      <c r="AR92" s="42"/>
      <c r="AS92" s="50"/>
      <c r="AT92" s="39"/>
      <c r="AU92" s="39"/>
      <c r="AV92" s="49"/>
      <c r="AW92" s="39"/>
      <c r="AX92" s="39">
        <v>10</v>
      </c>
      <c r="AY92" s="30">
        <f>(J92*10)/100</f>
        <v>0</v>
      </c>
      <c r="AZ92" s="42"/>
    </row>
    <row r="93" spans="1:52" ht="15.75" customHeight="1" x14ac:dyDescent="0.25">
      <c r="A93" s="46"/>
      <c r="B93" s="38"/>
      <c r="C93" s="39"/>
      <c r="D93" s="37"/>
      <c r="E93" s="42"/>
      <c r="F93" s="38"/>
      <c r="G93" s="39"/>
      <c r="H93" s="42"/>
      <c r="I93" s="42"/>
      <c r="J93" s="43">
        <v>0</v>
      </c>
      <c r="K93" s="43">
        <v>0</v>
      </c>
      <c r="L93" s="56">
        <v>0</v>
      </c>
      <c r="M93" s="56">
        <v>0</v>
      </c>
      <c r="N93" s="44" t="e">
        <f t="shared" si="0"/>
        <v>#DIV/0!</v>
      </c>
      <c r="O93" s="45">
        <f t="shared" si="1"/>
        <v>0</v>
      </c>
      <c r="P93" s="43"/>
      <c r="Q93" s="45">
        <f t="shared" si="2"/>
        <v>0</v>
      </c>
      <c r="R93" s="43">
        <v>0</v>
      </c>
      <c r="S93" s="30">
        <f t="shared" si="3"/>
        <v>0</v>
      </c>
      <c r="T93" s="30">
        <f t="shared" si="3"/>
        <v>0</v>
      </c>
      <c r="U93" s="30" t="e">
        <f>T93/X93</f>
        <v>#DIV/0!</v>
      </c>
      <c r="V93" s="43" t="e">
        <f>T93/X93</f>
        <v>#DIV/0!</v>
      </c>
      <c r="W93" s="43" t="e">
        <f t="shared" si="4"/>
        <v>#DIV/0!</v>
      </c>
      <c r="X93" s="43">
        <f t="shared" si="5"/>
        <v>0</v>
      </c>
      <c r="Y93" s="43">
        <v>0</v>
      </c>
      <c r="Z93" s="43">
        <v>0</v>
      </c>
      <c r="AA93" s="43">
        <v>0</v>
      </c>
      <c r="AB93" s="43"/>
      <c r="AC93" s="43" t="e">
        <f t="shared" si="6"/>
        <v>#DIV/0!</v>
      </c>
      <c r="AD93" s="43"/>
      <c r="AE93" s="43" t="e">
        <f t="shared" si="7"/>
        <v>#DIV/0!</v>
      </c>
      <c r="AF93" s="43" t="e">
        <f t="shared" si="8"/>
        <v>#DIV/0!</v>
      </c>
      <c r="AG93" s="43" t="e">
        <f t="shared" si="9"/>
        <v>#DIV/0!</v>
      </c>
      <c r="AH93" s="38"/>
      <c r="AI93" s="38"/>
      <c r="AJ93" s="38"/>
      <c r="AK93" s="38"/>
      <c r="AL93" s="38"/>
      <c r="AM93" s="48"/>
      <c r="AN93" s="42"/>
      <c r="AO93" s="42"/>
      <c r="AP93" s="42"/>
      <c r="AQ93" s="42"/>
      <c r="AR93" s="42"/>
      <c r="AS93" s="50"/>
      <c r="AT93" s="39"/>
      <c r="AU93" s="39"/>
      <c r="AV93" s="49"/>
      <c r="AW93" s="39"/>
      <c r="AX93" s="39">
        <v>10</v>
      </c>
      <c r="AY93" s="30">
        <f>(J93*10)/100</f>
        <v>0</v>
      </c>
      <c r="AZ93" s="42"/>
    </row>
    <row r="94" spans="1:52" ht="15.75" customHeight="1" x14ac:dyDescent="0.25">
      <c r="A94" s="46"/>
      <c r="B94" s="38"/>
      <c r="C94" s="39"/>
      <c r="D94" s="37"/>
      <c r="E94" s="42"/>
      <c r="F94" s="38"/>
      <c r="G94" s="39"/>
      <c r="H94" s="42"/>
      <c r="I94" s="42"/>
      <c r="J94" s="43">
        <v>0</v>
      </c>
      <c r="K94" s="43">
        <v>0</v>
      </c>
      <c r="L94" s="56">
        <v>0</v>
      </c>
      <c r="M94" s="56">
        <v>0</v>
      </c>
      <c r="N94" s="44" t="e">
        <f t="shared" si="0"/>
        <v>#DIV/0!</v>
      </c>
      <c r="O94" s="45">
        <f t="shared" si="1"/>
        <v>0</v>
      </c>
      <c r="P94" s="43"/>
      <c r="Q94" s="45">
        <f t="shared" si="2"/>
        <v>0</v>
      </c>
      <c r="R94" s="43">
        <v>0</v>
      </c>
      <c r="S94" s="30">
        <f t="shared" si="3"/>
        <v>0</v>
      </c>
      <c r="T94" s="30">
        <f t="shared" si="3"/>
        <v>0</v>
      </c>
      <c r="U94" s="30" t="e">
        <f>T94/X94</f>
        <v>#DIV/0!</v>
      </c>
      <c r="V94" s="43" t="e">
        <f>T94/X94</f>
        <v>#DIV/0!</v>
      </c>
      <c r="W94" s="43" t="e">
        <f t="shared" si="4"/>
        <v>#DIV/0!</v>
      </c>
      <c r="X94" s="43">
        <f t="shared" si="5"/>
        <v>0</v>
      </c>
      <c r="Y94" s="43">
        <v>0</v>
      </c>
      <c r="Z94" s="43">
        <v>0</v>
      </c>
      <c r="AA94" s="43">
        <v>0</v>
      </c>
      <c r="AB94" s="43"/>
      <c r="AC94" s="43" t="e">
        <f t="shared" si="6"/>
        <v>#DIV/0!</v>
      </c>
      <c r="AD94" s="43"/>
      <c r="AE94" s="43" t="e">
        <f t="shared" si="7"/>
        <v>#DIV/0!</v>
      </c>
      <c r="AF94" s="43" t="e">
        <f t="shared" si="8"/>
        <v>#DIV/0!</v>
      </c>
      <c r="AG94" s="43" t="e">
        <f t="shared" si="9"/>
        <v>#DIV/0!</v>
      </c>
      <c r="AH94" s="38"/>
      <c r="AI94" s="38"/>
      <c r="AJ94" s="38"/>
      <c r="AK94" s="38"/>
      <c r="AL94" s="38"/>
      <c r="AM94" s="48"/>
      <c r="AN94" s="42"/>
      <c r="AO94" s="42"/>
      <c r="AP94" s="42"/>
      <c r="AQ94" s="42"/>
      <c r="AR94" s="42"/>
      <c r="AS94" s="50"/>
      <c r="AT94" s="39"/>
      <c r="AU94" s="39"/>
      <c r="AV94" s="49"/>
      <c r="AW94" s="39"/>
      <c r="AX94" s="39">
        <v>10</v>
      </c>
      <c r="AY94" s="30">
        <f>(J94*10)/100</f>
        <v>0</v>
      </c>
      <c r="AZ94" s="42"/>
    </row>
    <row r="95" spans="1:52" ht="15.75" customHeight="1" x14ac:dyDescent="0.25">
      <c r="A95" s="46"/>
      <c r="B95" s="38"/>
      <c r="C95" s="39"/>
      <c r="D95" s="37"/>
      <c r="E95" s="42"/>
      <c r="F95" s="38"/>
      <c r="G95" s="39"/>
      <c r="H95" s="42"/>
      <c r="I95" s="42"/>
      <c r="J95" s="43">
        <v>0</v>
      </c>
      <c r="K95" s="43">
        <v>0</v>
      </c>
      <c r="L95" s="56">
        <v>0</v>
      </c>
      <c r="M95" s="56">
        <v>0</v>
      </c>
      <c r="N95" s="44" t="e">
        <f t="shared" si="0"/>
        <v>#DIV/0!</v>
      </c>
      <c r="O95" s="45">
        <f t="shared" si="1"/>
        <v>0</v>
      </c>
      <c r="P95" s="43"/>
      <c r="Q95" s="45">
        <f t="shared" si="2"/>
        <v>0</v>
      </c>
      <c r="R95" s="43">
        <v>0</v>
      </c>
      <c r="S95" s="30">
        <f t="shared" si="3"/>
        <v>0</v>
      </c>
      <c r="T95" s="30">
        <f t="shared" si="3"/>
        <v>0</v>
      </c>
      <c r="U95" s="30" t="e">
        <f>T95/X95</f>
        <v>#DIV/0!</v>
      </c>
      <c r="V95" s="43" t="e">
        <f>T95/X95</f>
        <v>#DIV/0!</v>
      </c>
      <c r="W95" s="43" t="e">
        <f t="shared" si="4"/>
        <v>#DIV/0!</v>
      </c>
      <c r="X95" s="43">
        <f t="shared" si="5"/>
        <v>0</v>
      </c>
      <c r="Y95" s="43">
        <v>0</v>
      </c>
      <c r="Z95" s="43">
        <v>0</v>
      </c>
      <c r="AA95" s="43">
        <v>0</v>
      </c>
      <c r="AB95" s="43"/>
      <c r="AC95" s="43" t="e">
        <f t="shared" si="6"/>
        <v>#DIV/0!</v>
      </c>
      <c r="AD95" s="43"/>
      <c r="AE95" s="43" t="e">
        <f t="shared" si="7"/>
        <v>#DIV/0!</v>
      </c>
      <c r="AF95" s="43" t="e">
        <f t="shared" si="8"/>
        <v>#DIV/0!</v>
      </c>
      <c r="AG95" s="43" t="e">
        <f t="shared" si="9"/>
        <v>#DIV/0!</v>
      </c>
      <c r="AH95" s="38"/>
      <c r="AI95" s="38"/>
      <c r="AJ95" s="38"/>
      <c r="AK95" s="38"/>
      <c r="AL95" s="38"/>
      <c r="AM95" s="48"/>
      <c r="AN95" s="42"/>
      <c r="AO95" s="42"/>
      <c r="AP95" s="42"/>
      <c r="AQ95" s="42"/>
      <c r="AR95" s="42"/>
      <c r="AS95" s="50"/>
      <c r="AT95" s="39"/>
      <c r="AU95" s="39"/>
      <c r="AV95" s="49"/>
      <c r="AW95" s="39"/>
      <c r="AX95" s="39">
        <v>10</v>
      </c>
      <c r="AY95" s="30">
        <f>(J95*10)/100</f>
        <v>0</v>
      </c>
      <c r="AZ95" s="42"/>
    </row>
    <row r="96" spans="1:52" x14ac:dyDescent="0.25">
      <c r="AE96" s="43">
        <f t="shared" si="7"/>
        <v>0</v>
      </c>
    </row>
    <row r="97" spans="31:31" x14ac:dyDescent="0.25">
      <c r="AE97" s="43">
        <f t="shared" si="7"/>
        <v>0</v>
      </c>
    </row>
    <row r="98" spans="31:31" x14ac:dyDescent="0.25">
      <c r="AE98" s="43">
        <f t="shared" si="7"/>
        <v>0</v>
      </c>
    </row>
    <row r="99" spans="31:31" x14ac:dyDescent="0.25">
      <c r="AE99" s="43">
        <f t="shared" si="7"/>
        <v>0</v>
      </c>
    </row>
    <row r="100" spans="31:31" x14ac:dyDescent="0.25">
      <c r="AE100" s="43">
        <f t="shared" si="7"/>
        <v>0</v>
      </c>
    </row>
    <row r="101" spans="31:31" x14ac:dyDescent="0.25">
      <c r="AE101" s="43">
        <f t="shared" si="7"/>
        <v>0</v>
      </c>
    </row>
    <row r="102" spans="31:31" x14ac:dyDescent="0.25">
      <c r="AE102" s="43">
        <f t="shared" si="7"/>
        <v>0</v>
      </c>
    </row>
    <row r="103" spans="31:31" x14ac:dyDescent="0.25">
      <c r="AE103" s="43">
        <f t="shared" si="7"/>
        <v>0</v>
      </c>
    </row>
    <row r="104" spans="31:31" x14ac:dyDescent="0.25">
      <c r="AE104" s="43">
        <f t="shared" si="7"/>
        <v>0</v>
      </c>
    </row>
    <row r="105" spans="31:31" x14ac:dyDescent="0.25">
      <c r="AE105" s="43">
        <f t="shared" si="7"/>
        <v>0</v>
      </c>
    </row>
    <row r="106" spans="31:31" x14ac:dyDescent="0.25">
      <c r="AE106" s="43">
        <f t="shared" si="7"/>
        <v>0</v>
      </c>
    </row>
    <row r="107" spans="31:31" x14ac:dyDescent="0.25">
      <c r="AE107" s="43">
        <f t="shared" si="7"/>
        <v>0</v>
      </c>
    </row>
    <row r="108" spans="31:31" x14ac:dyDescent="0.25">
      <c r="AE108" s="43">
        <f t="shared" si="7"/>
        <v>0</v>
      </c>
    </row>
    <row r="109" spans="31:31" x14ac:dyDescent="0.25">
      <c r="AE109" s="43">
        <f t="shared" si="7"/>
        <v>0</v>
      </c>
    </row>
    <row r="110" spans="31:31" x14ac:dyDescent="0.25">
      <c r="AE110" s="43">
        <f t="shared" si="7"/>
        <v>0</v>
      </c>
    </row>
    <row r="111" spans="31:31" x14ac:dyDescent="0.25">
      <c r="AE111" s="43">
        <f t="shared" si="7"/>
        <v>0</v>
      </c>
    </row>
    <row r="112" spans="31:31" x14ac:dyDescent="0.25">
      <c r="AE112" s="43">
        <f t="shared" si="7"/>
        <v>0</v>
      </c>
    </row>
    <row r="113" spans="31:31" x14ac:dyDescent="0.25">
      <c r="AE113" s="43">
        <f t="shared" si="7"/>
        <v>0</v>
      </c>
    </row>
    <row r="114" spans="31:31" x14ac:dyDescent="0.25">
      <c r="AE114" s="43">
        <f t="shared" si="7"/>
        <v>0</v>
      </c>
    </row>
    <row r="115" spans="31:31" x14ac:dyDescent="0.25">
      <c r="AE115" s="43">
        <f t="shared" si="7"/>
        <v>0</v>
      </c>
    </row>
    <row r="116" spans="31:31" x14ac:dyDescent="0.25">
      <c r="AE116" s="43">
        <f t="shared" si="7"/>
        <v>0</v>
      </c>
    </row>
    <row r="117" spans="31:31" x14ac:dyDescent="0.25">
      <c r="AE117" s="43">
        <f t="shared" si="7"/>
        <v>0</v>
      </c>
    </row>
    <row r="118" spans="31:31" x14ac:dyDescent="0.25">
      <c r="AE118" s="43">
        <f t="shared" si="7"/>
        <v>0</v>
      </c>
    </row>
    <row r="119" spans="31:31" x14ac:dyDescent="0.25">
      <c r="AE119" s="43">
        <f t="shared" si="7"/>
        <v>0</v>
      </c>
    </row>
    <row r="120" spans="31:31" x14ac:dyDescent="0.25">
      <c r="AE120" s="43">
        <f t="shared" si="7"/>
        <v>0</v>
      </c>
    </row>
    <row r="121" spans="31:31" x14ac:dyDescent="0.25">
      <c r="AE121" s="43">
        <f t="shared" si="7"/>
        <v>0</v>
      </c>
    </row>
    <row r="122" spans="31:31" x14ac:dyDescent="0.25">
      <c r="AE122" s="43">
        <f t="shared" si="7"/>
        <v>0</v>
      </c>
    </row>
    <row r="123" spans="31:31" x14ac:dyDescent="0.25">
      <c r="AE123" s="43">
        <f t="shared" si="7"/>
        <v>0</v>
      </c>
    </row>
    <row r="124" spans="31:31" x14ac:dyDescent="0.25">
      <c r="AE124" s="43">
        <f t="shared" si="7"/>
        <v>0</v>
      </c>
    </row>
    <row r="125" spans="31:31" x14ac:dyDescent="0.25">
      <c r="AE125" s="43">
        <f t="shared" si="7"/>
        <v>0</v>
      </c>
    </row>
    <row r="126" spans="31:31" x14ac:dyDescent="0.25">
      <c r="AE126" s="43">
        <f t="shared" si="7"/>
        <v>0</v>
      </c>
    </row>
    <row r="127" spans="31:31" x14ac:dyDescent="0.25">
      <c r="AE127" s="43">
        <f t="shared" si="7"/>
        <v>0</v>
      </c>
    </row>
    <row r="128" spans="31:31" x14ac:dyDescent="0.25">
      <c r="AE128" s="43">
        <f t="shared" si="7"/>
        <v>0</v>
      </c>
    </row>
    <row r="129" spans="31:31" x14ac:dyDescent="0.25">
      <c r="AE129" s="43">
        <f t="shared" si="7"/>
        <v>0</v>
      </c>
    </row>
    <row r="130" spans="31:31" x14ac:dyDescent="0.25">
      <c r="AE130" s="43">
        <f t="shared" si="7"/>
        <v>0</v>
      </c>
    </row>
    <row r="131" spans="31:31" x14ac:dyDescent="0.25">
      <c r="AE131" s="43">
        <f t="shared" ref="AE131:AE194" si="10">AD131*V131</f>
        <v>0</v>
      </c>
    </row>
    <row r="132" spans="31:31" x14ac:dyDescent="0.25">
      <c r="AE132" s="43">
        <f t="shared" si="10"/>
        <v>0</v>
      </c>
    </row>
    <row r="133" spans="31:31" x14ac:dyDescent="0.25">
      <c r="AE133" s="43">
        <f t="shared" si="10"/>
        <v>0</v>
      </c>
    </row>
    <row r="134" spans="31:31" x14ac:dyDescent="0.25">
      <c r="AE134" s="43">
        <f t="shared" si="10"/>
        <v>0</v>
      </c>
    </row>
    <row r="135" spans="31:31" x14ac:dyDescent="0.25">
      <c r="AE135" s="43">
        <f t="shared" si="10"/>
        <v>0</v>
      </c>
    </row>
    <row r="136" spans="31:31" x14ac:dyDescent="0.25">
      <c r="AE136" s="43">
        <f t="shared" si="10"/>
        <v>0</v>
      </c>
    </row>
    <row r="137" spans="31:31" x14ac:dyDescent="0.25">
      <c r="AE137" s="43">
        <f t="shared" si="10"/>
        <v>0</v>
      </c>
    </row>
    <row r="138" spans="31:31" x14ac:dyDescent="0.25">
      <c r="AE138" s="43">
        <f t="shared" si="10"/>
        <v>0</v>
      </c>
    </row>
    <row r="139" spans="31:31" x14ac:dyDescent="0.25">
      <c r="AE139" s="43">
        <f t="shared" si="10"/>
        <v>0</v>
      </c>
    </row>
    <row r="140" spans="31:31" x14ac:dyDescent="0.25">
      <c r="AE140" s="43">
        <f t="shared" si="10"/>
        <v>0</v>
      </c>
    </row>
    <row r="141" spans="31:31" x14ac:dyDescent="0.25">
      <c r="AE141" s="43">
        <f t="shared" si="10"/>
        <v>0</v>
      </c>
    </row>
    <row r="142" spans="31:31" x14ac:dyDescent="0.25">
      <c r="AE142" s="43">
        <f t="shared" si="10"/>
        <v>0</v>
      </c>
    </row>
    <row r="143" spans="31:31" x14ac:dyDescent="0.25">
      <c r="AE143" s="43">
        <f t="shared" si="10"/>
        <v>0</v>
      </c>
    </row>
    <row r="144" spans="31:31" x14ac:dyDescent="0.25">
      <c r="AE144" s="43">
        <f t="shared" si="10"/>
        <v>0</v>
      </c>
    </row>
    <row r="145" spans="31:31" x14ac:dyDescent="0.25">
      <c r="AE145" s="43">
        <f t="shared" si="10"/>
        <v>0</v>
      </c>
    </row>
    <row r="146" spans="31:31" x14ac:dyDescent="0.25">
      <c r="AE146" s="43">
        <f t="shared" si="10"/>
        <v>0</v>
      </c>
    </row>
    <row r="147" spans="31:31" x14ac:dyDescent="0.25">
      <c r="AE147" s="43">
        <f t="shared" si="10"/>
        <v>0</v>
      </c>
    </row>
    <row r="148" spans="31:31" x14ac:dyDescent="0.25">
      <c r="AE148" s="43">
        <f t="shared" si="10"/>
        <v>0</v>
      </c>
    </row>
    <row r="149" spans="31:31" x14ac:dyDescent="0.25">
      <c r="AE149" s="43">
        <f t="shared" si="10"/>
        <v>0</v>
      </c>
    </row>
    <row r="150" spans="31:31" x14ac:dyDescent="0.25">
      <c r="AE150" s="43">
        <f t="shared" si="10"/>
        <v>0</v>
      </c>
    </row>
    <row r="151" spans="31:31" x14ac:dyDescent="0.25">
      <c r="AE151" s="43">
        <f t="shared" si="10"/>
        <v>0</v>
      </c>
    </row>
    <row r="152" spans="31:31" x14ac:dyDescent="0.25">
      <c r="AE152" s="43">
        <f t="shared" si="10"/>
        <v>0</v>
      </c>
    </row>
    <row r="153" spans="31:31" x14ac:dyDescent="0.25">
      <c r="AE153" s="43">
        <f t="shared" si="10"/>
        <v>0</v>
      </c>
    </row>
    <row r="154" spans="31:31" x14ac:dyDescent="0.25">
      <c r="AE154" s="43">
        <f t="shared" si="10"/>
        <v>0</v>
      </c>
    </row>
    <row r="155" spans="31:31" x14ac:dyDescent="0.25">
      <c r="AE155" s="43">
        <f t="shared" si="10"/>
        <v>0</v>
      </c>
    </row>
    <row r="156" spans="31:31" x14ac:dyDescent="0.25">
      <c r="AE156" s="43">
        <f t="shared" si="10"/>
        <v>0</v>
      </c>
    </row>
    <row r="157" spans="31:31" x14ac:dyDescent="0.25">
      <c r="AE157" s="43">
        <f t="shared" si="10"/>
        <v>0</v>
      </c>
    </row>
    <row r="158" spans="31:31" x14ac:dyDescent="0.25">
      <c r="AE158" s="43">
        <f t="shared" si="10"/>
        <v>0</v>
      </c>
    </row>
    <row r="159" spans="31:31" x14ac:dyDescent="0.25">
      <c r="AE159" s="43">
        <f t="shared" si="10"/>
        <v>0</v>
      </c>
    </row>
    <row r="160" spans="31:31" x14ac:dyDescent="0.25">
      <c r="AE160" s="43">
        <f t="shared" si="10"/>
        <v>0</v>
      </c>
    </row>
    <row r="161" spans="31:31" x14ac:dyDescent="0.25">
      <c r="AE161" s="43">
        <f t="shared" si="10"/>
        <v>0</v>
      </c>
    </row>
    <row r="162" spans="31:31" x14ac:dyDescent="0.25">
      <c r="AE162" s="43">
        <f t="shared" si="10"/>
        <v>0</v>
      </c>
    </row>
    <row r="163" spans="31:31" x14ac:dyDescent="0.25">
      <c r="AE163" s="43">
        <f t="shared" si="10"/>
        <v>0</v>
      </c>
    </row>
    <row r="164" spans="31:31" x14ac:dyDescent="0.25">
      <c r="AE164" s="43">
        <f t="shared" si="10"/>
        <v>0</v>
      </c>
    </row>
    <row r="165" spans="31:31" x14ac:dyDescent="0.25">
      <c r="AE165" s="43">
        <f t="shared" si="10"/>
        <v>0</v>
      </c>
    </row>
    <row r="166" spans="31:31" x14ac:dyDescent="0.25">
      <c r="AE166" s="43">
        <f t="shared" si="10"/>
        <v>0</v>
      </c>
    </row>
    <row r="167" spans="31:31" x14ac:dyDescent="0.25">
      <c r="AE167" s="43">
        <f t="shared" si="10"/>
        <v>0</v>
      </c>
    </row>
    <row r="168" spans="31:31" x14ac:dyDescent="0.25">
      <c r="AE168" s="43">
        <f t="shared" si="10"/>
        <v>0</v>
      </c>
    </row>
    <row r="169" spans="31:31" x14ac:dyDescent="0.25">
      <c r="AE169" s="43">
        <f t="shared" si="10"/>
        <v>0</v>
      </c>
    </row>
    <row r="170" spans="31:31" x14ac:dyDescent="0.25">
      <c r="AE170" s="43">
        <f t="shared" si="10"/>
        <v>0</v>
      </c>
    </row>
    <row r="171" spans="31:31" x14ac:dyDescent="0.25">
      <c r="AE171" s="43">
        <f t="shared" si="10"/>
        <v>0</v>
      </c>
    </row>
    <row r="172" spans="31:31" x14ac:dyDescent="0.25">
      <c r="AE172" s="43">
        <f t="shared" si="10"/>
        <v>0</v>
      </c>
    </row>
    <row r="173" spans="31:31" x14ac:dyDescent="0.25">
      <c r="AE173" s="43">
        <f t="shared" si="10"/>
        <v>0</v>
      </c>
    </row>
    <row r="174" spans="31:31" x14ac:dyDescent="0.25">
      <c r="AE174" s="43">
        <f t="shared" si="10"/>
        <v>0</v>
      </c>
    </row>
    <row r="175" spans="31:31" x14ac:dyDescent="0.25">
      <c r="AE175" s="43">
        <f t="shared" si="10"/>
        <v>0</v>
      </c>
    </row>
    <row r="176" spans="31:31" x14ac:dyDescent="0.25">
      <c r="AE176" s="43">
        <f t="shared" si="10"/>
        <v>0</v>
      </c>
    </row>
    <row r="177" spans="31:31" x14ac:dyDescent="0.25">
      <c r="AE177" s="43">
        <f t="shared" si="10"/>
        <v>0</v>
      </c>
    </row>
    <row r="178" spans="31:31" x14ac:dyDescent="0.25">
      <c r="AE178" s="43">
        <f t="shared" si="10"/>
        <v>0</v>
      </c>
    </row>
    <row r="179" spans="31:31" x14ac:dyDescent="0.25">
      <c r="AE179" s="43">
        <f t="shared" si="10"/>
        <v>0</v>
      </c>
    </row>
    <row r="180" spans="31:31" x14ac:dyDescent="0.25">
      <c r="AE180" s="43">
        <f t="shared" si="10"/>
        <v>0</v>
      </c>
    </row>
    <row r="181" spans="31:31" x14ac:dyDescent="0.25">
      <c r="AE181" s="43">
        <f t="shared" si="10"/>
        <v>0</v>
      </c>
    </row>
    <row r="182" spans="31:31" x14ac:dyDescent="0.25">
      <c r="AE182" s="43">
        <f t="shared" si="10"/>
        <v>0</v>
      </c>
    </row>
    <row r="183" spans="31:31" x14ac:dyDescent="0.25">
      <c r="AE183" s="43">
        <f t="shared" si="10"/>
        <v>0</v>
      </c>
    </row>
    <row r="184" spans="31:31" x14ac:dyDescent="0.25">
      <c r="AE184" s="43">
        <f t="shared" si="10"/>
        <v>0</v>
      </c>
    </row>
    <row r="185" spans="31:31" x14ac:dyDescent="0.25">
      <c r="AE185" s="43">
        <f t="shared" si="10"/>
        <v>0</v>
      </c>
    </row>
  </sheetData>
  <autoFilter ref="A2:AZ95" xr:uid="{00000000-0009-0000-0000-000002000000}"/>
  <mergeCells count="24">
    <mergeCell ref="AR1:AR2"/>
    <mergeCell ref="AS1:AS2"/>
    <mergeCell ref="AT1:AT2"/>
    <mergeCell ref="AU1:AU2"/>
    <mergeCell ref="AV1:AV2"/>
    <mergeCell ref="AZ1:AZ2"/>
    <mergeCell ref="U1:U2"/>
    <mergeCell ref="V1:V2"/>
    <mergeCell ref="W1:W2"/>
    <mergeCell ref="AO1:AO2"/>
    <mergeCell ref="AP1:AP2"/>
    <mergeCell ref="AQ1:AQ2"/>
    <mergeCell ref="O1:O2"/>
    <mergeCell ref="P1:P2"/>
    <mergeCell ref="Q1:Q2"/>
    <mergeCell ref="R1:R2"/>
    <mergeCell ref="S1:S2"/>
    <mergeCell ref="T1:T2"/>
    <mergeCell ref="A1:A2"/>
    <mergeCell ref="B1:B2"/>
    <mergeCell ref="C1:C2"/>
    <mergeCell ref="I1:I2"/>
    <mergeCell ref="J1:J2"/>
    <mergeCell ref="N1:N2"/>
  </mergeCells>
  <hyperlinks>
    <hyperlink ref="E3" r:id="rId1" xr:uid="{0F13FA87-8FCE-4146-8E51-06CAD17DD4D3}"/>
    <hyperlink ref="E4" r:id="rId2" xr:uid="{2DC218B2-75ED-49D4-8E7B-947260B749DC}"/>
    <hyperlink ref="E5" r:id="rId3" xr:uid="{98365EB5-6C9E-44FF-826A-A3A378EB6794}"/>
    <hyperlink ref="E6" r:id="rId4" xr:uid="{F01D7011-CA83-4373-B3DA-A58B23749D7B}"/>
    <hyperlink ref="E7" r:id="rId5" xr:uid="{8FA4DD9F-886F-436D-8224-697C92FE354F}"/>
    <hyperlink ref="E8" r:id="rId6" xr:uid="{4A0C81A9-8442-4F91-9E27-C7553BD9F536}"/>
    <hyperlink ref="E9" r:id="rId7" xr:uid="{0926E615-1D11-4DCC-AA59-0679F504E794}"/>
    <hyperlink ref="E10" r:id="rId8" xr:uid="{689F2A17-FA77-460A-8E8E-D9DF42567C7A}"/>
    <hyperlink ref="E11" r:id="rId9" xr:uid="{9907E432-A539-40C4-A262-14087F470752}"/>
    <hyperlink ref="E12" r:id="rId10" xr:uid="{C5451CB5-0214-4341-888B-FE5F8F6ED9D3}"/>
    <hyperlink ref="E13" r:id="rId11" xr:uid="{3EB64E56-D8A0-42AC-B32A-4680E79C49D4}"/>
    <hyperlink ref="E14" r:id="rId12" xr:uid="{6580BE39-0FEF-4BF3-A40F-45EE6FA957D1}"/>
    <hyperlink ref="E15" r:id="rId13" xr:uid="{090AC6AD-CFC5-434E-890A-AFFAA37AF67A}"/>
    <hyperlink ref="E16" r:id="rId14" xr:uid="{90913C3B-1E6D-427F-B74C-7D2C565E22E9}"/>
    <hyperlink ref="E17" r:id="rId15" xr:uid="{EB14E63E-2310-4734-8699-988180E11159}"/>
    <hyperlink ref="E18" r:id="rId16" xr:uid="{93F16CF2-C547-47EB-9EA5-0C6DC154540B}"/>
    <hyperlink ref="E19" r:id="rId17" xr:uid="{8B6F9A3F-F5F7-4213-8E58-845BF61CCB34}"/>
    <hyperlink ref="E20" r:id="rId18" xr:uid="{F05B4531-4035-4167-A857-750046C4E5AF}"/>
    <hyperlink ref="E21" r:id="rId19" xr:uid="{686F6599-C26D-471C-9508-B8E51D4F6E6D}"/>
    <hyperlink ref="E22" r:id="rId20" xr:uid="{2D01FB61-CCC8-4EC7-8565-41F86084DC57}"/>
    <hyperlink ref="E23" r:id="rId21" xr:uid="{92DC90F3-BC9A-41F7-A596-7CCA4C6D4F03}"/>
    <hyperlink ref="E24" r:id="rId22" xr:uid="{292A1402-AF2A-47F0-9C45-B4C7DE2EAB32}"/>
    <hyperlink ref="E25" r:id="rId23" xr:uid="{488C0DBE-20C8-4369-9026-F38F112C630A}"/>
    <hyperlink ref="E26" r:id="rId24" xr:uid="{B469599E-1740-426B-94B1-5570D0B4B1D4}"/>
    <hyperlink ref="E27" r:id="rId25" xr:uid="{56FC4BC8-0B6A-455A-8C60-90682C6286E0}"/>
    <hyperlink ref="E28" r:id="rId26" xr:uid="{C3751350-D305-4BE0-BE1C-EBDD31A11D91}"/>
    <hyperlink ref="E29" r:id="rId27" xr:uid="{091366F4-7983-4A09-8297-4FA707C23D9F}"/>
    <hyperlink ref="E30" r:id="rId28" xr:uid="{E87B7A4D-3084-40A6-A8D0-485DCC42F170}"/>
    <hyperlink ref="E31" r:id="rId29" xr:uid="{63AA4389-C683-48CF-906D-B706B586EBF2}"/>
    <hyperlink ref="E32" r:id="rId30" xr:uid="{59DB91AE-667F-4A3B-9D3D-F156EA96799E}"/>
    <hyperlink ref="E33" r:id="rId31" xr:uid="{67D02367-2583-45BA-B730-EF7C37FFC63F}"/>
    <hyperlink ref="E34" r:id="rId32" xr:uid="{8F2119D4-AAAC-49B4-8C1E-F1B3F79649B5}"/>
    <hyperlink ref="E35" r:id="rId33" xr:uid="{F1395CD9-4325-4F92-BC1C-E6C2D55C373A}"/>
    <hyperlink ref="E36" r:id="rId34" xr:uid="{11F60B74-AD79-4918-B199-6279D671F388}"/>
    <hyperlink ref="E37" r:id="rId35" xr:uid="{36CEF0FF-2A36-4269-9B87-EF0F60E299B0}"/>
    <hyperlink ref="E39" r:id="rId36" xr:uid="{8945A558-06F9-4B57-BD3B-0E9CB9CE6D4C}"/>
    <hyperlink ref="E40" r:id="rId37" xr:uid="{BC0DD8A9-F833-4977-AFA1-0666A240FED1}"/>
    <hyperlink ref="E41" r:id="rId38" xr:uid="{17A692C1-E53B-423C-BF15-7BC1D5303AB6}"/>
    <hyperlink ref="E42" r:id="rId39" xr:uid="{35C4A071-0541-4071-A307-C4FEFF129168}"/>
    <hyperlink ref="E43" r:id="rId40" xr:uid="{FF488B95-EB51-4C51-971F-7067FB72BBCD}"/>
    <hyperlink ref="E44" r:id="rId41" xr:uid="{FB207547-AF22-443A-8573-7A2120DEE623}"/>
    <hyperlink ref="E45" r:id="rId42" xr:uid="{0336C223-07DF-4CC5-9A8C-7F1A57285517}"/>
    <hyperlink ref="E46" r:id="rId43" xr:uid="{13B48823-1850-4C23-8712-F2588E0C00E5}"/>
    <hyperlink ref="E47" r:id="rId44" xr:uid="{99A03EE5-E08F-4554-8446-AA92D8E9C040}"/>
    <hyperlink ref="E48" r:id="rId45" xr:uid="{62EADB20-DCA7-415E-8BF9-A4D01D3598E2}"/>
    <hyperlink ref="E49" r:id="rId46" xr:uid="{70890DA6-FB39-4481-A77E-8DD7F01DC537}"/>
    <hyperlink ref="E50" r:id="rId47" xr:uid="{293BBC05-A57C-4592-A903-4CED14D518D6}"/>
    <hyperlink ref="E51" r:id="rId48" xr:uid="{C0E1F40E-4392-440F-BEDB-4DE651739CC2}"/>
    <hyperlink ref="E52" r:id="rId49" xr:uid="{50166104-6AB8-41E5-95AB-B64D3E50AFCA}"/>
    <hyperlink ref="E53" r:id="rId50" xr:uid="{2916D954-9811-46A3-B824-934082774E00}"/>
    <hyperlink ref="E54" r:id="rId51" xr:uid="{1819E50C-39D9-4C15-9F85-04E341A767AA}"/>
    <hyperlink ref="E55" r:id="rId52" xr:uid="{6F92E850-54AD-4AC0-90C1-984034B0B1D3}"/>
    <hyperlink ref="E56" r:id="rId53" xr:uid="{4D9EE737-ED24-4415-8E78-CEF8E3D139A2}"/>
    <hyperlink ref="E57" r:id="rId54" xr:uid="{8A988F41-2AC6-4A7C-B48D-E426FCB6E74B}"/>
    <hyperlink ref="E58" r:id="rId55" xr:uid="{57706D03-0BE3-4DA9-A0BA-C6AC286CE08A}"/>
    <hyperlink ref="E59" r:id="rId56" xr:uid="{43CC8BAD-9357-4330-9082-E8CE12FC12D8}"/>
    <hyperlink ref="E60" r:id="rId57" xr:uid="{C2D2552D-5217-4F75-A4AA-FBB687321502}"/>
    <hyperlink ref="E61" r:id="rId58" xr:uid="{ED4A9343-28F6-4D55-8F56-04604BFD89DA}"/>
    <hyperlink ref="E62" r:id="rId59" xr:uid="{90D01321-FAD7-4708-A564-A77B06E57BEE}"/>
    <hyperlink ref="E63" r:id="rId60" xr:uid="{718CD3ED-C5E8-443E-8DCC-55ACCA42C583}"/>
    <hyperlink ref="E64" r:id="rId61" xr:uid="{5C7959FB-72EA-4C11-BC57-EFE3E45E7F38}"/>
    <hyperlink ref="E65" r:id="rId62" xr:uid="{87F9E6BF-A217-4691-8C27-BE1ED1074EF7}"/>
    <hyperlink ref="E66" r:id="rId63" xr:uid="{F5EDB89C-3F5F-4E5B-8EB8-FD219787B9EE}"/>
    <hyperlink ref="E67" r:id="rId64" xr:uid="{10C6549E-EA29-457D-9A2E-7CB6E6E055C3}"/>
    <hyperlink ref="E68" r:id="rId65" xr:uid="{194A0E88-07D5-4EDE-93C3-B83DB2178D95}"/>
    <hyperlink ref="E69" r:id="rId66" xr:uid="{D41768CA-1C3E-4F28-9D55-5088C8881ED5}"/>
    <hyperlink ref="E70" r:id="rId67" xr:uid="{7C777F0A-BA51-41B3-AB2B-D8CA167E9DFF}"/>
    <hyperlink ref="E71" r:id="rId68" xr:uid="{88112A2C-7582-4C51-A3A6-FBBA4FD19B0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2024 год</vt:lpstr>
      <vt:lpstr>1416</vt:lpstr>
      <vt:lpstr>1512 вич</vt:lpstr>
      <vt:lpstr>1512 туб</vt:lpstr>
      <vt:lpstr>1688</vt:lpstr>
      <vt:lpstr>545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 Екатерина Александровна</dc:creator>
  <cp:lastModifiedBy>Александрова Екатерина Александровна</cp:lastModifiedBy>
  <dcterms:created xsi:type="dcterms:W3CDTF">2024-02-26T07:12:17Z</dcterms:created>
  <dcterms:modified xsi:type="dcterms:W3CDTF">2024-02-26T10:54:12Z</dcterms:modified>
</cp:coreProperties>
</file>